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01m107\c01m107\2016\2016_WA_Elec_and_Gas_GRC\Bench Request\"/>
    </mc:Choice>
  </mc:AlternateContent>
  <bookViews>
    <workbookView xWindow="-945" yWindow="570" windowWidth="12120" windowHeight="2895" tabRatio="716"/>
  </bookViews>
  <sheets>
    <sheet name="Adjustment" sheetId="24" r:id="rId1"/>
    <sheet name="Pro-Forma Increases" sheetId="52" r:id="rId2"/>
    <sheet name="AN Electric" sheetId="27" r:id="rId3"/>
    <sheet name="AN Gas" sheetId="30" r:id="rId4"/>
    <sheet name="Washington Electric" sheetId="25" r:id="rId5"/>
    <sheet name="Washington Gas" sheetId="28" r:id="rId6"/>
    <sheet name="Idaho Electric" sheetId="26" r:id="rId7"/>
    <sheet name="Idaho Gas" sheetId="29" r:id="rId8"/>
    <sheet name="Total Electric Download" sheetId="38" r:id="rId9"/>
    <sheet name="Gas North Download" sheetId="39" r:id="rId10"/>
  </sheets>
  <externalReferences>
    <externalReference r:id="rId11"/>
  </externalReferences>
  <definedNames>
    <definedName name="_xlnm.Print_Area" localSheetId="0">Adjustment!$A$1:$F$55</definedName>
    <definedName name="_xlnm.Print_Area" localSheetId="2">'AN Electric'!$A$1:$M$133</definedName>
    <definedName name="_xlnm.Print_Area" localSheetId="3">'AN Gas'!$A$1:$J$89</definedName>
    <definedName name="_xlnm.Print_Area" localSheetId="9">'Gas North Download'!$A$3:$F$44</definedName>
    <definedName name="_xlnm.Print_Area" localSheetId="6">'Idaho Electric'!$C$1:$R$122</definedName>
    <definedName name="_xlnm.Print_Area" localSheetId="7">'Idaho Gas'!$C$1:$R$75</definedName>
    <definedName name="_xlnm.Print_Area" localSheetId="1">'Pro-Forma Increases'!$A$1:$E$34</definedName>
    <definedName name="_xlnm.Print_Area" localSheetId="8">'Total Electric Download'!$A$3:$G$86</definedName>
    <definedName name="_xlnm.Print_Area" localSheetId="4">'Washington Electric'!$A$1:$L$128</definedName>
    <definedName name="_xlnm.Print_Area" localSheetId="5">'Washington Gas'!$A$1:$L$81</definedName>
    <definedName name="_xlnm.Print_Titles" localSheetId="0">Adjustment!$A:$C</definedName>
    <definedName name="_xlnm.Print_Titles" localSheetId="2">'AN Electric'!$1:$8</definedName>
    <definedName name="_xlnm.Print_Titles" localSheetId="3">'AN Gas'!$1:$8</definedName>
    <definedName name="_xlnm.Print_Titles" localSheetId="6">'Idaho Electric'!$C:$E,'Idaho Electric'!$1:$6</definedName>
    <definedName name="_xlnm.Print_Titles" localSheetId="7">'Idaho Gas'!$C:$E,'Idaho Gas'!$1:$7</definedName>
    <definedName name="_xlnm.Print_Titles" localSheetId="8">'Total Electric Download'!$4:$4</definedName>
    <definedName name="_xlnm.Print_Titles" localSheetId="4">'Washington Electric'!$C:$E,'Washington Electric'!$1:$6</definedName>
    <definedName name="_xlnm.Print_Titles" localSheetId="5">'Washington Gas'!$C:$E,'Washington Gas'!$1:$7</definedName>
    <definedName name="Recover" localSheetId="1">[1]Macro1!$A$69</definedName>
    <definedName name="Recover">[1]Macro1!$A$69</definedName>
    <definedName name="TableName">"Dummy"</definedName>
  </definedNames>
  <calcPr calcId="152511" fullPrecision="0"/>
</workbook>
</file>

<file path=xl/calcChain.xml><?xml version="1.0" encoding="utf-8"?>
<calcChain xmlns="http://schemas.openxmlformats.org/spreadsheetml/2006/main">
  <c r="L89" i="28" l="1"/>
  <c r="L133" i="25"/>
  <c r="B25" i="27" l="1"/>
  <c r="B26" i="27"/>
  <c r="E4" i="24"/>
  <c r="H3" i="24" s="1"/>
  <c r="E31" i="24"/>
  <c r="H30" i="24" s="1"/>
  <c r="AB24" i="28"/>
  <c r="AB23" i="28"/>
  <c r="AB14" i="28"/>
  <c r="AB15" i="28" s="1"/>
  <c r="H44" i="24"/>
  <c r="H33" i="24"/>
  <c r="J33" i="24" l="1"/>
  <c r="T6" i="28"/>
  <c r="T5" i="28"/>
  <c r="S4" i="28"/>
  <c r="AB14" i="25"/>
  <c r="AB15" i="25" s="1"/>
  <c r="AB23" i="25"/>
  <c r="AB24" i="25" s="1"/>
  <c r="S6" i="25" s="1"/>
  <c r="F37" i="24"/>
  <c r="F39" i="24"/>
  <c r="F41" i="24"/>
  <c r="F45" i="24"/>
  <c r="F47" i="24"/>
  <c r="E17" i="24"/>
  <c r="F12" i="24"/>
  <c r="F14" i="24"/>
  <c r="F18" i="24"/>
  <c r="F20" i="24"/>
  <c r="F33" i="24"/>
  <c r="E33" i="24"/>
  <c r="S5" i="25" l="1"/>
  <c r="S6" i="28"/>
  <c r="S103" i="25"/>
  <c r="S35" i="25"/>
  <c r="S52" i="25"/>
  <c r="S44" i="25"/>
  <c r="S5" i="28"/>
  <c r="S121" i="25"/>
  <c r="S109" i="25"/>
  <c r="S89" i="25"/>
  <c r="S45" i="25"/>
  <c r="S21" i="25"/>
  <c r="S67" i="25"/>
  <c r="S51" i="25"/>
  <c r="S68" i="25"/>
  <c r="S110" i="25"/>
  <c r="S102" i="25"/>
  <c r="S90" i="25"/>
  <c r="S34" i="25"/>
  <c r="S22" i="25"/>
  <c r="S56" i="28" l="1"/>
  <c r="S49" i="28"/>
  <c r="S19" i="28"/>
  <c r="S43" i="28"/>
  <c r="S55" i="28"/>
  <c r="S63" i="28"/>
  <c r="S14" i="28"/>
  <c r="S18" i="28"/>
  <c r="S42" i="28"/>
  <c r="S50" i="28"/>
  <c r="S62" i="28"/>
  <c r="S13" i="28"/>
  <c r="S74" i="28"/>
  <c r="O57" i="29" l="1"/>
  <c r="O6" i="29"/>
  <c r="O5" i="29"/>
  <c r="N4" i="29"/>
  <c r="O57" i="28"/>
  <c r="K57" i="28"/>
  <c r="Q97" i="26"/>
  <c r="Q96" i="26"/>
  <c r="O49" i="26"/>
  <c r="Q49" i="26" s="1"/>
  <c r="K103" i="26"/>
  <c r="L103" i="26" s="1"/>
  <c r="K102" i="26"/>
  <c r="L102" i="26" s="1"/>
  <c r="Q96" i="25"/>
  <c r="Q97" i="25"/>
  <c r="O49" i="25"/>
  <c r="Q49" i="25" s="1"/>
  <c r="K102" i="25"/>
  <c r="L102" i="25" s="1"/>
  <c r="K103" i="25"/>
  <c r="L103" i="25" s="1"/>
  <c r="V97" i="25" l="1"/>
  <c r="S97" i="25"/>
  <c r="S49" i="25"/>
  <c r="T49" i="25" s="1"/>
  <c r="V49" i="25" s="1"/>
  <c r="V96" i="25"/>
  <c r="S96" i="25"/>
  <c r="D10" i="52"/>
  <c r="D11" i="52" s="1"/>
  <c r="C39" i="39"/>
  <c r="C83" i="38"/>
  <c r="F7" i="39" l="1"/>
  <c r="F8" i="39"/>
  <c r="F9" i="39"/>
  <c r="F10" i="39"/>
  <c r="F11" i="39"/>
  <c r="F12" i="39"/>
  <c r="F13" i="39"/>
  <c r="F14" i="39"/>
  <c r="F15" i="39"/>
  <c r="F16" i="39"/>
  <c r="F17" i="39"/>
  <c r="F18" i="39"/>
  <c r="F19" i="39"/>
  <c r="F20" i="39"/>
  <c r="F21" i="39"/>
  <c r="F22" i="39"/>
  <c r="F23" i="39"/>
  <c r="F24" i="39"/>
  <c r="F25" i="39"/>
  <c r="F26" i="39"/>
  <c r="F27" i="39"/>
  <c r="F28" i="39"/>
  <c r="F29" i="39"/>
  <c r="F30" i="39"/>
  <c r="F31" i="39"/>
  <c r="F32" i="39"/>
  <c r="F33" i="39"/>
  <c r="F34" i="39"/>
  <c r="F35" i="39"/>
  <c r="F36" i="39"/>
  <c r="F37" i="39"/>
  <c r="F38" i="39"/>
  <c r="F39" i="39"/>
  <c r="F6" i="39"/>
  <c r="C41" i="39"/>
  <c r="D41" i="39"/>
  <c r="E41" i="39"/>
  <c r="B41" i="39"/>
  <c r="B84" i="38"/>
  <c r="C84" i="38"/>
  <c r="B85" i="38" l="1"/>
  <c r="F41" i="39"/>
  <c r="T6" i="29"/>
  <c r="T5" i="29"/>
  <c r="D77" i="38" l="1"/>
  <c r="D16" i="52"/>
  <c r="C16" i="52"/>
  <c r="C10" i="52"/>
  <c r="D31" i="52"/>
  <c r="C31" i="52"/>
  <c r="D25" i="52"/>
  <c r="D26" i="52" s="1"/>
  <c r="C25" i="52"/>
  <c r="G77" i="38" l="1"/>
  <c r="C51" i="27"/>
  <c r="C59" i="27"/>
  <c r="C72" i="27"/>
  <c r="C106" i="27"/>
  <c r="C107" i="27"/>
  <c r="C108" i="27"/>
  <c r="C109" i="27"/>
  <c r="C110" i="27"/>
  <c r="C113" i="27"/>
  <c r="C117" i="27"/>
  <c r="C118" i="27"/>
  <c r="C10" i="30" l="1"/>
  <c r="D7" i="38" l="1"/>
  <c r="C12" i="27" s="1"/>
  <c r="D8" i="38"/>
  <c r="D9" i="38"/>
  <c r="C14" i="27" s="1"/>
  <c r="D10" i="38"/>
  <c r="C15" i="27" s="1"/>
  <c r="D11" i="38"/>
  <c r="C16" i="27" s="1"/>
  <c r="D12" i="38"/>
  <c r="D13" i="38"/>
  <c r="C18" i="27" s="1"/>
  <c r="D14" i="38"/>
  <c r="C19" i="27" s="1"/>
  <c r="D15" i="38"/>
  <c r="C20" i="27" s="1"/>
  <c r="D16" i="38"/>
  <c r="D17" i="38"/>
  <c r="G17" i="38" s="1"/>
  <c r="D18" i="38"/>
  <c r="C26" i="27" s="1"/>
  <c r="D19" i="38"/>
  <c r="C27" i="27" s="1"/>
  <c r="D20" i="38"/>
  <c r="D21" i="38"/>
  <c r="D22" i="38"/>
  <c r="D23" i="38"/>
  <c r="C31" i="27" s="1"/>
  <c r="D24" i="38"/>
  <c r="D25" i="38"/>
  <c r="C33" i="27" s="1"/>
  <c r="D26" i="38"/>
  <c r="C34" i="27" s="1"/>
  <c r="D27" i="38"/>
  <c r="C38" i="27" s="1"/>
  <c r="D28" i="38"/>
  <c r="D29" i="38"/>
  <c r="C40" i="27" s="1"/>
  <c r="D30" i="38"/>
  <c r="C41" i="27" s="1"/>
  <c r="D31" i="38"/>
  <c r="C42" i="27" s="1"/>
  <c r="D32" i="38"/>
  <c r="D33" i="38"/>
  <c r="D34" i="38"/>
  <c r="C48" i="27" s="1"/>
  <c r="D35" i="38"/>
  <c r="C49" i="27" s="1"/>
  <c r="D36" i="38"/>
  <c r="D37" i="38"/>
  <c r="D38" i="38"/>
  <c r="G38" i="38" s="1"/>
  <c r="D39" i="38"/>
  <c r="G39" i="38" s="1"/>
  <c r="D40" i="38"/>
  <c r="G40" i="38" s="1"/>
  <c r="D41" i="38"/>
  <c r="C57" i="27" s="1"/>
  <c r="D42" i="38"/>
  <c r="C58" i="27" s="1"/>
  <c r="D43" i="38"/>
  <c r="C60" i="27" s="1"/>
  <c r="D44" i="38"/>
  <c r="D45" i="38"/>
  <c r="C62" i="27" s="1"/>
  <c r="D46" i="38"/>
  <c r="C63" i="27" s="1"/>
  <c r="D47" i="38"/>
  <c r="C64" i="27" s="1"/>
  <c r="D48" i="38"/>
  <c r="D49" i="38"/>
  <c r="D50" i="38"/>
  <c r="C67" i="27" s="1"/>
  <c r="D51" i="38"/>
  <c r="C71" i="27" s="1"/>
  <c r="D52" i="38"/>
  <c r="D53" i="38"/>
  <c r="D54" i="38"/>
  <c r="D55" i="38"/>
  <c r="G55" i="38" s="1"/>
  <c r="D56" i="38"/>
  <c r="D57" i="38"/>
  <c r="C77" i="27" s="1"/>
  <c r="D58" i="38"/>
  <c r="C78" i="27" s="1"/>
  <c r="D59" i="38"/>
  <c r="C79" i="27" s="1"/>
  <c r="D60" i="38"/>
  <c r="D61" i="38"/>
  <c r="C81" i="27" s="1"/>
  <c r="D62" i="38"/>
  <c r="C82" i="27" s="1"/>
  <c r="D63" i="38"/>
  <c r="C83" i="27" s="1"/>
  <c r="D64" i="38"/>
  <c r="D65" i="38"/>
  <c r="D66" i="38"/>
  <c r="C86" i="27" s="1"/>
  <c r="D67" i="38"/>
  <c r="C87" i="27" s="1"/>
  <c r="D68" i="38"/>
  <c r="D69" i="38"/>
  <c r="D70" i="38"/>
  <c r="D71" i="38"/>
  <c r="C94" i="27" s="1"/>
  <c r="D72" i="38"/>
  <c r="D73" i="38"/>
  <c r="C96" i="27" s="1"/>
  <c r="D74" i="38"/>
  <c r="C100" i="27" s="1"/>
  <c r="D75" i="38"/>
  <c r="C101" i="27" s="1"/>
  <c r="D76" i="38"/>
  <c r="D78" i="38"/>
  <c r="C114" i="27" s="1"/>
  <c r="D79" i="38"/>
  <c r="C115" i="27" s="1"/>
  <c r="D80" i="38"/>
  <c r="D81" i="38"/>
  <c r="D82" i="38"/>
  <c r="D83" i="38"/>
  <c r="C121" i="27" s="1"/>
  <c r="G7" i="38"/>
  <c r="D6" i="38"/>
  <c r="C11" i="27" s="1"/>
  <c r="E84" i="38"/>
  <c r="F84" i="38"/>
  <c r="G62" i="38" l="1"/>
  <c r="G79" i="38"/>
  <c r="G71" i="38"/>
  <c r="G58" i="38"/>
  <c r="G46" i="38"/>
  <c r="G45" i="38"/>
  <c r="G30" i="38"/>
  <c r="G29" i="38"/>
  <c r="G23" i="38"/>
  <c r="G19" i="38"/>
  <c r="G11" i="38"/>
  <c r="G10" i="38"/>
  <c r="G50" i="38"/>
  <c r="G34" i="38"/>
  <c r="G25" i="38"/>
  <c r="G14" i="38"/>
  <c r="G73" i="38"/>
  <c r="G51" i="38"/>
  <c r="G42" i="38"/>
  <c r="G26" i="38"/>
  <c r="G18" i="38"/>
  <c r="G9" i="38"/>
  <c r="G35" i="38"/>
  <c r="G83" i="38"/>
  <c r="G63" i="38"/>
  <c r="G15" i="38"/>
  <c r="G6" i="38"/>
  <c r="G74" i="38"/>
  <c r="G66" i="38"/>
  <c r="G47" i="38"/>
  <c r="G31" i="38"/>
  <c r="G75" i="38"/>
  <c r="G67" i="38"/>
  <c r="G59" i="38"/>
  <c r="G43" i="38"/>
  <c r="G27" i="38"/>
  <c r="G76" i="38"/>
  <c r="C102" i="27"/>
  <c r="C103" i="27" s="1"/>
  <c r="G64" i="38"/>
  <c r="C84" i="27"/>
  <c r="G52" i="38"/>
  <c r="C73" i="27"/>
  <c r="G32" i="38"/>
  <c r="C43" i="27"/>
  <c r="G20" i="38"/>
  <c r="C28" i="27"/>
  <c r="G80" i="38"/>
  <c r="C116" i="27"/>
  <c r="G78" i="38"/>
  <c r="G57" i="38"/>
  <c r="G13" i="38"/>
  <c r="G81" i="38"/>
  <c r="C119" i="27"/>
  <c r="G72" i="38"/>
  <c r="C95" i="27"/>
  <c r="G68" i="38"/>
  <c r="C88" i="27"/>
  <c r="G60" i="38"/>
  <c r="C80" i="27"/>
  <c r="G56" i="38"/>
  <c r="C76" i="27"/>
  <c r="G48" i="38"/>
  <c r="C65" i="27"/>
  <c r="G44" i="38"/>
  <c r="C61" i="27"/>
  <c r="G36" i="38"/>
  <c r="C55" i="27"/>
  <c r="G28" i="38"/>
  <c r="C39" i="27"/>
  <c r="G24" i="38"/>
  <c r="C32" i="27"/>
  <c r="G16" i="38"/>
  <c r="C21" i="27"/>
  <c r="G12" i="38"/>
  <c r="C17" i="27"/>
  <c r="G8" i="38"/>
  <c r="C13" i="27"/>
  <c r="G82" i="38"/>
  <c r="C120" i="27"/>
  <c r="G69" i="38"/>
  <c r="C89" i="27"/>
  <c r="G65" i="38"/>
  <c r="C85" i="27"/>
  <c r="G53" i="38"/>
  <c r="C74" i="27"/>
  <c r="G49" i="38"/>
  <c r="C66" i="27"/>
  <c r="G37" i="38"/>
  <c r="C56" i="27"/>
  <c r="G33" i="38"/>
  <c r="C44" i="27"/>
  <c r="G21" i="38"/>
  <c r="C29" i="27"/>
  <c r="C25" i="27"/>
  <c r="G70" i="38"/>
  <c r="C93" i="27"/>
  <c r="G54" i="38"/>
  <c r="C75" i="27"/>
  <c r="G22" i="38"/>
  <c r="C30" i="27"/>
  <c r="G61" i="38"/>
  <c r="G41" i="38"/>
  <c r="C50" i="27"/>
  <c r="D84" i="38"/>
  <c r="C97" i="27" l="1"/>
  <c r="C22" i="27"/>
  <c r="C90" i="27"/>
  <c r="C45" i="27"/>
  <c r="C122" i="27"/>
  <c r="C35" i="27"/>
  <c r="C68" i="27"/>
  <c r="C52" i="27" l="1"/>
  <c r="N4" i="28"/>
  <c r="D33" i="24"/>
  <c r="J4" i="29" l="1"/>
  <c r="I4" i="29"/>
  <c r="E74" i="29"/>
  <c r="O5" i="28"/>
  <c r="O6" i="28"/>
  <c r="J6" i="26"/>
  <c r="J14" i="26" s="1"/>
  <c r="J5" i="26"/>
  <c r="K14" i="26" l="1"/>
  <c r="L14" i="26" s="1"/>
  <c r="F16" i="27"/>
  <c r="G16" i="27" s="1"/>
  <c r="E14" i="25" s="1"/>
  <c r="G14" i="25" s="1"/>
  <c r="F11" i="27"/>
  <c r="B56" i="27"/>
  <c r="B119" i="27"/>
  <c r="B120" i="27"/>
  <c r="B115" i="27"/>
  <c r="B114" i="27"/>
  <c r="B100" i="27"/>
  <c r="B94" i="27"/>
  <c r="B96" i="27"/>
  <c r="B93" i="27"/>
  <c r="B72" i="27"/>
  <c r="B73" i="27"/>
  <c r="B74" i="27"/>
  <c r="B75" i="27"/>
  <c r="B76" i="27"/>
  <c r="B77" i="27"/>
  <c r="B78" i="27"/>
  <c r="B79" i="27"/>
  <c r="B80" i="27"/>
  <c r="B81" i="27"/>
  <c r="B82" i="27"/>
  <c r="B83" i="27"/>
  <c r="B84" i="27"/>
  <c r="B85" i="27"/>
  <c r="B86" i="27"/>
  <c r="B87" i="27"/>
  <c r="B88" i="27"/>
  <c r="B89" i="27"/>
  <c r="B71" i="27"/>
  <c r="B58" i="27"/>
  <c r="B59" i="27"/>
  <c r="B60" i="27"/>
  <c r="B61" i="27"/>
  <c r="B62" i="27"/>
  <c r="B63" i="27"/>
  <c r="B64" i="27"/>
  <c r="B65" i="27"/>
  <c r="B66" i="27"/>
  <c r="B67" i="27"/>
  <c r="B57" i="27"/>
  <c r="B55" i="27"/>
  <c r="B49" i="27"/>
  <c r="B48" i="27"/>
  <c r="B39" i="27"/>
  <c r="B40" i="27"/>
  <c r="B41" i="27"/>
  <c r="B42" i="27"/>
  <c r="B43" i="27"/>
  <c r="B44" i="27"/>
  <c r="B38" i="27"/>
  <c r="B27" i="27"/>
  <c r="B28" i="27"/>
  <c r="B29" i="27"/>
  <c r="B30" i="27"/>
  <c r="B31" i="27"/>
  <c r="B32" i="27"/>
  <c r="B33" i="27"/>
  <c r="B34" i="27"/>
  <c r="B12" i="27"/>
  <c r="B13" i="27"/>
  <c r="B14" i="27"/>
  <c r="B15" i="27"/>
  <c r="B16" i="27"/>
  <c r="B17" i="27"/>
  <c r="B18" i="27"/>
  <c r="B19" i="27"/>
  <c r="B20" i="27"/>
  <c r="B21" i="27"/>
  <c r="B95" i="27"/>
  <c r="B101" i="27"/>
  <c r="B102" i="27"/>
  <c r="B113" i="27"/>
  <c r="B116" i="27"/>
  <c r="B121" i="27"/>
  <c r="B11" i="27"/>
  <c r="B77" i="30"/>
  <c r="C43" i="39" l="1"/>
  <c r="G84" i="38"/>
  <c r="J16" i="27"/>
  <c r="L16" i="27" s="1"/>
  <c r="E14" i="26" s="1"/>
  <c r="I6" i="26" l="1"/>
  <c r="C21" i="30" l="1"/>
  <c r="C77" i="30" l="1"/>
  <c r="G77" i="30" l="1"/>
  <c r="D77" i="30"/>
  <c r="I121" i="27"/>
  <c r="I120" i="27"/>
  <c r="I119" i="27"/>
  <c r="I118" i="27"/>
  <c r="I117" i="27"/>
  <c r="I116" i="27"/>
  <c r="I115" i="27"/>
  <c r="I114" i="27"/>
  <c r="I113" i="27"/>
  <c r="I109" i="27"/>
  <c r="I108" i="27"/>
  <c r="I107" i="27"/>
  <c r="I106" i="27"/>
  <c r="I102" i="27"/>
  <c r="I101" i="27"/>
  <c r="I100" i="27"/>
  <c r="I96" i="27"/>
  <c r="I95" i="27"/>
  <c r="I94" i="27"/>
  <c r="I93" i="27"/>
  <c r="I89" i="27"/>
  <c r="I88" i="27"/>
  <c r="I87" i="27"/>
  <c r="I86" i="27"/>
  <c r="I85" i="27"/>
  <c r="I84" i="27"/>
  <c r="I83" i="27"/>
  <c r="I82" i="27"/>
  <c r="I81" i="27"/>
  <c r="I80" i="27"/>
  <c r="I79" i="27"/>
  <c r="I78" i="27"/>
  <c r="I77" i="27"/>
  <c r="I76" i="27"/>
  <c r="I75" i="27"/>
  <c r="I74" i="27"/>
  <c r="I73" i="27"/>
  <c r="I72" i="27"/>
  <c r="I71" i="27"/>
  <c r="I67" i="27"/>
  <c r="I66" i="27"/>
  <c r="I65" i="27"/>
  <c r="I64" i="27"/>
  <c r="I63" i="27"/>
  <c r="I62" i="27"/>
  <c r="I61" i="27"/>
  <c r="I60" i="27"/>
  <c r="I59" i="27"/>
  <c r="I58" i="27"/>
  <c r="I57" i="27"/>
  <c r="I56" i="27"/>
  <c r="I55" i="27"/>
  <c r="I49" i="27"/>
  <c r="I48" i="27"/>
  <c r="I44" i="27"/>
  <c r="I43" i="27"/>
  <c r="I42" i="27"/>
  <c r="I41" i="27"/>
  <c r="I40" i="27"/>
  <c r="I39" i="27"/>
  <c r="I38" i="27"/>
  <c r="I34" i="27"/>
  <c r="I33" i="27"/>
  <c r="I32" i="27"/>
  <c r="I31" i="27"/>
  <c r="I30" i="27"/>
  <c r="I29" i="27"/>
  <c r="I28" i="27"/>
  <c r="I27" i="27"/>
  <c r="I26" i="27"/>
  <c r="I25" i="27"/>
  <c r="I21" i="27"/>
  <c r="I20" i="27"/>
  <c r="I19" i="27"/>
  <c r="I18" i="27"/>
  <c r="I17" i="27"/>
  <c r="I15" i="27"/>
  <c r="I14" i="27"/>
  <c r="I13" i="27"/>
  <c r="I12" i="27"/>
  <c r="I11" i="27"/>
  <c r="E121" i="27"/>
  <c r="E120" i="27"/>
  <c r="E119" i="27"/>
  <c r="E118" i="27"/>
  <c r="E117" i="27"/>
  <c r="E116" i="27"/>
  <c r="E115" i="27"/>
  <c r="E114" i="27"/>
  <c r="E113" i="27"/>
  <c r="E109" i="27"/>
  <c r="E108" i="27"/>
  <c r="E107" i="27"/>
  <c r="E106" i="27"/>
  <c r="E102" i="27"/>
  <c r="E101" i="27"/>
  <c r="E100" i="27"/>
  <c r="E96" i="27"/>
  <c r="E95" i="27"/>
  <c r="E94" i="27"/>
  <c r="E93" i="27"/>
  <c r="E89" i="27"/>
  <c r="E88" i="27"/>
  <c r="E87" i="27"/>
  <c r="E86" i="27"/>
  <c r="E85" i="27"/>
  <c r="E84" i="27"/>
  <c r="E83" i="27"/>
  <c r="E82" i="27"/>
  <c r="E81" i="27"/>
  <c r="E80" i="27"/>
  <c r="E79" i="27"/>
  <c r="E78" i="27"/>
  <c r="E77" i="27"/>
  <c r="E76" i="27"/>
  <c r="E75" i="27"/>
  <c r="E74" i="27"/>
  <c r="E73" i="27"/>
  <c r="E72" i="27"/>
  <c r="E71" i="27"/>
  <c r="E67" i="27"/>
  <c r="E66" i="27"/>
  <c r="E65" i="27"/>
  <c r="E64" i="27"/>
  <c r="E63" i="27"/>
  <c r="E62" i="27"/>
  <c r="E61" i="27"/>
  <c r="E60" i="27"/>
  <c r="E59" i="27"/>
  <c r="E58" i="27"/>
  <c r="E57" i="27"/>
  <c r="E56" i="27"/>
  <c r="E55" i="27"/>
  <c r="E49" i="27"/>
  <c r="E48" i="27"/>
  <c r="E44" i="27"/>
  <c r="E43" i="27"/>
  <c r="E42" i="27"/>
  <c r="E41" i="27"/>
  <c r="E40" i="27"/>
  <c r="E39" i="27"/>
  <c r="E38" i="27"/>
  <c r="E34" i="27"/>
  <c r="E33" i="27"/>
  <c r="E32" i="27"/>
  <c r="E31" i="27"/>
  <c r="E30" i="27"/>
  <c r="E29" i="27"/>
  <c r="E28" i="27"/>
  <c r="E27" i="27"/>
  <c r="E26" i="27"/>
  <c r="E25" i="27"/>
  <c r="E21" i="27"/>
  <c r="E20" i="27"/>
  <c r="E19" i="27"/>
  <c r="E18" i="27"/>
  <c r="E17" i="27"/>
  <c r="E15" i="27"/>
  <c r="E14" i="27"/>
  <c r="E13" i="27"/>
  <c r="E12" i="27"/>
  <c r="E11" i="27"/>
  <c r="J115" i="27"/>
  <c r="J86" i="27"/>
  <c r="E125" i="27" l="1"/>
  <c r="I125" i="27" l="1"/>
  <c r="B71" i="30" l="1"/>
  <c r="B59" i="30"/>
  <c r="B41" i="30"/>
  <c r="B30" i="30"/>
  <c r="B16" i="30"/>
  <c r="B65" i="30"/>
  <c r="B45" i="30"/>
  <c r="B32" i="30"/>
  <c r="B73" i="30"/>
  <c r="B66" i="30"/>
  <c r="B46" i="30"/>
  <c r="B34" i="30"/>
  <c r="B12" i="30"/>
  <c r="B67" i="30"/>
  <c r="B36" i="30"/>
  <c r="B25" i="30"/>
  <c r="B68" i="30"/>
  <c r="B37" i="30"/>
  <c r="B26" i="30"/>
  <c r="B70" i="30"/>
  <c r="B52" i="30"/>
  <c r="B38" i="30"/>
  <c r="B27" i="30"/>
  <c r="B53" i="30"/>
  <c r="B39" i="30"/>
  <c r="B28" i="30"/>
  <c r="B54" i="30"/>
  <c r="B40" i="30"/>
  <c r="B29" i="30"/>
  <c r="C125" i="27"/>
  <c r="J5" i="25"/>
  <c r="J5" i="29" s="1"/>
  <c r="J6" i="25"/>
  <c r="D17" i="52"/>
  <c r="N6" i="26" s="1"/>
  <c r="N14" i="26" s="1"/>
  <c r="O14" i="26" s="1"/>
  <c r="Q14" i="26" s="1"/>
  <c r="D32" i="52"/>
  <c r="N5" i="26" s="1"/>
  <c r="I5" i="26"/>
  <c r="I6" i="25"/>
  <c r="B125" i="27"/>
  <c r="D29" i="25"/>
  <c r="D51" i="25" s="1"/>
  <c r="D73" i="25" s="1"/>
  <c r="D29" i="28"/>
  <c r="D54" i="28" s="1"/>
  <c r="D29" i="26"/>
  <c r="D51" i="26" s="1"/>
  <c r="D73" i="26" s="1"/>
  <c r="D29" i="29"/>
  <c r="D54" i="29" s="1"/>
  <c r="C67" i="30"/>
  <c r="E67" i="30" s="1"/>
  <c r="D67" i="30"/>
  <c r="G67" i="30"/>
  <c r="F63" i="27"/>
  <c r="B47" i="30"/>
  <c r="E21" i="30"/>
  <c r="F21" i="27"/>
  <c r="G21" i="27" s="1"/>
  <c r="E19" i="25" s="1"/>
  <c r="F19" i="27"/>
  <c r="G19" i="27" s="1"/>
  <c r="E17" i="25" s="1"/>
  <c r="E22" i="27"/>
  <c r="D12" i="30"/>
  <c r="D11" i="30"/>
  <c r="D10" i="30"/>
  <c r="F121" i="27"/>
  <c r="F12" i="27"/>
  <c r="G12" i="27" s="1"/>
  <c r="E10" i="25" s="1"/>
  <c r="F17" i="27"/>
  <c r="F18" i="27"/>
  <c r="G18" i="27" s="1"/>
  <c r="E16" i="25" s="1"/>
  <c r="F20" i="27"/>
  <c r="G20" i="27" s="1"/>
  <c r="E18" i="25" s="1"/>
  <c r="F25" i="27"/>
  <c r="G25" i="27" s="1"/>
  <c r="E23" i="25" s="1"/>
  <c r="F26" i="27"/>
  <c r="F27" i="27"/>
  <c r="G27" i="27" s="1"/>
  <c r="E25" i="25" s="1"/>
  <c r="J28" i="27"/>
  <c r="F29" i="27"/>
  <c r="G29" i="27" s="1"/>
  <c r="E27" i="25" s="1"/>
  <c r="F30" i="27"/>
  <c r="F31" i="27"/>
  <c r="J32" i="27"/>
  <c r="L32" i="27" s="1"/>
  <c r="E30" i="26" s="1"/>
  <c r="F33" i="27"/>
  <c r="G33" i="27" s="1"/>
  <c r="E31" i="25" s="1"/>
  <c r="F34" i="27"/>
  <c r="F38" i="27"/>
  <c r="F40" i="27"/>
  <c r="G40" i="27" s="1"/>
  <c r="E38" i="25" s="1"/>
  <c r="J41" i="27"/>
  <c r="F42" i="27"/>
  <c r="J43" i="27"/>
  <c r="L43" i="27" s="1"/>
  <c r="E41" i="26" s="1"/>
  <c r="F44" i="27"/>
  <c r="E50" i="27"/>
  <c r="F48" i="27"/>
  <c r="J55" i="27"/>
  <c r="J56" i="27"/>
  <c r="F57" i="27"/>
  <c r="F58" i="27"/>
  <c r="J60" i="27"/>
  <c r="F61" i="27"/>
  <c r="G61" i="27" s="1"/>
  <c r="E59" i="25" s="1"/>
  <c r="F62" i="27"/>
  <c r="F64" i="27"/>
  <c r="F65" i="27"/>
  <c r="F66" i="27"/>
  <c r="F67" i="27"/>
  <c r="F71" i="27"/>
  <c r="J72" i="27"/>
  <c r="F73" i="27"/>
  <c r="F74" i="27"/>
  <c r="F75" i="27"/>
  <c r="F76" i="27"/>
  <c r="F77" i="27"/>
  <c r="F78" i="27"/>
  <c r="F79" i="27"/>
  <c r="J80" i="27"/>
  <c r="F81" i="27"/>
  <c r="J82" i="27"/>
  <c r="F83" i="27"/>
  <c r="J84" i="27"/>
  <c r="J85" i="27"/>
  <c r="F86" i="27"/>
  <c r="J87" i="27"/>
  <c r="J88" i="27"/>
  <c r="F89" i="27"/>
  <c r="F93" i="27"/>
  <c r="F94" i="27"/>
  <c r="F95" i="27"/>
  <c r="F96" i="27"/>
  <c r="F100" i="27"/>
  <c r="F101" i="27"/>
  <c r="F102" i="27"/>
  <c r="F106" i="27"/>
  <c r="F107" i="27"/>
  <c r="J108" i="27"/>
  <c r="J109" i="27"/>
  <c r="J114" i="27"/>
  <c r="F115" i="27"/>
  <c r="F116" i="27"/>
  <c r="F117" i="27"/>
  <c r="F118" i="27"/>
  <c r="F120" i="27"/>
  <c r="J19" i="27"/>
  <c r="J25" i="27"/>
  <c r="J26" i="27"/>
  <c r="J27" i="27"/>
  <c r="J29" i="27"/>
  <c r="J31" i="27"/>
  <c r="J33" i="27"/>
  <c r="J42" i="27"/>
  <c r="I50" i="27"/>
  <c r="G65" i="30"/>
  <c r="G10" i="30"/>
  <c r="E10" i="30"/>
  <c r="G11" i="30"/>
  <c r="C11" i="30"/>
  <c r="E11" i="30" s="1"/>
  <c r="G12" i="30"/>
  <c r="C12" i="30"/>
  <c r="H12" i="30" s="1"/>
  <c r="G16" i="30"/>
  <c r="C16" i="30"/>
  <c r="E16" i="30" s="1"/>
  <c r="G17" i="30"/>
  <c r="C17" i="30"/>
  <c r="H17" i="30" s="1"/>
  <c r="G21" i="30"/>
  <c r="G22" i="30"/>
  <c r="C22" i="30"/>
  <c r="E22" i="30" s="1"/>
  <c r="G23" i="30"/>
  <c r="C23" i="30"/>
  <c r="H23" i="30" s="1"/>
  <c r="G24" i="30"/>
  <c r="C24" i="30"/>
  <c r="H24" i="30" s="1"/>
  <c r="G25" i="30"/>
  <c r="C25" i="30"/>
  <c r="H25" i="30" s="1"/>
  <c r="G26" i="30"/>
  <c r="C26" i="30"/>
  <c r="H26" i="30" s="1"/>
  <c r="G27" i="30"/>
  <c r="C27" i="30"/>
  <c r="H27" i="30" s="1"/>
  <c r="G28" i="30"/>
  <c r="C28" i="30"/>
  <c r="H28" i="30" s="1"/>
  <c r="G29" i="30"/>
  <c r="C29" i="30"/>
  <c r="H29" i="30" s="1"/>
  <c r="G30" i="30"/>
  <c r="C30" i="30"/>
  <c r="H30" i="30" s="1"/>
  <c r="G31" i="30"/>
  <c r="C31" i="30"/>
  <c r="H31" i="30" s="1"/>
  <c r="G32" i="30"/>
  <c r="C32" i="30"/>
  <c r="H32" i="30" s="1"/>
  <c r="G33" i="30"/>
  <c r="C33" i="30"/>
  <c r="H33" i="30" s="1"/>
  <c r="G34" i="30"/>
  <c r="C34" i="30"/>
  <c r="H34" i="30" s="1"/>
  <c r="G35" i="30"/>
  <c r="C35" i="30"/>
  <c r="H35" i="30" s="1"/>
  <c r="G36" i="30"/>
  <c r="C36" i="30"/>
  <c r="E36" i="30" s="1"/>
  <c r="G37" i="30"/>
  <c r="C37" i="30"/>
  <c r="H37" i="30" s="1"/>
  <c r="G38" i="30"/>
  <c r="C38" i="30"/>
  <c r="H38" i="30" s="1"/>
  <c r="G39" i="30"/>
  <c r="C39" i="30"/>
  <c r="H39" i="30" s="1"/>
  <c r="G40" i="30"/>
  <c r="C40" i="30"/>
  <c r="H40" i="30" s="1"/>
  <c r="G41" i="30"/>
  <c r="C41" i="30"/>
  <c r="E41" i="30" s="1"/>
  <c r="G45" i="30"/>
  <c r="C45" i="30"/>
  <c r="H45" i="30" s="1"/>
  <c r="G46" i="30"/>
  <c r="C46" i="30"/>
  <c r="H46" i="30" s="1"/>
  <c r="G47" i="30"/>
  <c r="C47" i="30"/>
  <c r="H47" i="30" s="1"/>
  <c r="G48" i="30"/>
  <c r="C48" i="30"/>
  <c r="H48" i="30" s="1"/>
  <c r="G52" i="30"/>
  <c r="C52" i="30"/>
  <c r="E52" i="30" s="1"/>
  <c r="G53" i="30"/>
  <c r="C53" i="30"/>
  <c r="H53" i="30" s="1"/>
  <c r="G54" i="30"/>
  <c r="C54" i="30"/>
  <c r="H54" i="30" s="1"/>
  <c r="G58" i="30"/>
  <c r="C58" i="30"/>
  <c r="H58" i="30" s="1"/>
  <c r="G59" i="30"/>
  <c r="C59" i="30"/>
  <c r="H59" i="30" s="1"/>
  <c r="G60" i="30"/>
  <c r="C60" i="30"/>
  <c r="H60" i="30" s="1"/>
  <c r="G61" i="30"/>
  <c r="C61" i="30"/>
  <c r="E61" i="30" s="1"/>
  <c r="G66" i="30"/>
  <c r="C66" i="30"/>
  <c r="H66" i="30" s="1"/>
  <c r="G68" i="30"/>
  <c r="C68" i="30"/>
  <c r="H68" i="30" s="1"/>
  <c r="G69" i="30"/>
  <c r="C69" i="30"/>
  <c r="H69" i="30" s="1"/>
  <c r="G70" i="30"/>
  <c r="C70" i="30"/>
  <c r="H70" i="30" s="1"/>
  <c r="G71" i="30"/>
  <c r="C71" i="30"/>
  <c r="E71" i="30" s="1"/>
  <c r="G72" i="30"/>
  <c r="C72" i="30"/>
  <c r="H72" i="30" s="1"/>
  <c r="G73" i="30"/>
  <c r="C73" i="30"/>
  <c r="H73" i="30" s="1"/>
  <c r="D65" i="30"/>
  <c r="D16" i="30"/>
  <c r="D17" i="30"/>
  <c r="D21" i="30"/>
  <c r="D22" i="30"/>
  <c r="D23" i="30"/>
  <c r="D24" i="30"/>
  <c r="D25" i="30"/>
  <c r="D26" i="30"/>
  <c r="D27" i="30"/>
  <c r="D28" i="30"/>
  <c r="D29" i="30"/>
  <c r="D30" i="30"/>
  <c r="D31" i="30"/>
  <c r="D32" i="30"/>
  <c r="D33" i="30"/>
  <c r="D34" i="30"/>
  <c r="D35" i="30"/>
  <c r="D36" i="30"/>
  <c r="D37" i="30"/>
  <c r="D38" i="30"/>
  <c r="D39" i="30"/>
  <c r="D40" i="30"/>
  <c r="D41" i="30"/>
  <c r="D45" i="30"/>
  <c r="D46" i="30"/>
  <c r="D47" i="30"/>
  <c r="D48" i="30"/>
  <c r="D52" i="30"/>
  <c r="D53" i="30"/>
  <c r="D54" i="30"/>
  <c r="D58" i="30"/>
  <c r="D59" i="30"/>
  <c r="D60" i="30"/>
  <c r="D61" i="30"/>
  <c r="D66" i="30"/>
  <c r="D68" i="30"/>
  <c r="D69" i="30"/>
  <c r="D70" i="30"/>
  <c r="D71" i="30"/>
  <c r="D72" i="30"/>
  <c r="D73" i="30"/>
  <c r="C3" i="25"/>
  <c r="A4" i="27" s="1"/>
  <c r="B107" i="27"/>
  <c r="B108" i="27"/>
  <c r="B109" i="27"/>
  <c r="B106" i="27"/>
  <c r="A1" i="30"/>
  <c r="J4" i="28"/>
  <c r="I4" i="28"/>
  <c r="B10" i="30"/>
  <c r="F129" i="27"/>
  <c r="F130" i="27"/>
  <c r="F131" i="27"/>
  <c r="F128" i="27"/>
  <c r="C1" i="25"/>
  <c r="B69" i="30"/>
  <c r="B72" i="30"/>
  <c r="B60" i="30"/>
  <c r="B61" i="30"/>
  <c r="B58" i="30"/>
  <c r="B48" i="30"/>
  <c r="B22" i="30"/>
  <c r="B23" i="30"/>
  <c r="B24" i="30"/>
  <c r="B31" i="30"/>
  <c r="B33" i="30"/>
  <c r="B35" i="30"/>
  <c r="B21" i="30"/>
  <c r="B17" i="30"/>
  <c r="B11" i="30"/>
  <c r="E82" i="30"/>
  <c r="E81" i="30"/>
  <c r="E83" i="30"/>
  <c r="E84" i="30"/>
  <c r="E85" i="30"/>
  <c r="E86" i="30"/>
  <c r="A30" i="24"/>
  <c r="C65" i="30"/>
  <c r="H65" i="30" s="1"/>
  <c r="F43" i="27"/>
  <c r="G43" i="27" s="1"/>
  <c r="E41" i="25" s="1"/>
  <c r="F41" i="27"/>
  <c r="F39" i="27"/>
  <c r="J39" i="27"/>
  <c r="J20" i="27"/>
  <c r="J18" i="27"/>
  <c r="L18" i="27" s="1"/>
  <c r="E16" i="26" s="1"/>
  <c r="J13" i="27"/>
  <c r="L13" i="27" s="1"/>
  <c r="E11" i="26" s="1"/>
  <c r="J11" i="27"/>
  <c r="L11" i="27" s="1"/>
  <c r="E9" i="26" s="1"/>
  <c r="F113" i="27"/>
  <c r="J21" i="27"/>
  <c r="F55" i="27"/>
  <c r="G55" i="27" s="1"/>
  <c r="E53" i="25" s="1"/>
  <c r="J81" i="27"/>
  <c r="L81" i="27" s="1"/>
  <c r="E79" i="26" s="1"/>
  <c r="J63" i="27"/>
  <c r="J59" i="27"/>
  <c r="L59" i="27" s="1"/>
  <c r="E57" i="26" s="1"/>
  <c r="J58" i="27"/>
  <c r="J12" i="27"/>
  <c r="B140" i="27"/>
  <c r="F32" i="27"/>
  <c r="G32" i="27" s="1"/>
  <c r="E30" i="25" s="1"/>
  <c r="F28" i="27"/>
  <c r="G28" i="27" s="1"/>
  <c r="E26" i="25" s="1"/>
  <c r="J116" i="27"/>
  <c r="L116" i="27" s="1"/>
  <c r="E114" i="26" s="1"/>
  <c r="F59" i="27"/>
  <c r="G59" i="27" s="1"/>
  <c r="E57" i="25" s="1"/>
  <c r="F15" i="27"/>
  <c r="G15" i="27" s="1"/>
  <c r="E13" i="25" s="1"/>
  <c r="J15" i="27"/>
  <c r="F56" i="27"/>
  <c r="I103" i="27"/>
  <c r="J14" i="27"/>
  <c r="L14" i="27" s="1"/>
  <c r="E12" i="26" s="1"/>
  <c r="F14" i="27"/>
  <c r="G14" i="27" s="1"/>
  <c r="E12" i="25" s="1"/>
  <c r="J57" i="27"/>
  <c r="J61" i="27"/>
  <c r="I6" i="29" l="1"/>
  <c r="I49" i="29" s="1"/>
  <c r="I14" i="25"/>
  <c r="J14" i="25" s="1"/>
  <c r="K14" i="25" s="1"/>
  <c r="L14" i="25" s="1"/>
  <c r="N6" i="25"/>
  <c r="N6" i="29" s="1"/>
  <c r="N5" i="25"/>
  <c r="N5" i="29" s="1"/>
  <c r="B42" i="30"/>
  <c r="B13" i="30"/>
  <c r="B49" i="30"/>
  <c r="B18" i="30"/>
  <c r="J6" i="28"/>
  <c r="J6" i="29"/>
  <c r="C3" i="28"/>
  <c r="C3" i="29" s="1"/>
  <c r="C3" i="26"/>
  <c r="I5" i="25"/>
  <c r="A4" i="30"/>
  <c r="J5" i="28"/>
  <c r="D18" i="30"/>
  <c r="E29" i="30"/>
  <c r="F29" i="30" s="1"/>
  <c r="E28" i="28" s="1"/>
  <c r="I65" i="30"/>
  <c r="E64" i="29" s="1"/>
  <c r="B74" i="30"/>
  <c r="E66" i="30"/>
  <c r="F66" i="30" s="1"/>
  <c r="E65" i="28" s="1"/>
  <c r="H10" i="30"/>
  <c r="I10" i="30" s="1"/>
  <c r="E9" i="29" s="1"/>
  <c r="E23" i="30"/>
  <c r="F23" i="30" s="1"/>
  <c r="E22" i="28" s="1"/>
  <c r="F10" i="30"/>
  <c r="E9" i="28" s="1"/>
  <c r="F67" i="30"/>
  <c r="E66" i="28" s="1"/>
  <c r="E12" i="30"/>
  <c r="F12" i="30" s="1"/>
  <c r="E11" i="28" s="1"/>
  <c r="D13" i="30"/>
  <c r="F11" i="30"/>
  <c r="E10" i="28" s="1"/>
  <c r="H67" i="30"/>
  <c r="I67" i="30" s="1"/>
  <c r="E66" i="29" s="1"/>
  <c r="C13" i="30"/>
  <c r="H11" i="30"/>
  <c r="I11" i="30" s="1"/>
  <c r="E10" i="29" s="1"/>
  <c r="E31" i="30"/>
  <c r="F31" i="30" s="1"/>
  <c r="E30" i="28" s="1"/>
  <c r="E25" i="30"/>
  <c r="F25" i="30" s="1"/>
  <c r="E24" i="28" s="1"/>
  <c r="L15" i="27"/>
  <c r="E13" i="26" s="1"/>
  <c r="L42" i="27"/>
  <c r="E40" i="26" s="1"/>
  <c r="G56" i="27"/>
  <c r="E54" i="25" s="1"/>
  <c r="G41" i="27"/>
  <c r="E39" i="25" s="1"/>
  <c r="L61" i="27"/>
  <c r="E59" i="26" s="1"/>
  <c r="G39" i="27"/>
  <c r="E37" i="25" s="1"/>
  <c r="L55" i="27"/>
  <c r="E53" i="26" s="1"/>
  <c r="L39" i="27"/>
  <c r="E37" i="26" s="1"/>
  <c r="L26" i="27"/>
  <c r="E24" i="26" s="1"/>
  <c r="L27" i="27"/>
  <c r="E25" i="26" s="1"/>
  <c r="G48" i="27"/>
  <c r="E46" i="25" s="1"/>
  <c r="G79" i="27"/>
  <c r="E77" i="25" s="1"/>
  <c r="I22" i="27"/>
  <c r="L88" i="27"/>
  <c r="E86" i="26" s="1"/>
  <c r="I12" i="30"/>
  <c r="E11" i="29" s="1"/>
  <c r="G13" i="30"/>
  <c r="H21" i="30"/>
  <c r="I21" i="30" s="1"/>
  <c r="E20" i="29" s="1"/>
  <c r="E39" i="30"/>
  <c r="F39" i="30" s="1"/>
  <c r="E38" i="28" s="1"/>
  <c r="E32" i="30"/>
  <c r="F32" i="30" s="1"/>
  <c r="E31" i="28" s="1"/>
  <c r="F41" i="30"/>
  <c r="E40" i="28" s="1"/>
  <c r="F61" i="30"/>
  <c r="E60" i="28" s="1"/>
  <c r="L29" i="27"/>
  <c r="E27" i="26" s="1"/>
  <c r="D42" i="30"/>
  <c r="G117" i="27"/>
  <c r="L28" i="27"/>
  <c r="E26" i="26" s="1"/>
  <c r="L41" i="27"/>
  <c r="E39" i="26" s="1"/>
  <c r="L21" i="27"/>
  <c r="E19" i="26" s="1"/>
  <c r="L80" i="27"/>
  <c r="E78" i="26" s="1"/>
  <c r="G62" i="30"/>
  <c r="H16" i="30"/>
  <c r="I16" i="30" s="1"/>
  <c r="E15" i="29" s="1"/>
  <c r="H22" i="30"/>
  <c r="I22" i="30" s="1"/>
  <c r="E21" i="29" s="1"/>
  <c r="G18" i="30"/>
  <c r="H49" i="30"/>
  <c r="C42" i="30"/>
  <c r="E40" i="30"/>
  <c r="F40" i="30" s="1"/>
  <c r="E39" i="28" s="1"/>
  <c r="H52" i="30"/>
  <c r="I52" i="30" s="1"/>
  <c r="E51" i="29" s="1"/>
  <c r="E33" i="30"/>
  <c r="F33" i="30" s="1"/>
  <c r="E32" i="28" s="1"/>
  <c r="E48" i="30"/>
  <c r="F48" i="30" s="1"/>
  <c r="E47" i="28" s="1"/>
  <c r="E30" i="30"/>
  <c r="F30" i="30" s="1"/>
  <c r="E29" i="28" s="1"/>
  <c r="H41" i="30"/>
  <c r="I41" i="30" s="1"/>
  <c r="E40" i="29" s="1"/>
  <c r="I27" i="30"/>
  <c r="E26" i="29" s="1"/>
  <c r="E37" i="30"/>
  <c r="F37" i="30" s="1"/>
  <c r="E36" i="28" s="1"/>
  <c r="E38" i="30"/>
  <c r="F38" i="30" s="1"/>
  <c r="E37" i="28" s="1"/>
  <c r="E59" i="30"/>
  <c r="F59" i="30" s="1"/>
  <c r="E58" i="28" s="1"/>
  <c r="E53" i="30"/>
  <c r="F53" i="30" s="1"/>
  <c r="E52" i="28" s="1"/>
  <c r="C55" i="30"/>
  <c r="E34" i="30"/>
  <c r="F34" i="30" s="1"/>
  <c r="E33" i="28" s="1"/>
  <c r="E27" i="30"/>
  <c r="F27" i="30" s="1"/>
  <c r="E26" i="28" s="1"/>
  <c r="E35" i="30"/>
  <c r="F35" i="30" s="1"/>
  <c r="E34" i="28" s="1"/>
  <c r="E47" i="30"/>
  <c r="F47" i="30" s="1"/>
  <c r="E46" i="28" s="1"/>
  <c r="E24" i="30"/>
  <c r="F24" i="30" s="1"/>
  <c r="E23" i="28" s="1"/>
  <c r="E17" i="30"/>
  <c r="F17" i="30" s="1"/>
  <c r="E16" i="28" s="1"/>
  <c r="E26" i="30"/>
  <c r="F26" i="30" s="1"/>
  <c r="E25" i="28" s="1"/>
  <c r="E73" i="30"/>
  <c r="F73" i="30" s="1"/>
  <c r="E72" i="28" s="1"/>
  <c r="E68" i="30"/>
  <c r="F68" i="30" s="1"/>
  <c r="E67" i="28" s="1"/>
  <c r="H71" i="30"/>
  <c r="E28" i="30"/>
  <c r="F28" i="30" s="1"/>
  <c r="E27" i="28" s="1"/>
  <c r="E70" i="30"/>
  <c r="F70" i="30" s="1"/>
  <c r="E69" i="28" s="1"/>
  <c r="C18" i="30"/>
  <c r="E45" i="30"/>
  <c r="F45" i="30" s="1"/>
  <c r="E44" i="28" s="1"/>
  <c r="E72" i="30"/>
  <c r="F72" i="30" s="1"/>
  <c r="E71" i="28" s="1"/>
  <c r="H36" i="30"/>
  <c r="I36" i="30" s="1"/>
  <c r="E35" i="29" s="1"/>
  <c r="C62" i="30"/>
  <c r="E58" i="30"/>
  <c r="E54" i="30"/>
  <c r="F54" i="30" s="1"/>
  <c r="E53" i="28" s="1"/>
  <c r="H61" i="30"/>
  <c r="I61" i="30" s="1"/>
  <c r="E60" i="29" s="1"/>
  <c r="E69" i="30"/>
  <c r="F69" i="30" s="1"/>
  <c r="E68" i="28" s="1"/>
  <c r="C49" i="30"/>
  <c r="E46" i="30"/>
  <c r="F46" i="30" s="1"/>
  <c r="E45" i="28" s="1"/>
  <c r="E60" i="30"/>
  <c r="F60" i="30" s="1"/>
  <c r="E59" i="28" s="1"/>
  <c r="I24" i="30"/>
  <c r="E23" i="29" s="1"/>
  <c r="D55" i="30"/>
  <c r="I59" i="30"/>
  <c r="E58" i="29" s="1"/>
  <c r="I28" i="30"/>
  <c r="E27" i="29" s="1"/>
  <c r="I37" i="30"/>
  <c r="E36" i="29" s="1"/>
  <c r="I66" i="30"/>
  <c r="E65" i="29" s="1"/>
  <c r="I45" i="30"/>
  <c r="E44" i="29" s="1"/>
  <c r="I34" i="30"/>
  <c r="E33" i="29" s="1"/>
  <c r="G42" i="30"/>
  <c r="G55" i="30"/>
  <c r="I38" i="30"/>
  <c r="E37" i="29" s="1"/>
  <c r="I23" i="30"/>
  <c r="E22" i="29" s="1"/>
  <c r="G49" i="30"/>
  <c r="I48" i="30"/>
  <c r="E47" i="29" s="1"/>
  <c r="D49" i="30"/>
  <c r="F16" i="30"/>
  <c r="E15" i="28" s="1"/>
  <c r="D62" i="30"/>
  <c r="I25" i="30"/>
  <c r="E24" i="29" s="1"/>
  <c r="F71" i="30"/>
  <c r="E70" i="28" s="1"/>
  <c r="I72" i="30"/>
  <c r="E71" i="29" s="1"/>
  <c r="D74" i="30"/>
  <c r="F52" i="30"/>
  <c r="E51" i="28" s="1"/>
  <c r="F36" i="30"/>
  <c r="E35" i="28" s="1"/>
  <c r="I53" i="30"/>
  <c r="E52" i="29" s="1"/>
  <c r="I29" i="30"/>
  <c r="E28" i="29" s="1"/>
  <c r="F22" i="30"/>
  <c r="E21" i="28" s="1"/>
  <c r="E65" i="30"/>
  <c r="F65" i="30" s="1"/>
  <c r="E64" i="28" s="1"/>
  <c r="I54" i="30"/>
  <c r="E53" i="29" s="1"/>
  <c r="I30" i="30"/>
  <c r="E29" i="29" s="1"/>
  <c r="I26" i="30"/>
  <c r="E25" i="29" s="1"/>
  <c r="I35" i="30"/>
  <c r="E34" i="29" s="1"/>
  <c r="I58" i="30"/>
  <c r="E57" i="29" s="1"/>
  <c r="I68" i="30"/>
  <c r="E67" i="29" s="1"/>
  <c r="G62" i="27"/>
  <c r="E60" i="25" s="1"/>
  <c r="J64" i="27"/>
  <c r="L64" i="27" s="1"/>
  <c r="E62" i="26" s="1"/>
  <c r="J38" i="27"/>
  <c r="L38" i="27" s="1"/>
  <c r="E36" i="26" s="1"/>
  <c r="F84" i="27"/>
  <c r="G84" i="27" s="1"/>
  <c r="E82" i="25" s="1"/>
  <c r="F80" i="27"/>
  <c r="G80" i="27" s="1"/>
  <c r="E78" i="25" s="1"/>
  <c r="J30" i="27"/>
  <c r="L30" i="27" s="1"/>
  <c r="E28" i="26" s="1"/>
  <c r="J34" i="27"/>
  <c r="L34" i="27" s="1"/>
  <c r="E32" i="26" s="1"/>
  <c r="J121" i="27"/>
  <c r="L121" i="27" s="1"/>
  <c r="E119" i="26" s="1"/>
  <c r="J44" i="27"/>
  <c r="L44" i="27" s="1"/>
  <c r="E42" i="26" s="1"/>
  <c r="J65" i="27"/>
  <c r="L65" i="27" s="1"/>
  <c r="E63" i="26" s="1"/>
  <c r="J95" i="27"/>
  <c r="L95" i="27" s="1"/>
  <c r="E93" i="26" s="1"/>
  <c r="J66" i="27"/>
  <c r="L66" i="27" s="1"/>
  <c r="E64" i="26" s="1"/>
  <c r="F72" i="27"/>
  <c r="G72" i="27" s="1"/>
  <c r="E70" i="25" s="1"/>
  <c r="J71" i="27"/>
  <c r="L71" i="27" s="1"/>
  <c r="E69" i="26" s="1"/>
  <c r="F87" i="27"/>
  <c r="G87" i="27" s="1"/>
  <c r="E85" i="25" s="1"/>
  <c r="B103" i="27"/>
  <c r="G115" i="27"/>
  <c r="E113" i="25" s="1"/>
  <c r="E68" i="27"/>
  <c r="L60" i="27"/>
  <c r="E58" i="26" s="1"/>
  <c r="L56" i="27"/>
  <c r="E54" i="26" s="1"/>
  <c r="E45" i="27"/>
  <c r="L72" i="27"/>
  <c r="E70" i="26" s="1"/>
  <c r="L85" i="27"/>
  <c r="E83" i="26" s="1"/>
  <c r="L87" i="27"/>
  <c r="E85" i="26" s="1"/>
  <c r="J100" i="27"/>
  <c r="L100" i="27" s="1"/>
  <c r="E98" i="26" s="1"/>
  <c r="J48" i="27"/>
  <c r="L48" i="27" s="1"/>
  <c r="E46" i="26" s="1"/>
  <c r="J79" i="27"/>
  <c r="L79" i="27" s="1"/>
  <c r="E77" i="26" s="1"/>
  <c r="J77" i="27"/>
  <c r="L77" i="27" s="1"/>
  <c r="E75" i="26" s="1"/>
  <c r="J117" i="27"/>
  <c r="L117" i="27" s="1"/>
  <c r="J93" i="27"/>
  <c r="L93" i="27" s="1"/>
  <c r="E91" i="26" s="1"/>
  <c r="F109" i="27"/>
  <c r="G109" i="27" s="1"/>
  <c r="E107" i="25" s="1"/>
  <c r="J106" i="27"/>
  <c r="L106" i="27" s="1"/>
  <c r="E104" i="26" s="1"/>
  <c r="J102" i="27"/>
  <c r="L102" i="27" s="1"/>
  <c r="E100" i="26" s="1"/>
  <c r="L86" i="27"/>
  <c r="E84" i="26" s="1"/>
  <c r="F82" i="27"/>
  <c r="G82" i="27" s="1"/>
  <c r="E80" i="25" s="1"/>
  <c r="L33" i="27"/>
  <c r="E31" i="26" s="1"/>
  <c r="G26" i="27"/>
  <c r="E24" i="25" s="1"/>
  <c r="G121" i="27"/>
  <c r="E119" i="25" s="1"/>
  <c r="J74" i="27"/>
  <c r="L74" i="27" s="1"/>
  <c r="E72" i="26" s="1"/>
  <c r="J78" i="27"/>
  <c r="L78" i="27" s="1"/>
  <c r="E76" i="26" s="1"/>
  <c r="F85" i="27"/>
  <c r="G85" i="27" s="1"/>
  <c r="E83" i="25" s="1"/>
  <c r="J40" i="27"/>
  <c r="L40" i="27" s="1"/>
  <c r="E38" i="26" s="1"/>
  <c r="J67" i="27"/>
  <c r="L67" i="27" s="1"/>
  <c r="E65" i="26" s="1"/>
  <c r="J76" i="27"/>
  <c r="L76" i="27" s="1"/>
  <c r="E74" i="26" s="1"/>
  <c r="F108" i="27"/>
  <c r="G108" i="27" s="1"/>
  <c r="E106" i="25" s="1"/>
  <c r="J89" i="27"/>
  <c r="L89" i="27" s="1"/>
  <c r="E87" i="26" s="1"/>
  <c r="J94" i="27"/>
  <c r="L94" i="27" s="1"/>
  <c r="E92" i="26" s="1"/>
  <c r="J107" i="27"/>
  <c r="L107" i="27" s="1"/>
  <c r="E105" i="26" s="1"/>
  <c r="J73" i="27"/>
  <c r="L73" i="27" s="1"/>
  <c r="E71" i="26" s="1"/>
  <c r="F88" i="27"/>
  <c r="G88" i="27" s="1"/>
  <c r="E86" i="25" s="1"/>
  <c r="L12" i="27"/>
  <c r="E10" i="26" s="1"/>
  <c r="I35" i="27"/>
  <c r="F13" i="27"/>
  <c r="G13" i="27" s="1"/>
  <c r="E11" i="25" s="1"/>
  <c r="J17" i="27"/>
  <c r="L17" i="27" s="1"/>
  <c r="E15" i="26" s="1"/>
  <c r="E35" i="27"/>
  <c r="J118" i="27"/>
  <c r="L118" i="27" s="1"/>
  <c r="E116" i="26" s="1"/>
  <c r="L63" i="27"/>
  <c r="E61" i="26" s="1"/>
  <c r="L20" i="27"/>
  <c r="E18" i="26" s="1"/>
  <c r="L19" i="27"/>
  <c r="E17" i="26" s="1"/>
  <c r="G67" i="27"/>
  <c r="E65" i="25" s="1"/>
  <c r="E110" i="27"/>
  <c r="E97" i="27"/>
  <c r="G66" i="27"/>
  <c r="E64" i="25" s="1"/>
  <c r="G118" i="27"/>
  <c r="E116" i="25" s="1"/>
  <c r="G101" i="27"/>
  <c r="E99" i="25" s="1"/>
  <c r="G65" i="27"/>
  <c r="E63" i="25" s="1"/>
  <c r="B90" i="27"/>
  <c r="B97" i="27"/>
  <c r="B110" i="27"/>
  <c r="I122" i="27"/>
  <c r="I110" i="27"/>
  <c r="I97" i="27"/>
  <c r="I90" i="27"/>
  <c r="I68" i="27"/>
  <c r="L25" i="27"/>
  <c r="E23" i="26" s="1"/>
  <c r="G102" i="27"/>
  <c r="E100" i="25" s="1"/>
  <c r="G89" i="27"/>
  <c r="E87" i="25" s="1"/>
  <c r="G81" i="27"/>
  <c r="E79" i="25" s="1"/>
  <c r="G79" i="25" s="1"/>
  <c r="G77" i="27"/>
  <c r="E75" i="25" s="1"/>
  <c r="G73" i="27"/>
  <c r="E71" i="25" s="1"/>
  <c r="G31" i="27"/>
  <c r="E29" i="25" s="1"/>
  <c r="G86" i="27"/>
  <c r="E84" i="25" s="1"/>
  <c r="G78" i="27"/>
  <c r="E76" i="25" s="1"/>
  <c r="G94" i="27"/>
  <c r="E92" i="25" s="1"/>
  <c r="G75" i="27"/>
  <c r="E73" i="25" s="1"/>
  <c r="G71" i="27"/>
  <c r="E69" i="25" s="1"/>
  <c r="E90" i="27"/>
  <c r="E122" i="27"/>
  <c r="E103" i="27"/>
  <c r="G17" i="27"/>
  <c r="E15" i="25" s="1"/>
  <c r="G44" i="27"/>
  <c r="E42" i="25" s="1"/>
  <c r="G120" i="27"/>
  <c r="E118" i="25" s="1"/>
  <c r="G96" i="27"/>
  <c r="E94" i="25" s="1"/>
  <c r="G93" i="27"/>
  <c r="E91" i="25" s="1"/>
  <c r="G42" i="27"/>
  <c r="E40" i="25" s="1"/>
  <c r="G74" i="27"/>
  <c r="E72" i="25" s="1"/>
  <c r="L57" i="27"/>
  <c r="E55" i="26" s="1"/>
  <c r="B45" i="27"/>
  <c r="B50" i="27"/>
  <c r="B68" i="27"/>
  <c r="B122" i="27"/>
  <c r="G64" i="27"/>
  <c r="E62" i="25" s="1"/>
  <c r="G76" i="27"/>
  <c r="E74" i="25" s="1"/>
  <c r="J120" i="27"/>
  <c r="L120" i="27" s="1"/>
  <c r="E118" i="26" s="1"/>
  <c r="G106" i="27"/>
  <c r="E104" i="25" s="1"/>
  <c r="I6" i="28"/>
  <c r="I69" i="30"/>
  <c r="E68" i="29" s="1"/>
  <c r="I31" i="30"/>
  <c r="E30" i="29" s="1"/>
  <c r="I17" i="30"/>
  <c r="E16" i="29" s="1"/>
  <c r="G34" i="27"/>
  <c r="E32" i="25" s="1"/>
  <c r="I46" i="30"/>
  <c r="E45" i="29" s="1"/>
  <c r="I39" i="30"/>
  <c r="E38" i="29" s="1"/>
  <c r="I32" i="30"/>
  <c r="E31" i="29" s="1"/>
  <c r="I45" i="27"/>
  <c r="I73" i="30"/>
  <c r="E72" i="29" s="1"/>
  <c r="I60" i="30"/>
  <c r="E59" i="29" s="1"/>
  <c r="I47" i="30"/>
  <c r="E46" i="29" s="1"/>
  <c r="I40" i="30"/>
  <c r="E39" i="29" s="1"/>
  <c r="I33" i="30"/>
  <c r="E32" i="29" s="1"/>
  <c r="L31" i="27"/>
  <c r="E29" i="26" s="1"/>
  <c r="B62" i="30"/>
  <c r="G74" i="30"/>
  <c r="G58" i="27"/>
  <c r="E56" i="25" s="1"/>
  <c r="F21" i="30"/>
  <c r="E20" i="28" s="1"/>
  <c r="F35" i="27"/>
  <c r="L84" i="27"/>
  <c r="E82" i="26" s="1"/>
  <c r="C74" i="30"/>
  <c r="I70" i="30"/>
  <c r="E69" i="29" s="1"/>
  <c r="B55" i="30"/>
  <c r="B22" i="27"/>
  <c r="L114" i="27"/>
  <c r="E112" i="26" s="1"/>
  <c r="G83" i="27"/>
  <c r="E81" i="25" s="1"/>
  <c r="G30" i="27"/>
  <c r="E28" i="25" s="1"/>
  <c r="G107" i="27"/>
  <c r="E105" i="25" s="1"/>
  <c r="J96" i="27"/>
  <c r="L96" i="27" s="1"/>
  <c r="E94" i="26" s="1"/>
  <c r="L108" i="27"/>
  <c r="E106" i="26" s="1"/>
  <c r="G11" i="27"/>
  <c r="E9" i="25" s="1"/>
  <c r="B35" i="27"/>
  <c r="L109" i="27"/>
  <c r="E107" i="26" s="1"/>
  <c r="G57" i="27"/>
  <c r="E55" i="25" s="1"/>
  <c r="G116" i="27"/>
  <c r="E114" i="25" s="1"/>
  <c r="G95" i="27"/>
  <c r="E93" i="25" s="1"/>
  <c r="L82" i="27"/>
  <c r="E80" i="26" s="1"/>
  <c r="G63" i="27"/>
  <c r="E61" i="25" s="1"/>
  <c r="G100" i="27"/>
  <c r="E98" i="25" s="1"/>
  <c r="F103" i="27"/>
  <c r="F119" i="27"/>
  <c r="G119" i="27" s="1"/>
  <c r="E117" i="25" s="1"/>
  <c r="J119" i="27"/>
  <c r="L119" i="27" s="1"/>
  <c r="E117" i="26" s="1"/>
  <c r="G113" i="27"/>
  <c r="E111" i="25" s="1"/>
  <c r="F97" i="27"/>
  <c r="F49" i="27"/>
  <c r="L58" i="27"/>
  <c r="E56" i="26" s="1"/>
  <c r="G38" i="27"/>
  <c r="E36" i="25" s="1"/>
  <c r="F114" i="27"/>
  <c r="G114" i="27" s="1"/>
  <c r="E112" i="25" s="1"/>
  <c r="J113" i="27"/>
  <c r="J49" i="27"/>
  <c r="L115" i="27"/>
  <c r="E113" i="26" s="1"/>
  <c r="J101" i="27"/>
  <c r="L101" i="27" s="1"/>
  <c r="E99" i="26" s="1"/>
  <c r="J62" i="27"/>
  <c r="L62" i="27" s="1"/>
  <c r="E60" i="26" s="1"/>
  <c r="J75" i="27"/>
  <c r="L75" i="27" s="1"/>
  <c r="E73" i="26" s="1"/>
  <c r="F60" i="27"/>
  <c r="J83" i="27"/>
  <c r="L83" i="27" s="1"/>
  <c r="E81" i="26" s="1"/>
  <c r="I18" i="29" l="1"/>
  <c r="J18" i="29" s="1"/>
  <c r="I14" i="29"/>
  <c r="J14" i="29" s="1"/>
  <c r="I62" i="29"/>
  <c r="J62" i="29" s="1"/>
  <c r="I74" i="29"/>
  <c r="J74" i="29" s="1"/>
  <c r="I22" i="29"/>
  <c r="J22" i="29" s="1"/>
  <c r="N22" i="29" s="1"/>
  <c r="O22" i="29" s="1"/>
  <c r="I34" i="29"/>
  <c r="J34" i="29" s="1"/>
  <c r="N34" i="29" s="1"/>
  <c r="O34" i="29" s="1"/>
  <c r="I19" i="29"/>
  <c r="I42" i="29"/>
  <c r="I56" i="29"/>
  <c r="J56" i="29" s="1"/>
  <c r="I55" i="29"/>
  <c r="J55" i="29" s="1"/>
  <c r="I13" i="29"/>
  <c r="J13" i="29" s="1"/>
  <c r="I50" i="29"/>
  <c r="J50" i="29" s="1"/>
  <c r="I43" i="29"/>
  <c r="J43" i="29" s="1"/>
  <c r="I63" i="29"/>
  <c r="J63" i="29" s="1"/>
  <c r="N14" i="25"/>
  <c r="O14" i="25" s="1"/>
  <c r="Q14" i="25" s="1"/>
  <c r="S14" i="25" s="1"/>
  <c r="T14" i="25" s="1"/>
  <c r="V14" i="25" s="1"/>
  <c r="I79" i="25"/>
  <c r="E54" i="28"/>
  <c r="E48" i="28"/>
  <c r="E54" i="29"/>
  <c r="N5" i="28"/>
  <c r="N6" i="28"/>
  <c r="E73" i="28"/>
  <c r="J19" i="29"/>
  <c r="I5" i="28"/>
  <c r="I5" i="29"/>
  <c r="I22" i="28"/>
  <c r="I34" i="28"/>
  <c r="J49" i="29"/>
  <c r="E41" i="28"/>
  <c r="E61" i="29"/>
  <c r="E17" i="28"/>
  <c r="E17" i="29"/>
  <c r="E12" i="28"/>
  <c r="E12" i="29"/>
  <c r="J42" i="29"/>
  <c r="E48" i="29"/>
  <c r="E41" i="29"/>
  <c r="E115" i="26"/>
  <c r="G115" i="26" s="1"/>
  <c r="E101" i="25"/>
  <c r="E20" i="25"/>
  <c r="E33" i="25"/>
  <c r="E115" i="25"/>
  <c r="E120" i="25" s="1"/>
  <c r="E43" i="25"/>
  <c r="E95" i="25"/>
  <c r="E88" i="25"/>
  <c r="F13" i="30"/>
  <c r="E13" i="30"/>
  <c r="I13" i="30"/>
  <c r="H13" i="30"/>
  <c r="E52" i="27"/>
  <c r="E124" i="27" s="1"/>
  <c r="I18" i="30"/>
  <c r="H18" i="30"/>
  <c r="H55" i="30"/>
  <c r="E49" i="30"/>
  <c r="E62" i="30"/>
  <c r="E42" i="30"/>
  <c r="H74" i="30"/>
  <c r="H62" i="30"/>
  <c r="I71" i="30"/>
  <c r="E55" i="30"/>
  <c r="E18" i="30"/>
  <c r="F58" i="30"/>
  <c r="E57" i="28" s="1"/>
  <c r="E61" i="28" s="1"/>
  <c r="C76" i="30"/>
  <c r="F49" i="30"/>
  <c r="H42" i="30"/>
  <c r="F18" i="30"/>
  <c r="G76" i="30"/>
  <c r="I55" i="30"/>
  <c r="E74" i="30"/>
  <c r="D76" i="30"/>
  <c r="I42" i="30"/>
  <c r="I62" i="30"/>
  <c r="F55" i="30"/>
  <c r="F74" i="30"/>
  <c r="I49" i="30"/>
  <c r="J35" i="27"/>
  <c r="J22" i="27"/>
  <c r="F45" i="27"/>
  <c r="F90" i="27"/>
  <c r="J45" i="27"/>
  <c r="F110" i="27"/>
  <c r="J110" i="27"/>
  <c r="L45" i="27"/>
  <c r="I52" i="27"/>
  <c r="I124" i="27" s="1"/>
  <c r="F22" i="27"/>
  <c r="L22" i="27"/>
  <c r="L35" i="27"/>
  <c r="G110" i="27"/>
  <c r="E108" i="25" s="1"/>
  <c r="G97" i="27"/>
  <c r="G90" i="27"/>
  <c r="G22" i="27"/>
  <c r="G35" i="27"/>
  <c r="B52" i="27"/>
  <c r="B76" i="30"/>
  <c r="L110" i="27"/>
  <c r="F42" i="30"/>
  <c r="J97" i="27"/>
  <c r="L97" i="27"/>
  <c r="J68" i="27"/>
  <c r="F122" i="27"/>
  <c r="G45" i="27"/>
  <c r="J90" i="27"/>
  <c r="L90" i="27"/>
  <c r="L113" i="27"/>
  <c r="E111" i="26" s="1"/>
  <c r="J122" i="27"/>
  <c r="G103" i="27"/>
  <c r="F68" i="27"/>
  <c r="G60" i="27"/>
  <c r="E58" i="25" s="1"/>
  <c r="E66" i="25" s="1"/>
  <c r="J50" i="27"/>
  <c r="L49" i="27"/>
  <c r="E47" i="26" s="1"/>
  <c r="G122" i="27"/>
  <c r="J103" i="27"/>
  <c r="L103" i="27"/>
  <c r="F50" i="27"/>
  <c r="G49" i="27"/>
  <c r="E47" i="25" s="1"/>
  <c r="E48" i="25" s="1"/>
  <c r="L68" i="27"/>
  <c r="K34" i="29" l="1"/>
  <c r="L34" i="29" s="1"/>
  <c r="Q34" i="29" s="1"/>
  <c r="K22" i="29"/>
  <c r="L22" i="29" s="1"/>
  <c r="Q22" i="29" s="1"/>
  <c r="I115" i="26"/>
  <c r="J22" i="28"/>
  <c r="I74" i="30"/>
  <c r="I76" i="30" s="1"/>
  <c r="E70" i="29"/>
  <c r="J34" i="28"/>
  <c r="K34" i="28" s="1"/>
  <c r="L34" i="28" s="1"/>
  <c r="E75" i="28"/>
  <c r="F62" i="30"/>
  <c r="F76" i="30" s="1"/>
  <c r="E50" i="25"/>
  <c r="E122" i="25" s="1"/>
  <c r="G115" i="25"/>
  <c r="B124" i="27"/>
  <c r="H76" i="30"/>
  <c r="E76" i="30"/>
  <c r="J52" i="27"/>
  <c r="J124" i="27" s="1"/>
  <c r="F52" i="27"/>
  <c r="L50" i="27"/>
  <c r="L52" i="27" s="1"/>
  <c r="G50" i="27"/>
  <c r="G52" i="27" s="1"/>
  <c r="G68" i="27"/>
  <c r="L122" i="27"/>
  <c r="N22" i="28" l="1"/>
  <c r="O22" i="28" s="1"/>
  <c r="N34" i="28"/>
  <c r="O34" i="28" s="1"/>
  <c r="Q34" i="28" s="1"/>
  <c r="S34" i="28" s="1"/>
  <c r="T34" i="28" s="1"/>
  <c r="V34" i="28" s="1"/>
  <c r="K22" i="28"/>
  <c r="T34" i="29"/>
  <c r="E73" i="29"/>
  <c r="E75" i="29" s="1"/>
  <c r="T22" i="29"/>
  <c r="J115" i="26"/>
  <c r="G28" i="28"/>
  <c r="E76" i="28"/>
  <c r="G69" i="29"/>
  <c r="E76" i="29"/>
  <c r="I115" i="25"/>
  <c r="F124" i="27"/>
  <c r="B141" i="27"/>
  <c r="B135" i="27"/>
  <c r="G38" i="28"/>
  <c r="G23" i="28"/>
  <c r="G35" i="28"/>
  <c r="G66" i="28"/>
  <c r="G46" i="28"/>
  <c r="G30" i="28"/>
  <c r="G45" i="28"/>
  <c r="G31" i="28"/>
  <c r="G59" i="28"/>
  <c r="G51" i="28"/>
  <c r="G25" i="28"/>
  <c r="G10" i="28"/>
  <c r="G33" i="28"/>
  <c r="G67" i="29"/>
  <c r="G58" i="29"/>
  <c r="G46" i="29"/>
  <c r="G38" i="29"/>
  <c r="G35" i="29"/>
  <c r="G28" i="29"/>
  <c r="G31" i="29"/>
  <c r="G11" i="29"/>
  <c r="G16" i="29"/>
  <c r="G30" i="29"/>
  <c r="G25" i="29"/>
  <c r="G59" i="29"/>
  <c r="G23" i="29"/>
  <c r="G36" i="29"/>
  <c r="G60" i="29"/>
  <c r="G37" i="29"/>
  <c r="G70" i="29"/>
  <c r="G53" i="29"/>
  <c r="G52" i="29"/>
  <c r="G45" i="29"/>
  <c r="G71" i="29"/>
  <c r="G47" i="29"/>
  <c r="G68" i="29"/>
  <c r="G10" i="29"/>
  <c r="G29" i="29"/>
  <c r="G66" i="29"/>
  <c r="G26" i="28"/>
  <c r="G51" i="29"/>
  <c r="G24" i="29"/>
  <c r="G32" i="29"/>
  <c r="G33" i="29"/>
  <c r="G27" i="29"/>
  <c r="G26" i="29"/>
  <c r="G39" i="29"/>
  <c r="G40" i="29"/>
  <c r="G21" i="29"/>
  <c r="G72" i="29"/>
  <c r="G65" i="29"/>
  <c r="G40" i="28"/>
  <c r="G11" i="28"/>
  <c r="G68" i="28"/>
  <c r="G16" i="28"/>
  <c r="G29" i="28"/>
  <c r="G47" i="28"/>
  <c r="G60" i="28"/>
  <c r="G71" i="28"/>
  <c r="G72" i="28"/>
  <c r="G53" i="28"/>
  <c r="G67" i="28"/>
  <c r="G52" i="28"/>
  <c r="G27" i="28"/>
  <c r="G32" i="28"/>
  <c r="G70" i="28"/>
  <c r="G58" i="28"/>
  <c r="G21" i="28"/>
  <c r="G36" i="28"/>
  <c r="G69" i="28"/>
  <c r="G37" i="28"/>
  <c r="G24" i="28"/>
  <c r="G39" i="28"/>
  <c r="G65" i="28"/>
  <c r="G124" i="27"/>
  <c r="L124" i="27"/>
  <c r="E123" i="26" l="1"/>
  <c r="E123" i="25"/>
  <c r="L22" i="28"/>
  <c r="K115" i="26"/>
  <c r="L115" i="26" s="1"/>
  <c r="N115" i="26"/>
  <c r="O115" i="26" s="1"/>
  <c r="J115" i="25"/>
  <c r="K115" i="25" s="1"/>
  <c r="L115" i="25" s="1"/>
  <c r="I36" i="28"/>
  <c r="I32" i="28"/>
  <c r="I47" i="28"/>
  <c r="I33" i="28"/>
  <c r="I46" i="28"/>
  <c r="I38" i="28"/>
  <c r="I69" i="28"/>
  <c r="I67" i="28"/>
  <c r="I60" i="28"/>
  <c r="I51" i="28"/>
  <c r="I30" i="28"/>
  <c r="I23" i="28"/>
  <c r="I37" i="28"/>
  <c r="I71" i="28"/>
  <c r="I16" i="28"/>
  <c r="I25" i="28"/>
  <c r="I45" i="28"/>
  <c r="I35" i="28"/>
  <c r="I24" i="28"/>
  <c r="I21" i="28"/>
  <c r="I27" i="28"/>
  <c r="I72" i="28"/>
  <c r="I29" i="28"/>
  <c r="I40" i="28"/>
  <c r="I31" i="28"/>
  <c r="I28" i="28"/>
  <c r="I39" i="28"/>
  <c r="I53" i="28"/>
  <c r="I11" i="28"/>
  <c r="I59" i="28"/>
  <c r="I65" i="28"/>
  <c r="I70" i="28"/>
  <c r="I68" i="28"/>
  <c r="I52" i="28"/>
  <c r="I26" i="29"/>
  <c r="I29" i="29"/>
  <c r="I71" i="29"/>
  <c r="I23" i="29"/>
  <c r="I35" i="29"/>
  <c r="I67" i="29"/>
  <c r="I58" i="28"/>
  <c r="I65" i="29"/>
  <c r="I32" i="29"/>
  <c r="I66" i="29"/>
  <c r="I53" i="29"/>
  <c r="I30" i="29"/>
  <c r="I40" i="29"/>
  <c r="I33" i="29"/>
  <c r="I26" i="28"/>
  <c r="I68" i="29"/>
  <c r="I52" i="29"/>
  <c r="I60" i="29"/>
  <c r="N60" i="29" s="1"/>
  <c r="O60" i="29" s="1"/>
  <c r="I25" i="29"/>
  <c r="I31" i="29"/>
  <c r="I46" i="29"/>
  <c r="I10" i="28"/>
  <c r="I66" i="28"/>
  <c r="I69" i="29"/>
  <c r="I72" i="29"/>
  <c r="I24" i="29"/>
  <c r="I70" i="29"/>
  <c r="I16" i="29"/>
  <c r="I39" i="29"/>
  <c r="I47" i="29"/>
  <c r="I36" i="29"/>
  <c r="I28" i="29"/>
  <c r="I58" i="29"/>
  <c r="N58" i="29" s="1"/>
  <c r="I21" i="29"/>
  <c r="I27" i="29"/>
  <c r="I51" i="29"/>
  <c r="I10" i="29"/>
  <c r="I45" i="29"/>
  <c r="I37" i="29"/>
  <c r="I59" i="29"/>
  <c r="N59" i="29" s="1"/>
  <c r="O59" i="29" s="1"/>
  <c r="I11" i="29"/>
  <c r="I38" i="29"/>
  <c r="G15" i="25"/>
  <c r="G54" i="29"/>
  <c r="G98" i="25"/>
  <c r="G85" i="25"/>
  <c r="G75" i="25"/>
  <c r="G31" i="25"/>
  <c r="G39" i="25"/>
  <c r="G87" i="25"/>
  <c r="G61" i="25"/>
  <c r="G13" i="25"/>
  <c r="G64" i="25"/>
  <c r="G119" i="25"/>
  <c r="G54" i="25"/>
  <c r="G32" i="25"/>
  <c r="G112" i="25"/>
  <c r="G27" i="25"/>
  <c r="G71" i="25"/>
  <c r="G86" i="25"/>
  <c r="G37" i="25"/>
  <c r="G17" i="25"/>
  <c r="G30" i="25"/>
  <c r="G83" i="25"/>
  <c r="G38" i="25"/>
  <c r="G106" i="25"/>
  <c r="G10" i="25"/>
  <c r="G107" i="25"/>
  <c r="G18" i="25"/>
  <c r="G28" i="25"/>
  <c r="G42" i="25"/>
  <c r="G59" i="25"/>
  <c r="G105" i="25"/>
  <c r="G116" i="25"/>
  <c r="G118" i="25"/>
  <c r="G65" i="25"/>
  <c r="G114" i="25"/>
  <c r="G12" i="25"/>
  <c r="G93" i="25"/>
  <c r="G73" i="25"/>
  <c r="G62" i="25"/>
  <c r="G74" i="25"/>
  <c r="G72" i="25"/>
  <c r="G117" i="25"/>
  <c r="G24" i="25"/>
  <c r="G82" i="25"/>
  <c r="G100" i="25"/>
  <c r="G16" i="25"/>
  <c r="G113" i="25"/>
  <c r="G56" i="25"/>
  <c r="G77" i="25"/>
  <c r="G78" i="25"/>
  <c r="G70" i="25"/>
  <c r="G99" i="25"/>
  <c r="G60" i="25"/>
  <c r="G81" i="25"/>
  <c r="G47" i="25"/>
  <c r="G41" i="25"/>
  <c r="G26" i="25"/>
  <c r="G84" i="25"/>
  <c r="G92" i="25"/>
  <c r="G57" i="25"/>
  <c r="G40" i="25"/>
  <c r="G75" i="26"/>
  <c r="G65" i="26"/>
  <c r="G118" i="26"/>
  <c r="G18" i="26"/>
  <c r="G26" i="26"/>
  <c r="G16" i="26"/>
  <c r="G32" i="26"/>
  <c r="G94" i="26"/>
  <c r="G56" i="26"/>
  <c r="G24" i="26"/>
  <c r="G73" i="26"/>
  <c r="G105" i="26"/>
  <c r="G54" i="26"/>
  <c r="G17" i="26"/>
  <c r="G19" i="26"/>
  <c r="G59" i="26"/>
  <c r="G100" i="26"/>
  <c r="G37" i="26"/>
  <c r="G47" i="26"/>
  <c r="G107" i="26"/>
  <c r="G30" i="26"/>
  <c r="G12" i="26"/>
  <c r="G38" i="26"/>
  <c r="G40" i="26"/>
  <c r="G27" i="26"/>
  <c r="G80" i="26"/>
  <c r="G41" i="26"/>
  <c r="G42" i="26"/>
  <c r="G28" i="26"/>
  <c r="G57" i="26"/>
  <c r="G98" i="26"/>
  <c r="G92" i="26"/>
  <c r="G86" i="26"/>
  <c r="G116" i="26"/>
  <c r="G39" i="26"/>
  <c r="G82" i="26"/>
  <c r="G70" i="26"/>
  <c r="G60" i="26"/>
  <c r="G15" i="26"/>
  <c r="G83" i="26"/>
  <c r="G76" i="26"/>
  <c r="G74" i="26"/>
  <c r="G63" i="26"/>
  <c r="G10" i="26"/>
  <c r="G99" i="26"/>
  <c r="G81" i="26"/>
  <c r="G85" i="26"/>
  <c r="G112" i="26"/>
  <c r="G93" i="26"/>
  <c r="G13" i="26"/>
  <c r="G114" i="26"/>
  <c r="G106" i="26"/>
  <c r="G31" i="26"/>
  <c r="G119" i="26"/>
  <c r="G84" i="26"/>
  <c r="G117" i="26"/>
  <c r="G29" i="26"/>
  <c r="G72" i="26"/>
  <c r="G25" i="26"/>
  <c r="G113" i="26"/>
  <c r="G64" i="26"/>
  <c r="G79" i="26"/>
  <c r="G62" i="26"/>
  <c r="G61" i="26"/>
  <c r="G78" i="26"/>
  <c r="G11" i="26"/>
  <c r="G58" i="26"/>
  <c r="G77" i="26"/>
  <c r="G55" i="26"/>
  <c r="G87" i="26"/>
  <c r="G71" i="26"/>
  <c r="G58" i="25"/>
  <c r="G19" i="25"/>
  <c r="G80" i="25"/>
  <c r="G29" i="25"/>
  <c r="G11" i="25"/>
  <c r="G25" i="25"/>
  <c r="G63" i="25"/>
  <c r="G76" i="25"/>
  <c r="G55" i="25"/>
  <c r="G94" i="25"/>
  <c r="B138" i="27"/>
  <c r="G54" i="28"/>
  <c r="Q115" i="26" l="1"/>
  <c r="Q22" i="28"/>
  <c r="S22" i="28" s="1"/>
  <c r="T22" i="28" s="1"/>
  <c r="N61" i="29"/>
  <c r="O61" i="29" s="1"/>
  <c r="O58" i="29"/>
  <c r="J65" i="28"/>
  <c r="J29" i="28"/>
  <c r="J16" i="28"/>
  <c r="N16" i="28" s="1"/>
  <c r="O16" i="28" s="1"/>
  <c r="J30" i="28"/>
  <c r="J40" i="28"/>
  <c r="J21" i="28"/>
  <c r="N21" i="28" s="1"/>
  <c r="O21" i="28" s="1"/>
  <c r="J25" i="28"/>
  <c r="J23" i="28"/>
  <c r="J33" i="28"/>
  <c r="N33" i="28" s="1"/>
  <c r="O33" i="28" s="1"/>
  <c r="N58" i="28"/>
  <c r="O58" i="28" s="1"/>
  <c r="J11" i="28"/>
  <c r="N11" i="28" s="1"/>
  <c r="O11" i="28" s="1"/>
  <c r="J31" i="28"/>
  <c r="N31" i="28" s="1"/>
  <c r="O31" i="28" s="1"/>
  <c r="J27" i="28"/>
  <c r="J45" i="28"/>
  <c r="N45" i="28" s="1"/>
  <c r="O45" i="28" s="1"/>
  <c r="J37" i="28"/>
  <c r="N60" i="28"/>
  <c r="J36" i="28"/>
  <c r="J39" i="28"/>
  <c r="K39" i="28" s="1"/>
  <c r="L39" i="28" s="1"/>
  <c r="J24" i="28"/>
  <c r="N59" i="28"/>
  <c r="O59" i="28" s="1"/>
  <c r="J28" i="28"/>
  <c r="J72" i="28"/>
  <c r="J35" i="28"/>
  <c r="N35" i="28" s="1"/>
  <c r="O35" i="28" s="1"/>
  <c r="J51" i="28"/>
  <c r="J38" i="28"/>
  <c r="N38" i="28" s="1"/>
  <c r="O38" i="28" s="1"/>
  <c r="J32" i="28"/>
  <c r="K32" i="28" s="1"/>
  <c r="L32" i="28" s="1"/>
  <c r="N115" i="25"/>
  <c r="O115" i="25" s="1"/>
  <c r="Q115" i="25" s="1"/>
  <c r="S115" i="25" s="1"/>
  <c r="T115" i="25" s="1"/>
  <c r="V115" i="25" s="1"/>
  <c r="J47" i="28"/>
  <c r="J69" i="28"/>
  <c r="I54" i="28"/>
  <c r="J59" i="28"/>
  <c r="K59" i="28" s="1"/>
  <c r="L59" i="28" s="1"/>
  <c r="J53" i="28"/>
  <c r="J67" i="28"/>
  <c r="J70" i="28"/>
  <c r="K70" i="28" s="1"/>
  <c r="L70" i="28" s="1"/>
  <c r="J68" i="28"/>
  <c r="K68" i="28" s="1"/>
  <c r="L68" i="28" s="1"/>
  <c r="J46" i="28"/>
  <c r="K46" i="28" s="1"/>
  <c r="L46" i="28" s="1"/>
  <c r="J52" i="28"/>
  <c r="J71" i="28"/>
  <c r="J60" i="28"/>
  <c r="I78" i="26"/>
  <c r="I99" i="26"/>
  <c r="I70" i="26"/>
  <c r="I86" i="26"/>
  <c r="I72" i="26"/>
  <c r="I74" i="26"/>
  <c r="I71" i="26"/>
  <c r="I77" i="26"/>
  <c r="I113" i="26"/>
  <c r="I117" i="26"/>
  <c r="I112" i="26"/>
  <c r="I83" i="26"/>
  <c r="I82" i="26"/>
  <c r="I76" i="26"/>
  <c r="I100" i="26"/>
  <c r="I75" i="26"/>
  <c r="I87" i="26"/>
  <c r="I79" i="26"/>
  <c r="I119" i="26"/>
  <c r="I81" i="26"/>
  <c r="I116" i="26"/>
  <c r="I80" i="26"/>
  <c r="I84" i="26"/>
  <c r="I114" i="26"/>
  <c r="I85" i="26"/>
  <c r="I98" i="26"/>
  <c r="I73" i="26"/>
  <c r="I118" i="26"/>
  <c r="J11" i="29"/>
  <c r="N11" i="29" s="1"/>
  <c r="O11" i="29" s="1"/>
  <c r="J28" i="29"/>
  <c r="K28" i="29" s="1"/>
  <c r="L28" i="29" s="1"/>
  <c r="J69" i="29"/>
  <c r="N69" i="29" s="1"/>
  <c r="O69" i="29" s="1"/>
  <c r="J52" i="29"/>
  <c r="N52" i="29" s="1"/>
  <c r="O52" i="29" s="1"/>
  <c r="J40" i="29"/>
  <c r="N40" i="29" s="1"/>
  <c r="O40" i="29" s="1"/>
  <c r="J39" i="29"/>
  <c r="K39" i="29" s="1"/>
  <c r="L39" i="29" s="1"/>
  <c r="J24" i="29"/>
  <c r="N24" i="29" s="1"/>
  <c r="O24" i="29" s="1"/>
  <c r="J60" i="29"/>
  <c r="K60" i="29" s="1"/>
  <c r="L60" i="29" s="1"/>
  <c r="Q60" i="29" s="1"/>
  <c r="J35" i="29"/>
  <c r="N35" i="29" s="1"/>
  <c r="O35" i="29" s="1"/>
  <c r="J26" i="29"/>
  <c r="N26" i="29" s="1"/>
  <c r="O26" i="29" s="1"/>
  <c r="J37" i="29"/>
  <c r="N37" i="29" s="1"/>
  <c r="O37" i="29" s="1"/>
  <c r="J27" i="29"/>
  <c r="N27" i="29" s="1"/>
  <c r="O27" i="29" s="1"/>
  <c r="J47" i="29"/>
  <c r="N47" i="29" s="1"/>
  <c r="O47" i="29" s="1"/>
  <c r="J70" i="29"/>
  <c r="N70" i="29" s="1"/>
  <c r="O70" i="29" s="1"/>
  <c r="J25" i="29"/>
  <c r="N25" i="29" s="1"/>
  <c r="O25" i="29" s="1"/>
  <c r="J66" i="29"/>
  <c r="N66" i="29" s="1"/>
  <c r="O66" i="29" s="1"/>
  <c r="J10" i="29"/>
  <c r="N10" i="29" s="1"/>
  <c r="O10" i="29" s="1"/>
  <c r="J72" i="29"/>
  <c r="N72" i="29" s="1"/>
  <c r="O72" i="29" s="1"/>
  <c r="J46" i="29"/>
  <c r="N46" i="29" s="1"/>
  <c r="O46" i="29" s="1"/>
  <c r="J30" i="29"/>
  <c r="N30" i="29" s="1"/>
  <c r="O30" i="29" s="1"/>
  <c r="J32" i="29"/>
  <c r="K32" i="29" s="1"/>
  <c r="L32" i="29" s="1"/>
  <c r="J23" i="29"/>
  <c r="N23" i="29" s="1"/>
  <c r="O23" i="29" s="1"/>
  <c r="J45" i="29"/>
  <c r="K45" i="29" s="1"/>
  <c r="L45" i="29" s="1"/>
  <c r="I54" i="29"/>
  <c r="J36" i="29"/>
  <c r="N36" i="29" s="1"/>
  <c r="O36" i="29" s="1"/>
  <c r="J68" i="29"/>
  <c r="N68" i="29" s="1"/>
  <c r="O68" i="29" s="1"/>
  <c r="J53" i="29"/>
  <c r="N53" i="29" s="1"/>
  <c r="O53" i="29" s="1"/>
  <c r="J65" i="29"/>
  <c r="N65" i="29" s="1"/>
  <c r="O65" i="29" s="1"/>
  <c r="J71" i="29"/>
  <c r="N71" i="29" s="1"/>
  <c r="O71" i="29" s="1"/>
  <c r="J10" i="28"/>
  <c r="J58" i="28"/>
  <c r="J26" i="28"/>
  <c r="K26" i="28" s="1"/>
  <c r="L26" i="28" s="1"/>
  <c r="I24" i="25"/>
  <c r="I25" i="25"/>
  <c r="I19" i="25"/>
  <c r="I55" i="26"/>
  <c r="I64" i="26"/>
  <c r="I31" i="26"/>
  <c r="I28" i="26"/>
  <c r="I56" i="26"/>
  <c r="I26" i="26"/>
  <c r="I84" i="25"/>
  <c r="I78" i="25"/>
  <c r="I117" i="25"/>
  <c r="I65" i="25"/>
  <c r="I107" i="25"/>
  <c r="I86" i="25"/>
  <c r="I64" i="25"/>
  <c r="I98" i="25"/>
  <c r="I11" i="26"/>
  <c r="I60" i="26"/>
  <c r="I37" i="26"/>
  <c r="I24" i="26"/>
  <c r="I65" i="26"/>
  <c r="I92" i="25"/>
  <c r="I70" i="25"/>
  <c r="I114" i="25"/>
  <c r="I105" i="25"/>
  <c r="I38" i="25"/>
  <c r="I112" i="25"/>
  <c r="I87" i="25"/>
  <c r="I85" i="25"/>
  <c r="I76" i="25"/>
  <c r="I29" i="25"/>
  <c r="I58" i="26"/>
  <c r="I62" i="26"/>
  <c r="I25" i="26"/>
  <c r="I63" i="26"/>
  <c r="I15" i="26"/>
  <c r="I39" i="26"/>
  <c r="I41" i="26"/>
  <c r="I38" i="26"/>
  <c r="I47" i="26"/>
  <c r="I19" i="26"/>
  <c r="I32" i="26"/>
  <c r="I57" i="25"/>
  <c r="I41" i="25"/>
  <c r="I99" i="25"/>
  <c r="I56" i="25"/>
  <c r="I82" i="25"/>
  <c r="I74" i="25"/>
  <c r="I12" i="25"/>
  <c r="I116" i="25"/>
  <c r="I28" i="25"/>
  <c r="I106" i="25"/>
  <c r="I17" i="25"/>
  <c r="I27" i="25"/>
  <c r="I119" i="25"/>
  <c r="I61" i="25"/>
  <c r="I75" i="25"/>
  <c r="I15" i="25"/>
  <c r="J38" i="29"/>
  <c r="N38" i="29" s="1"/>
  <c r="O38" i="29" s="1"/>
  <c r="J59" i="29"/>
  <c r="K59" i="29" s="1"/>
  <c r="L59" i="29" s="1"/>
  <c r="Q59" i="29" s="1"/>
  <c r="J51" i="29"/>
  <c r="N51" i="29" s="1"/>
  <c r="J21" i="29"/>
  <c r="N21" i="29" s="1"/>
  <c r="O21" i="29" s="1"/>
  <c r="J58" i="29"/>
  <c r="K58" i="29" s="1"/>
  <c r="L58" i="29" s="1"/>
  <c r="J16" i="29"/>
  <c r="N16" i="29" s="1"/>
  <c r="O16" i="29" s="1"/>
  <c r="J66" i="28"/>
  <c r="J31" i="29"/>
  <c r="N31" i="29" s="1"/>
  <c r="O31" i="29" s="1"/>
  <c r="J33" i="29"/>
  <c r="N33" i="29" s="1"/>
  <c r="O33" i="29" s="1"/>
  <c r="J67" i="29"/>
  <c r="N67" i="29" s="1"/>
  <c r="O67" i="29" s="1"/>
  <c r="J29" i="29"/>
  <c r="N29" i="29" s="1"/>
  <c r="O29" i="29" s="1"/>
  <c r="I94" i="25"/>
  <c r="I29" i="26"/>
  <c r="I93" i="26"/>
  <c r="I27" i="26"/>
  <c r="I30" i="26"/>
  <c r="I54" i="26"/>
  <c r="I81" i="25"/>
  <c r="I16" i="25"/>
  <c r="I73" i="25"/>
  <c r="I59" i="25"/>
  <c r="I83" i="25"/>
  <c r="I32" i="25"/>
  <c r="I39" i="25"/>
  <c r="I63" i="25"/>
  <c r="I80" i="25"/>
  <c r="I13" i="26"/>
  <c r="I57" i="26"/>
  <c r="I12" i="26"/>
  <c r="I17" i="26"/>
  <c r="I16" i="26"/>
  <c r="I47" i="25"/>
  <c r="I113" i="25"/>
  <c r="I62" i="25"/>
  <c r="I18" i="25"/>
  <c r="I37" i="25"/>
  <c r="I55" i="25"/>
  <c r="I11" i="25"/>
  <c r="I58" i="25"/>
  <c r="I61" i="26"/>
  <c r="I106" i="26"/>
  <c r="N106" i="26" s="1"/>
  <c r="O106" i="26" s="1"/>
  <c r="I10" i="26"/>
  <c r="I92" i="26"/>
  <c r="I42" i="26"/>
  <c r="I40" i="26"/>
  <c r="I107" i="26"/>
  <c r="N107" i="26" s="1"/>
  <c r="O107" i="26" s="1"/>
  <c r="I59" i="26"/>
  <c r="I105" i="26"/>
  <c r="N105" i="26" s="1"/>
  <c r="O105" i="26" s="1"/>
  <c r="I94" i="26"/>
  <c r="I18" i="26"/>
  <c r="I40" i="25"/>
  <c r="I26" i="25"/>
  <c r="I60" i="25"/>
  <c r="I77" i="25"/>
  <c r="I100" i="25"/>
  <c r="I72" i="25"/>
  <c r="I93" i="25"/>
  <c r="I118" i="25"/>
  <c r="I42" i="25"/>
  <c r="I10" i="25"/>
  <c r="I30" i="25"/>
  <c r="I71" i="25"/>
  <c r="I54" i="25"/>
  <c r="I13" i="25"/>
  <c r="I31" i="25"/>
  <c r="G44" i="28"/>
  <c r="G15" i="28"/>
  <c r="G57" i="28"/>
  <c r="L57" i="28" s="1"/>
  <c r="Q57" i="28" s="1"/>
  <c r="G15" i="29"/>
  <c r="G44" i="29"/>
  <c r="G20" i="28"/>
  <c r="G64" i="28"/>
  <c r="G9" i="28"/>
  <c r="G64" i="29"/>
  <c r="G20" i="29"/>
  <c r="G9" i="29"/>
  <c r="G57" i="29"/>
  <c r="G111" i="26"/>
  <c r="E120" i="26"/>
  <c r="S57" i="28" l="1"/>
  <c r="T57" i="28" s="1"/>
  <c r="V57" i="28" s="1"/>
  <c r="V22" i="28"/>
  <c r="N45" i="29"/>
  <c r="O45" i="29" s="1"/>
  <c r="Q45" i="29" s="1"/>
  <c r="N39" i="28"/>
  <c r="O39" i="28" s="1"/>
  <c r="Q39" i="28" s="1"/>
  <c r="S39" i="28" s="1"/>
  <c r="Q58" i="29"/>
  <c r="Q59" i="28"/>
  <c r="N61" i="28"/>
  <c r="O61" i="28" s="1"/>
  <c r="E44" i="24" s="1"/>
  <c r="O60" i="28"/>
  <c r="N54" i="29"/>
  <c r="O54" i="29" s="1"/>
  <c r="K11" i="29"/>
  <c r="L11" i="29" s="1"/>
  <c r="Q11" i="29" s="1"/>
  <c r="N32" i="29"/>
  <c r="O32" i="29" s="1"/>
  <c r="Q32" i="29" s="1"/>
  <c r="K67" i="29"/>
  <c r="L67" i="29" s="1"/>
  <c r="Q67" i="29" s="1"/>
  <c r="N28" i="29"/>
  <c r="O28" i="29" s="1"/>
  <c r="Q28" i="29" s="1"/>
  <c r="N39" i="29"/>
  <c r="O39" i="29" s="1"/>
  <c r="Q39" i="29" s="1"/>
  <c r="K70" i="29"/>
  <c r="L70" i="29" s="1"/>
  <c r="Q70" i="29" s="1"/>
  <c r="K26" i="29"/>
  <c r="L26" i="29" s="1"/>
  <c r="Q26" i="29" s="1"/>
  <c r="K23" i="29"/>
  <c r="L23" i="29" s="1"/>
  <c r="Q23" i="29" s="1"/>
  <c r="K38" i="29"/>
  <c r="L38" i="29" s="1"/>
  <c r="Q38" i="29" s="1"/>
  <c r="K29" i="29"/>
  <c r="L29" i="29" s="1"/>
  <c r="Q29" i="29" s="1"/>
  <c r="K51" i="29"/>
  <c r="L51" i="29" s="1"/>
  <c r="Q51" i="29" s="1"/>
  <c r="K65" i="29"/>
  <c r="L65" i="29" s="1"/>
  <c r="Q65" i="29" s="1"/>
  <c r="K72" i="29"/>
  <c r="L72" i="29" s="1"/>
  <c r="Q72" i="29" s="1"/>
  <c r="K25" i="29"/>
  <c r="L25" i="29" s="1"/>
  <c r="Q25" i="29" s="1"/>
  <c r="K37" i="29"/>
  <c r="L37" i="29" s="1"/>
  <c r="Q37" i="29" s="1"/>
  <c r="K31" i="29"/>
  <c r="L31" i="29" s="1"/>
  <c r="Q31" i="29" s="1"/>
  <c r="K21" i="29"/>
  <c r="L21" i="29" s="1"/>
  <c r="Q21" i="29" s="1"/>
  <c r="K71" i="29"/>
  <c r="L71" i="29" s="1"/>
  <c r="Q71" i="29" s="1"/>
  <c r="K36" i="29"/>
  <c r="L36" i="29" s="1"/>
  <c r="Q36" i="29" s="1"/>
  <c r="K66" i="29"/>
  <c r="L66" i="29" s="1"/>
  <c r="Q66" i="29" s="1"/>
  <c r="K40" i="29"/>
  <c r="L40" i="29" s="1"/>
  <c r="Q40" i="29" s="1"/>
  <c r="K30" i="29"/>
  <c r="L30" i="29" s="1"/>
  <c r="Q30" i="29" s="1"/>
  <c r="K16" i="29"/>
  <c r="L16" i="29" s="1"/>
  <c r="Q16" i="29" s="1"/>
  <c r="K33" i="29"/>
  <c r="L33" i="29" s="1"/>
  <c r="Q33" i="29" s="1"/>
  <c r="K35" i="29"/>
  <c r="L35" i="29" s="1"/>
  <c r="Q35" i="29" s="1"/>
  <c r="K10" i="29"/>
  <c r="L10" i="29" s="1"/>
  <c r="Q10" i="29" s="1"/>
  <c r="K69" i="29"/>
  <c r="L69" i="29" s="1"/>
  <c r="Q69" i="29" s="1"/>
  <c r="K52" i="29"/>
  <c r="L52" i="29" s="1"/>
  <c r="Q52" i="29" s="1"/>
  <c r="K53" i="29"/>
  <c r="L53" i="29" s="1"/>
  <c r="Q53" i="29" s="1"/>
  <c r="K27" i="29"/>
  <c r="L27" i="29" s="1"/>
  <c r="Q27" i="29" s="1"/>
  <c r="K47" i="29"/>
  <c r="L47" i="29" s="1"/>
  <c r="Q47" i="29" s="1"/>
  <c r="K46" i="29"/>
  <c r="L46" i="29" s="1"/>
  <c r="Q46" i="29" s="1"/>
  <c r="K68" i="29"/>
  <c r="L68" i="29" s="1"/>
  <c r="Q68" i="29" s="1"/>
  <c r="K24" i="29"/>
  <c r="L24" i="29" s="1"/>
  <c r="Q24" i="29" s="1"/>
  <c r="K53" i="28"/>
  <c r="L53" i="28" s="1"/>
  <c r="K51" i="28"/>
  <c r="L51" i="28" s="1"/>
  <c r="K30" i="28"/>
  <c r="L30" i="28" s="1"/>
  <c r="N29" i="28"/>
  <c r="O29" i="28" s="1"/>
  <c r="N72" i="28"/>
  <c r="O72" i="28" s="1"/>
  <c r="K72" i="28"/>
  <c r="L72" i="28" s="1"/>
  <c r="K29" i="28"/>
  <c r="L29" i="28" s="1"/>
  <c r="N24" i="28"/>
  <c r="O24" i="28" s="1"/>
  <c r="N28" i="28"/>
  <c r="O28" i="28" s="1"/>
  <c r="N23" i="28"/>
  <c r="O23" i="28" s="1"/>
  <c r="N30" i="28"/>
  <c r="N10" i="28"/>
  <c r="O10" i="28" s="1"/>
  <c r="N26" i="28"/>
  <c r="O26" i="28" s="1"/>
  <c r="Q26" i="28" s="1"/>
  <c r="S26" i="28" s="1"/>
  <c r="N37" i="28"/>
  <c r="N40" i="28"/>
  <c r="O40" i="28" s="1"/>
  <c r="K69" i="28"/>
  <c r="L69" i="28" s="1"/>
  <c r="K36" i="28"/>
  <c r="L36" i="28" s="1"/>
  <c r="K37" i="28"/>
  <c r="L37" i="28" s="1"/>
  <c r="K27" i="28"/>
  <c r="L27" i="28" s="1"/>
  <c r="K11" i="28"/>
  <c r="L11" i="28" s="1"/>
  <c r="K33" i="28"/>
  <c r="K25" i="28"/>
  <c r="L25" i="28" s="1"/>
  <c r="K40" i="28"/>
  <c r="L40" i="28" s="1"/>
  <c r="K16" i="28"/>
  <c r="L16" i="28" s="1"/>
  <c r="K65" i="28"/>
  <c r="L65" i="28" s="1"/>
  <c r="N25" i="28"/>
  <c r="N32" i="28"/>
  <c r="N51" i="28"/>
  <c r="N27" i="28"/>
  <c r="O27" i="28" s="1"/>
  <c r="K52" i="28"/>
  <c r="L52" i="28" s="1"/>
  <c r="K38" i="28"/>
  <c r="K35" i="28"/>
  <c r="K28" i="28"/>
  <c r="K24" i="28"/>
  <c r="L24" i="28" s="1"/>
  <c r="K67" i="28"/>
  <c r="L67" i="28" s="1"/>
  <c r="K47" i="28"/>
  <c r="L47" i="28" s="1"/>
  <c r="N66" i="28"/>
  <c r="O66" i="28" s="1"/>
  <c r="N70" i="28"/>
  <c r="O70" i="28" s="1"/>
  <c r="Q70" i="28" s="1"/>
  <c r="S70" i="28" s="1"/>
  <c r="N46" i="28"/>
  <c r="O46" i="28" s="1"/>
  <c r="Q46" i="28" s="1"/>
  <c r="S46" i="28" s="1"/>
  <c r="N36" i="28"/>
  <c r="O36" i="28" s="1"/>
  <c r="N65" i="28"/>
  <c r="O65" i="28" s="1"/>
  <c r="Q65" i="28" s="1"/>
  <c r="S65" i="28" s="1"/>
  <c r="K71" i="28"/>
  <c r="L71" i="28" s="1"/>
  <c r="K66" i="28"/>
  <c r="K10" i="28"/>
  <c r="L10" i="28" s="1"/>
  <c r="K60" i="28"/>
  <c r="K45" i="28"/>
  <c r="K31" i="28"/>
  <c r="L31" i="28" s="1"/>
  <c r="K58" i="28"/>
  <c r="L58" i="28" s="1"/>
  <c r="K23" i="28"/>
  <c r="K21" i="28"/>
  <c r="L21" i="28" s="1"/>
  <c r="J59" i="26"/>
  <c r="K59" i="26" s="1"/>
  <c r="L59" i="26" s="1"/>
  <c r="J16" i="26"/>
  <c r="N16" i="26" s="1"/>
  <c r="O16" i="26" s="1"/>
  <c r="J13" i="26"/>
  <c r="J42" i="26"/>
  <c r="K42" i="26" s="1"/>
  <c r="L42" i="26" s="1"/>
  <c r="J41" i="26"/>
  <c r="K41" i="26" s="1"/>
  <c r="L41" i="26" s="1"/>
  <c r="J73" i="26"/>
  <c r="K73" i="26" s="1"/>
  <c r="L73" i="26" s="1"/>
  <c r="J84" i="26"/>
  <c r="K84" i="26" s="1"/>
  <c r="L84" i="26" s="1"/>
  <c r="J119" i="26"/>
  <c r="N119" i="26" s="1"/>
  <c r="O119" i="26" s="1"/>
  <c r="J71" i="26"/>
  <c r="K71" i="26" s="1"/>
  <c r="L71" i="26" s="1"/>
  <c r="J29" i="26"/>
  <c r="J37" i="26"/>
  <c r="K37" i="26" s="1"/>
  <c r="L37" i="26" s="1"/>
  <c r="J55" i="26"/>
  <c r="K55" i="26" s="1"/>
  <c r="L55" i="26" s="1"/>
  <c r="J81" i="26"/>
  <c r="K81" i="26" s="1"/>
  <c r="L81" i="26" s="1"/>
  <c r="J75" i="26"/>
  <c r="N75" i="26" s="1"/>
  <c r="O75" i="26" s="1"/>
  <c r="J83" i="26"/>
  <c r="N83" i="26" s="1"/>
  <c r="O83" i="26" s="1"/>
  <c r="J77" i="26"/>
  <c r="N77" i="26" s="1"/>
  <c r="O77" i="26" s="1"/>
  <c r="J86" i="26"/>
  <c r="N86" i="26" s="1"/>
  <c r="O86" i="26" s="1"/>
  <c r="J65" i="26"/>
  <c r="N65" i="26" s="1"/>
  <c r="O65" i="26" s="1"/>
  <c r="J80" i="26"/>
  <c r="K80" i="26" s="1"/>
  <c r="L80" i="26" s="1"/>
  <c r="J76" i="26"/>
  <c r="N76" i="26" s="1"/>
  <c r="O76" i="26" s="1"/>
  <c r="J74" i="26"/>
  <c r="K74" i="26" s="1"/>
  <c r="L74" i="26" s="1"/>
  <c r="J18" i="26"/>
  <c r="J58" i="26"/>
  <c r="N58" i="26" s="1"/>
  <c r="O58" i="26" s="1"/>
  <c r="J85" i="26"/>
  <c r="N85" i="26" s="1"/>
  <c r="O85" i="26" s="1"/>
  <c r="J87" i="26"/>
  <c r="J82" i="26"/>
  <c r="N82" i="26" s="1"/>
  <c r="O82" i="26" s="1"/>
  <c r="J72" i="26"/>
  <c r="N72" i="26" s="1"/>
  <c r="O72" i="26" s="1"/>
  <c r="J78" i="26"/>
  <c r="N78" i="26" s="1"/>
  <c r="O78" i="26" s="1"/>
  <c r="J13" i="25"/>
  <c r="N13" i="25" s="1"/>
  <c r="O13" i="25" s="1"/>
  <c r="J47" i="25"/>
  <c r="K47" i="25" s="1"/>
  <c r="L47" i="25" s="1"/>
  <c r="J39" i="25"/>
  <c r="K39" i="25" s="1"/>
  <c r="L39" i="25" s="1"/>
  <c r="J76" i="25"/>
  <c r="K76" i="25" s="1"/>
  <c r="L76" i="25" s="1"/>
  <c r="J92" i="25"/>
  <c r="N92" i="25" s="1"/>
  <c r="O92" i="25" s="1"/>
  <c r="J78" i="25"/>
  <c r="K78" i="25" s="1"/>
  <c r="L78" i="25" s="1"/>
  <c r="J19" i="25"/>
  <c r="N19" i="25" s="1"/>
  <c r="O19" i="25" s="1"/>
  <c r="J31" i="25"/>
  <c r="N31" i="25" s="1"/>
  <c r="O31" i="25" s="1"/>
  <c r="J93" i="25"/>
  <c r="N93" i="25" s="1"/>
  <c r="O93" i="25" s="1"/>
  <c r="J63" i="25"/>
  <c r="K63" i="25" s="1"/>
  <c r="L63" i="25" s="1"/>
  <c r="J64" i="25"/>
  <c r="N64" i="25" s="1"/>
  <c r="O64" i="25" s="1"/>
  <c r="J42" i="25"/>
  <c r="K42" i="25" s="1"/>
  <c r="L42" i="25" s="1"/>
  <c r="J100" i="25"/>
  <c r="N100" i="25" s="1"/>
  <c r="O100" i="25" s="1"/>
  <c r="J58" i="25"/>
  <c r="N58" i="25" s="1"/>
  <c r="O58" i="25" s="1"/>
  <c r="J18" i="25"/>
  <c r="K18" i="25" s="1"/>
  <c r="L18" i="25" s="1"/>
  <c r="J32" i="25"/>
  <c r="K32" i="25" s="1"/>
  <c r="L32" i="25" s="1"/>
  <c r="J16" i="25"/>
  <c r="N16" i="25" s="1"/>
  <c r="O16" i="25" s="1"/>
  <c r="J75" i="25"/>
  <c r="N75" i="25" s="1"/>
  <c r="O75" i="25" s="1"/>
  <c r="J17" i="25"/>
  <c r="N17" i="25" s="1"/>
  <c r="O17" i="25" s="1"/>
  <c r="J12" i="25"/>
  <c r="N12" i="25" s="1"/>
  <c r="O12" i="25" s="1"/>
  <c r="J99" i="25"/>
  <c r="K99" i="25" s="1"/>
  <c r="L99" i="25" s="1"/>
  <c r="J85" i="25"/>
  <c r="K85" i="25" s="1"/>
  <c r="L85" i="25" s="1"/>
  <c r="J105" i="25"/>
  <c r="K105" i="25" s="1"/>
  <c r="L105" i="25" s="1"/>
  <c r="N107" i="25"/>
  <c r="O107" i="25" s="1"/>
  <c r="J84" i="25"/>
  <c r="N84" i="25" s="1"/>
  <c r="O84" i="25" s="1"/>
  <c r="J10" i="25"/>
  <c r="K10" i="25" s="1"/>
  <c r="L10" i="25" s="1"/>
  <c r="J37" i="25"/>
  <c r="K37" i="25" s="1"/>
  <c r="L37" i="25" s="1"/>
  <c r="J94" i="25"/>
  <c r="K94" i="25" s="1"/>
  <c r="L94" i="25" s="1"/>
  <c r="J38" i="25"/>
  <c r="K38" i="25" s="1"/>
  <c r="L38" i="25" s="1"/>
  <c r="J86" i="25"/>
  <c r="K86" i="25" s="1"/>
  <c r="L86" i="25" s="1"/>
  <c r="J30" i="25"/>
  <c r="K30" i="25" s="1"/>
  <c r="L30" i="25" s="1"/>
  <c r="J60" i="25"/>
  <c r="K60" i="25" s="1"/>
  <c r="L60" i="25" s="1"/>
  <c r="J59" i="25"/>
  <c r="N59" i="25" s="1"/>
  <c r="O59" i="25" s="1"/>
  <c r="J57" i="25"/>
  <c r="K57" i="25" s="1"/>
  <c r="L57" i="25" s="1"/>
  <c r="J70" i="25"/>
  <c r="K70" i="25" s="1"/>
  <c r="L70" i="25" s="1"/>
  <c r="J117" i="25"/>
  <c r="N117" i="25" s="1"/>
  <c r="O117" i="25" s="1"/>
  <c r="J77" i="25"/>
  <c r="N77" i="25" s="1"/>
  <c r="O77" i="25" s="1"/>
  <c r="J80" i="25"/>
  <c r="N80" i="25" s="1"/>
  <c r="O80" i="25" s="1"/>
  <c r="J83" i="25"/>
  <c r="K83" i="25" s="1"/>
  <c r="L83" i="25" s="1"/>
  <c r="J81" i="25"/>
  <c r="K81" i="25" s="1"/>
  <c r="L81" i="25" s="1"/>
  <c r="N106" i="25"/>
  <c r="O106" i="25" s="1"/>
  <c r="J74" i="25"/>
  <c r="K74" i="25" s="1"/>
  <c r="L74" i="25" s="1"/>
  <c r="J41" i="25"/>
  <c r="K41" i="25" s="1"/>
  <c r="L41" i="25" s="1"/>
  <c r="J65" i="25"/>
  <c r="N65" i="25" s="1"/>
  <c r="O65" i="25" s="1"/>
  <c r="J24" i="25"/>
  <c r="K24" i="25" s="1"/>
  <c r="N52" i="28"/>
  <c r="N69" i="28"/>
  <c r="O69" i="28" s="1"/>
  <c r="N68" i="28"/>
  <c r="N47" i="28"/>
  <c r="N67" i="28"/>
  <c r="O67" i="28" s="1"/>
  <c r="N53" i="28"/>
  <c r="N71" i="28"/>
  <c r="O71" i="28" s="1"/>
  <c r="N105" i="25"/>
  <c r="O105" i="25" s="1"/>
  <c r="J54" i="28"/>
  <c r="J70" i="26"/>
  <c r="K70" i="26" s="1"/>
  <c r="L70" i="26" s="1"/>
  <c r="J100" i="26"/>
  <c r="N100" i="26" s="1"/>
  <c r="O100" i="26" s="1"/>
  <c r="I61" i="28"/>
  <c r="I20" i="28"/>
  <c r="I44" i="28"/>
  <c r="I64" i="28"/>
  <c r="I15" i="28"/>
  <c r="J117" i="26"/>
  <c r="J116" i="26"/>
  <c r="N116" i="26" s="1"/>
  <c r="O116" i="26" s="1"/>
  <c r="J99" i="26"/>
  <c r="N99" i="26" s="1"/>
  <c r="O99" i="26" s="1"/>
  <c r="J114" i="26"/>
  <c r="K114" i="26" s="1"/>
  <c r="L114" i="26" s="1"/>
  <c r="J113" i="26"/>
  <c r="J79" i="26"/>
  <c r="J118" i="26"/>
  <c r="N118" i="26" s="1"/>
  <c r="O118" i="26" s="1"/>
  <c r="J98" i="26"/>
  <c r="N98" i="26" s="1"/>
  <c r="I111" i="26"/>
  <c r="J112" i="26"/>
  <c r="N112" i="26" s="1"/>
  <c r="O112" i="26" s="1"/>
  <c r="I101" i="26"/>
  <c r="J54" i="29"/>
  <c r="K54" i="29" s="1"/>
  <c r="L54" i="29" s="1"/>
  <c r="J106" i="26"/>
  <c r="J106" i="25"/>
  <c r="K106" i="25" s="1"/>
  <c r="L106" i="25" s="1"/>
  <c r="J26" i="25"/>
  <c r="K26" i="25" s="1"/>
  <c r="L26" i="25" s="1"/>
  <c r="J79" i="25"/>
  <c r="K79" i="25" s="1"/>
  <c r="L79" i="25" s="1"/>
  <c r="J114" i="25"/>
  <c r="K114" i="25" s="1"/>
  <c r="L114" i="25" s="1"/>
  <c r="J93" i="26"/>
  <c r="N93" i="26" s="1"/>
  <c r="J28" i="26"/>
  <c r="K28" i="26" s="1"/>
  <c r="L28" i="26" s="1"/>
  <c r="J116" i="25"/>
  <c r="K116" i="25" s="1"/>
  <c r="L116" i="25" s="1"/>
  <c r="J57" i="26"/>
  <c r="N57" i="26" s="1"/>
  <c r="O57" i="26" s="1"/>
  <c r="J47" i="26"/>
  <c r="N47" i="26" s="1"/>
  <c r="O47" i="26" s="1"/>
  <c r="J92" i="26"/>
  <c r="N92" i="26" s="1"/>
  <c r="O92" i="26" s="1"/>
  <c r="J12" i="26"/>
  <c r="J61" i="26"/>
  <c r="N61" i="26" s="1"/>
  <c r="O61" i="26" s="1"/>
  <c r="J25" i="26"/>
  <c r="N25" i="26" s="1"/>
  <c r="O25" i="26" s="1"/>
  <c r="J56" i="26"/>
  <c r="N56" i="26" s="1"/>
  <c r="O56" i="26" s="1"/>
  <c r="J64" i="26"/>
  <c r="N64" i="26" s="1"/>
  <c r="O64" i="26" s="1"/>
  <c r="J30" i="26"/>
  <c r="K30" i="26" s="1"/>
  <c r="L30" i="26" s="1"/>
  <c r="J60" i="26"/>
  <c r="K60" i="26" s="1"/>
  <c r="L60" i="26" s="1"/>
  <c r="J118" i="25"/>
  <c r="K118" i="25" s="1"/>
  <c r="L118" i="25" s="1"/>
  <c r="J15" i="25"/>
  <c r="K15" i="25" s="1"/>
  <c r="L15" i="25" s="1"/>
  <c r="J39" i="26"/>
  <c r="K39" i="26" s="1"/>
  <c r="L39" i="26" s="1"/>
  <c r="J11" i="26"/>
  <c r="N11" i="26" s="1"/>
  <c r="O11" i="26" s="1"/>
  <c r="J107" i="26"/>
  <c r="K107" i="26" s="1"/>
  <c r="L107" i="26" s="1"/>
  <c r="Q107" i="26" s="1"/>
  <c r="J10" i="26"/>
  <c r="N10" i="26" s="1"/>
  <c r="O10" i="26" s="1"/>
  <c r="J62" i="26"/>
  <c r="N62" i="26" s="1"/>
  <c r="O62" i="26" s="1"/>
  <c r="J27" i="26"/>
  <c r="N27" i="26" s="1"/>
  <c r="O27" i="26" s="1"/>
  <c r="J63" i="26"/>
  <c r="N63" i="26" s="1"/>
  <c r="O63" i="26" s="1"/>
  <c r="J26" i="26"/>
  <c r="N26" i="26" s="1"/>
  <c r="O26" i="26" s="1"/>
  <c r="J105" i="26"/>
  <c r="K105" i="26" s="1"/>
  <c r="L105" i="26" s="1"/>
  <c r="Q105" i="26" s="1"/>
  <c r="J29" i="25"/>
  <c r="N29" i="25" s="1"/>
  <c r="O29" i="25" s="1"/>
  <c r="I9" i="28"/>
  <c r="J72" i="25"/>
  <c r="N72" i="25" s="1"/>
  <c r="O72" i="25" s="1"/>
  <c r="J113" i="25"/>
  <c r="K113" i="25" s="1"/>
  <c r="L113" i="25" s="1"/>
  <c r="J61" i="25"/>
  <c r="N61" i="25" s="1"/>
  <c r="O61" i="25" s="1"/>
  <c r="J71" i="25"/>
  <c r="K71" i="25" s="1"/>
  <c r="L71" i="25" s="1"/>
  <c r="J11" i="25"/>
  <c r="K11" i="25" s="1"/>
  <c r="L11" i="25" s="1"/>
  <c r="J27" i="25"/>
  <c r="K27" i="25" s="1"/>
  <c r="L27" i="25" s="1"/>
  <c r="J56" i="25"/>
  <c r="K56" i="25" s="1"/>
  <c r="L56" i="25" s="1"/>
  <c r="J87" i="25"/>
  <c r="K87" i="25" s="1"/>
  <c r="L87" i="25" s="1"/>
  <c r="J107" i="25"/>
  <c r="K107" i="25" s="1"/>
  <c r="L107" i="25" s="1"/>
  <c r="I64" i="29"/>
  <c r="I20" i="29"/>
  <c r="J54" i="25"/>
  <c r="N54" i="25" s="1"/>
  <c r="O54" i="25" s="1"/>
  <c r="J40" i="25"/>
  <c r="N40" i="25" s="1"/>
  <c r="O40" i="25" s="1"/>
  <c r="J94" i="26"/>
  <c r="N94" i="26" s="1"/>
  <c r="O94" i="26" s="1"/>
  <c r="J40" i="26"/>
  <c r="N40" i="26" s="1"/>
  <c r="O40" i="26" s="1"/>
  <c r="J55" i="25"/>
  <c r="N55" i="25" s="1"/>
  <c r="O55" i="25" s="1"/>
  <c r="J62" i="25"/>
  <c r="K62" i="25" s="1"/>
  <c r="L62" i="25" s="1"/>
  <c r="J17" i="26"/>
  <c r="N17" i="26" s="1"/>
  <c r="O17" i="26" s="1"/>
  <c r="J73" i="25"/>
  <c r="K73" i="25" s="1"/>
  <c r="L73" i="25" s="1"/>
  <c r="J54" i="26"/>
  <c r="N54" i="26" s="1"/>
  <c r="O54" i="26" s="1"/>
  <c r="J15" i="26"/>
  <c r="N15" i="26" s="1"/>
  <c r="O15" i="26" s="1"/>
  <c r="J112" i="25"/>
  <c r="K112" i="25" s="1"/>
  <c r="L112" i="25" s="1"/>
  <c r="J24" i="26"/>
  <c r="N24" i="26" s="1"/>
  <c r="O24" i="26" s="1"/>
  <c r="J98" i="25"/>
  <c r="K98" i="25" s="1"/>
  <c r="L98" i="25" s="1"/>
  <c r="J31" i="26"/>
  <c r="N31" i="26" s="1"/>
  <c r="O31" i="26" s="1"/>
  <c r="J25" i="25"/>
  <c r="N25" i="25" s="1"/>
  <c r="O25" i="25" s="1"/>
  <c r="J119" i="25"/>
  <c r="K119" i="25" s="1"/>
  <c r="L119" i="25" s="1"/>
  <c r="J28" i="25"/>
  <c r="K28" i="25" s="1"/>
  <c r="L28" i="25" s="1"/>
  <c r="J82" i="25"/>
  <c r="K82" i="25" s="1"/>
  <c r="L82" i="25" s="1"/>
  <c r="J32" i="26"/>
  <c r="N32" i="26" s="1"/>
  <c r="O32" i="26" s="1"/>
  <c r="J19" i="26"/>
  <c r="N19" i="26" s="1"/>
  <c r="O19" i="26" s="1"/>
  <c r="J38" i="26"/>
  <c r="N38" i="26" s="1"/>
  <c r="O38" i="26" s="1"/>
  <c r="I9" i="29"/>
  <c r="I44" i="29"/>
  <c r="I15" i="29"/>
  <c r="I57" i="29"/>
  <c r="G12" i="28"/>
  <c r="G48" i="29"/>
  <c r="G73" i="29"/>
  <c r="G17" i="29"/>
  <c r="G41" i="28"/>
  <c r="G73" i="28"/>
  <c r="G48" i="28"/>
  <c r="G17" i="28"/>
  <c r="G61" i="29"/>
  <c r="G41" i="29"/>
  <c r="G12" i="29"/>
  <c r="G61" i="28"/>
  <c r="G23" i="26"/>
  <c r="E33" i="26"/>
  <c r="E88" i="26"/>
  <c r="G69" i="26"/>
  <c r="G36" i="25"/>
  <c r="G46" i="26"/>
  <c r="E48" i="26"/>
  <c r="G46" i="25"/>
  <c r="G111" i="25"/>
  <c r="G91" i="26"/>
  <c r="E95" i="26"/>
  <c r="G53" i="26"/>
  <c r="E66" i="26"/>
  <c r="G91" i="25"/>
  <c r="G9" i="25"/>
  <c r="E43" i="26"/>
  <c r="G36" i="26"/>
  <c r="G23" i="25"/>
  <c r="E101" i="26"/>
  <c r="G53" i="25"/>
  <c r="G120" i="26"/>
  <c r="G69" i="25"/>
  <c r="G9" i="26"/>
  <c r="E20" i="26"/>
  <c r="G104" i="25"/>
  <c r="G104" i="26"/>
  <c r="E108" i="26"/>
  <c r="N78" i="25" l="1"/>
  <c r="O78" i="25" s="1"/>
  <c r="S59" i="28"/>
  <c r="T59" i="28" s="1"/>
  <c r="V59" i="28" s="1"/>
  <c r="T39" i="28"/>
  <c r="V39" i="28" s="1"/>
  <c r="T26" i="28"/>
  <c r="V26" i="28" s="1"/>
  <c r="N59" i="26"/>
  <c r="O59" i="26" s="1"/>
  <c r="Q59" i="26" s="1"/>
  <c r="Q31" i="28"/>
  <c r="S31" i="28" s="1"/>
  <c r="T31" i="28" s="1"/>
  <c r="Q21" i="28"/>
  <c r="S21" i="28" s="1"/>
  <c r="T21" i="28" s="1"/>
  <c r="Q51" i="28"/>
  <c r="T70" i="28"/>
  <c r="V70" i="28" s="1"/>
  <c r="Q58" i="28"/>
  <c r="S58" i="28" s="1"/>
  <c r="Q16" i="28"/>
  <c r="S16" i="28" s="1"/>
  <c r="T16" i="28" s="1"/>
  <c r="Q11" i="28"/>
  <c r="S11" i="28" s="1"/>
  <c r="T11" i="28" s="1"/>
  <c r="T46" i="28"/>
  <c r="V46" i="28" s="1"/>
  <c r="T65" i="28"/>
  <c r="V65" i="28" s="1"/>
  <c r="N41" i="25"/>
  <c r="O41" i="25" s="1"/>
  <c r="Q41" i="25" s="1"/>
  <c r="S41" i="25" s="1"/>
  <c r="K59" i="25"/>
  <c r="L59" i="25" s="1"/>
  <c r="N85" i="25"/>
  <c r="O85" i="25" s="1"/>
  <c r="Q85" i="25" s="1"/>
  <c r="S85" i="25" s="1"/>
  <c r="K16" i="26"/>
  <c r="L16" i="26" s="1"/>
  <c r="Q16" i="26" s="1"/>
  <c r="K119" i="26"/>
  <c r="L119" i="26" s="1"/>
  <c r="L24" i="25"/>
  <c r="Q107" i="25"/>
  <c r="S107" i="25" s="1"/>
  <c r="T107" i="25" s="1"/>
  <c r="Q106" i="25"/>
  <c r="S106" i="25" s="1"/>
  <c r="T106" i="25" s="1"/>
  <c r="Q105" i="25"/>
  <c r="S105" i="25" s="1"/>
  <c r="T105" i="25" s="1"/>
  <c r="Q36" i="28"/>
  <c r="S36" i="28" s="1"/>
  <c r="T36" i="28" s="1"/>
  <c r="Q67" i="28"/>
  <c r="Q10" i="28"/>
  <c r="N24" i="25"/>
  <c r="O24" i="25" s="1"/>
  <c r="Q69" i="28"/>
  <c r="S69" i="28" s="1"/>
  <c r="T69" i="28" s="1"/>
  <c r="L45" i="28"/>
  <c r="O32" i="28"/>
  <c r="Q32" i="28" s="1"/>
  <c r="S32" i="28" s="1"/>
  <c r="O30" i="28"/>
  <c r="Q30" i="28" s="1"/>
  <c r="S30" i="28" s="1"/>
  <c r="O53" i="28"/>
  <c r="Q53" i="28" s="1"/>
  <c r="S53" i="28" s="1"/>
  <c r="O68" i="28"/>
  <c r="Q68" i="28" s="1"/>
  <c r="S68" i="28" s="1"/>
  <c r="L35" i="28"/>
  <c r="L33" i="28"/>
  <c r="O37" i="28"/>
  <c r="Q37" i="28" s="1"/>
  <c r="S37" i="28" s="1"/>
  <c r="Q29" i="28"/>
  <c r="Q54" i="29"/>
  <c r="Q71" i="28"/>
  <c r="S71" i="28" s="1"/>
  <c r="T71" i="28" s="1"/>
  <c r="Q72" i="28"/>
  <c r="S72" i="28" s="1"/>
  <c r="T72" i="28" s="1"/>
  <c r="L66" i="28"/>
  <c r="L38" i="28"/>
  <c r="O47" i="28"/>
  <c r="Q47" i="28" s="1"/>
  <c r="S47" i="28" s="1"/>
  <c r="O52" i="28"/>
  <c r="Q52" i="28" s="1"/>
  <c r="S52" i="28" s="1"/>
  <c r="L23" i="28"/>
  <c r="L60" i="28"/>
  <c r="L28" i="28"/>
  <c r="O25" i="28"/>
  <c r="Q25" i="28" s="1"/>
  <c r="S25" i="28" s="1"/>
  <c r="Q24" i="28"/>
  <c r="Q27" i="28"/>
  <c r="S27" i="28" s="1"/>
  <c r="T27" i="28" s="1"/>
  <c r="Q40" i="28"/>
  <c r="O93" i="26"/>
  <c r="N60" i="26"/>
  <c r="O60" i="26" s="1"/>
  <c r="Q60" i="26" s="1"/>
  <c r="N81" i="26"/>
  <c r="O81" i="26" s="1"/>
  <c r="Q81" i="26" s="1"/>
  <c r="N71" i="26"/>
  <c r="O71" i="26" s="1"/>
  <c r="Q71" i="26" s="1"/>
  <c r="N28" i="26"/>
  <c r="O28" i="26" s="1"/>
  <c r="Q28" i="26" s="1"/>
  <c r="N42" i="26"/>
  <c r="O42" i="26" s="1"/>
  <c r="Q42" i="26" s="1"/>
  <c r="N39" i="26"/>
  <c r="O39" i="26" s="1"/>
  <c r="K117" i="26"/>
  <c r="L117" i="26" s="1"/>
  <c r="N117" i="26"/>
  <c r="O117" i="26" s="1"/>
  <c r="N87" i="26"/>
  <c r="O87" i="26" s="1"/>
  <c r="K29" i="26"/>
  <c r="L29" i="26" s="1"/>
  <c r="N29" i="26"/>
  <c r="O29" i="26" s="1"/>
  <c r="K13" i="26"/>
  <c r="L13" i="26" s="1"/>
  <c r="N13" i="26"/>
  <c r="O13" i="26" s="1"/>
  <c r="Q78" i="25"/>
  <c r="S78" i="25" s="1"/>
  <c r="T78" i="25" s="1"/>
  <c r="Q119" i="26"/>
  <c r="K54" i="25"/>
  <c r="L54" i="25" s="1"/>
  <c r="K72" i="26"/>
  <c r="L72" i="26" s="1"/>
  <c r="Q72" i="26" s="1"/>
  <c r="N114" i="26"/>
  <c r="O114" i="26" s="1"/>
  <c r="Q114" i="26" s="1"/>
  <c r="N84" i="26"/>
  <c r="O84" i="26" s="1"/>
  <c r="Q84" i="26" s="1"/>
  <c r="N37" i="26"/>
  <c r="O37" i="26" s="1"/>
  <c r="N70" i="26"/>
  <c r="N73" i="26"/>
  <c r="O73" i="26" s="1"/>
  <c r="Q73" i="26" s="1"/>
  <c r="N80" i="26"/>
  <c r="O80" i="26" s="1"/>
  <c r="Q80" i="26" s="1"/>
  <c r="K113" i="26"/>
  <c r="L113" i="26" s="1"/>
  <c r="N113" i="26"/>
  <c r="O113" i="26" s="1"/>
  <c r="K79" i="26"/>
  <c r="L79" i="26" s="1"/>
  <c r="N79" i="26"/>
  <c r="O79" i="26" s="1"/>
  <c r="K12" i="26"/>
  <c r="L12" i="26" s="1"/>
  <c r="N12" i="26"/>
  <c r="O12" i="26" s="1"/>
  <c r="N101" i="26"/>
  <c r="O101" i="26" s="1"/>
  <c r="O98" i="26"/>
  <c r="K18" i="26"/>
  <c r="L18" i="26" s="1"/>
  <c r="N18" i="26"/>
  <c r="O18" i="26" s="1"/>
  <c r="Q39" i="26"/>
  <c r="K62" i="26"/>
  <c r="L62" i="26" s="1"/>
  <c r="Q62" i="26" s="1"/>
  <c r="K83" i="26"/>
  <c r="L83" i="26" s="1"/>
  <c r="Q83" i="26" s="1"/>
  <c r="N74" i="25"/>
  <c r="O74" i="25" s="1"/>
  <c r="Q74" i="25" s="1"/>
  <c r="S74" i="25" s="1"/>
  <c r="K84" i="25"/>
  <c r="L84" i="25" s="1"/>
  <c r="K87" i="26"/>
  <c r="L87" i="26" s="1"/>
  <c r="Q37" i="26"/>
  <c r="N30" i="26"/>
  <c r="N55" i="26"/>
  <c r="O55" i="26" s="1"/>
  <c r="Q55" i="26" s="1"/>
  <c r="N74" i="26"/>
  <c r="O74" i="26" s="1"/>
  <c r="Q74" i="26" s="1"/>
  <c r="N41" i="26"/>
  <c r="O41" i="26" s="1"/>
  <c r="Q41" i="26" s="1"/>
  <c r="T51" i="29"/>
  <c r="T29" i="29"/>
  <c r="T30" i="29"/>
  <c r="T69" i="29"/>
  <c r="T25" i="29"/>
  <c r="T71" i="29"/>
  <c r="I73" i="28"/>
  <c r="J20" i="28"/>
  <c r="K20" i="28" s="1"/>
  <c r="L20" i="28" s="1"/>
  <c r="K54" i="28"/>
  <c r="K15" i="26"/>
  <c r="L15" i="26" s="1"/>
  <c r="Q15" i="26" s="1"/>
  <c r="K116" i="26"/>
  <c r="L116" i="26" s="1"/>
  <c r="Q116" i="26" s="1"/>
  <c r="K58" i="26"/>
  <c r="L58" i="26" s="1"/>
  <c r="Q58" i="26" s="1"/>
  <c r="K40" i="26"/>
  <c r="L40" i="26" s="1"/>
  <c r="Q40" i="26" s="1"/>
  <c r="K31" i="26"/>
  <c r="L31" i="26" s="1"/>
  <c r="Q31" i="26" s="1"/>
  <c r="K32" i="26"/>
  <c r="L32" i="26" s="1"/>
  <c r="Q32" i="26" s="1"/>
  <c r="K86" i="26"/>
  <c r="L86" i="26" s="1"/>
  <c r="Q86" i="26" s="1"/>
  <c r="K56" i="26"/>
  <c r="L56" i="26" s="1"/>
  <c r="Q56" i="26" s="1"/>
  <c r="K112" i="26"/>
  <c r="L112" i="26" s="1"/>
  <c r="Q112" i="26" s="1"/>
  <c r="K10" i="26"/>
  <c r="L10" i="26" s="1"/>
  <c r="Q10" i="26" s="1"/>
  <c r="K63" i="26"/>
  <c r="L63" i="26" s="1"/>
  <c r="Q63" i="26" s="1"/>
  <c r="K100" i="26"/>
  <c r="L100" i="26" s="1"/>
  <c r="Q100" i="26" s="1"/>
  <c r="K19" i="26"/>
  <c r="L19" i="26" s="1"/>
  <c r="Q19" i="26" s="1"/>
  <c r="K24" i="26"/>
  <c r="K17" i="26"/>
  <c r="L17" i="26" s="1"/>
  <c r="Q17" i="26" s="1"/>
  <c r="K78" i="26"/>
  <c r="L78" i="26" s="1"/>
  <c r="Q78" i="26" s="1"/>
  <c r="K85" i="26"/>
  <c r="K65" i="26"/>
  <c r="K25" i="26"/>
  <c r="L25" i="26" s="1"/>
  <c r="Q25" i="26" s="1"/>
  <c r="K77" i="26"/>
  <c r="L77" i="26" s="1"/>
  <c r="Q77" i="26" s="1"/>
  <c r="K26" i="26"/>
  <c r="L26" i="26" s="1"/>
  <c r="Q26" i="26" s="1"/>
  <c r="K93" i="26"/>
  <c r="K61" i="26"/>
  <c r="K92" i="26"/>
  <c r="L92" i="26" s="1"/>
  <c r="Q92" i="26" s="1"/>
  <c r="K118" i="26"/>
  <c r="L118" i="26" s="1"/>
  <c r="Q118" i="26" s="1"/>
  <c r="K54" i="26"/>
  <c r="L54" i="26" s="1"/>
  <c r="Q54" i="26" s="1"/>
  <c r="K99" i="26"/>
  <c r="K11" i="26"/>
  <c r="L11" i="26" s="1"/>
  <c r="Q11" i="26" s="1"/>
  <c r="K82" i="26"/>
  <c r="K76" i="26"/>
  <c r="L76" i="26" s="1"/>
  <c r="Q76" i="26" s="1"/>
  <c r="K75" i="26"/>
  <c r="K64" i="26"/>
  <c r="L64" i="26" s="1"/>
  <c r="Q64" i="26" s="1"/>
  <c r="K47" i="26"/>
  <c r="K57" i="26"/>
  <c r="K27" i="26"/>
  <c r="L27" i="26" s="1"/>
  <c r="Q27" i="26" s="1"/>
  <c r="K38" i="26"/>
  <c r="L38" i="26" s="1"/>
  <c r="Q38" i="26" s="1"/>
  <c r="K94" i="26"/>
  <c r="K98" i="26"/>
  <c r="K106" i="26"/>
  <c r="L106" i="26" s="1"/>
  <c r="Q106" i="26" s="1"/>
  <c r="N47" i="25"/>
  <c r="O47" i="25" s="1"/>
  <c r="Q47" i="25" s="1"/>
  <c r="S47" i="25" s="1"/>
  <c r="N37" i="25"/>
  <c r="N57" i="25"/>
  <c r="K64" i="25"/>
  <c r="L64" i="25" s="1"/>
  <c r="K16" i="25"/>
  <c r="L16" i="25" s="1"/>
  <c r="K72" i="25"/>
  <c r="L72" i="25" s="1"/>
  <c r="K75" i="25"/>
  <c r="L75" i="25" s="1"/>
  <c r="K17" i="25"/>
  <c r="L17" i="25" s="1"/>
  <c r="K58" i="25"/>
  <c r="L58" i="25" s="1"/>
  <c r="K25" i="25"/>
  <c r="L25" i="25" s="1"/>
  <c r="K31" i="25"/>
  <c r="K40" i="25"/>
  <c r="L40" i="25" s="1"/>
  <c r="N81" i="25"/>
  <c r="O81" i="25" s="1"/>
  <c r="Q81" i="25" s="1"/>
  <c r="S81" i="25" s="1"/>
  <c r="K93" i="25"/>
  <c r="L93" i="25" s="1"/>
  <c r="K77" i="25"/>
  <c r="N76" i="25"/>
  <c r="N32" i="25"/>
  <c r="N63" i="25"/>
  <c r="O63" i="25" s="1"/>
  <c r="Q63" i="25" s="1"/>
  <c r="S63" i="25" s="1"/>
  <c r="N60" i="25"/>
  <c r="K65" i="25"/>
  <c r="L65" i="25" s="1"/>
  <c r="K61" i="25"/>
  <c r="L61" i="25" s="1"/>
  <c r="K29" i="25"/>
  <c r="L29" i="25" s="1"/>
  <c r="K19" i="25"/>
  <c r="K12" i="25"/>
  <c r="K100" i="25"/>
  <c r="L100" i="25" s="1"/>
  <c r="K117" i="25"/>
  <c r="L117" i="25" s="1"/>
  <c r="K13" i="25"/>
  <c r="K92" i="25"/>
  <c r="L92" i="25" s="1"/>
  <c r="N38" i="25"/>
  <c r="K80" i="25"/>
  <c r="L80" i="25" s="1"/>
  <c r="K55" i="25"/>
  <c r="N56" i="25"/>
  <c r="N39" i="25"/>
  <c r="N98" i="25"/>
  <c r="O98" i="25" s="1"/>
  <c r="Q98" i="25" s="1"/>
  <c r="S98" i="25" s="1"/>
  <c r="N114" i="25"/>
  <c r="N94" i="25"/>
  <c r="N73" i="25"/>
  <c r="N70" i="25"/>
  <c r="N30" i="25"/>
  <c r="N83" i="25"/>
  <c r="N42" i="25"/>
  <c r="N18" i="25"/>
  <c r="N10" i="25"/>
  <c r="N99" i="25"/>
  <c r="O99" i="25" s="1"/>
  <c r="Q99" i="25" s="1"/>
  <c r="S99" i="25" s="1"/>
  <c r="N86" i="25"/>
  <c r="O86" i="25" s="1"/>
  <c r="Q86" i="25" s="1"/>
  <c r="S86" i="25" s="1"/>
  <c r="N82" i="25"/>
  <c r="N71" i="25"/>
  <c r="O71" i="25" s="1"/>
  <c r="Q71" i="25" s="1"/>
  <c r="S71" i="25" s="1"/>
  <c r="N11" i="25"/>
  <c r="O11" i="25" s="1"/>
  <c r="Q11" i="25" s="1"/>
  <c r="S11" i="25" s="1"/>
  <c r="N118" i="25"/>
  <c r="O118" i="25" s="1"/>
  <c r="Q118" i="25" s="1"/>
  <c r="S118" i="25" s="1"/>
  <c r="N87" i="25"/>
  <c r="O87" i="25" s="1"/>
  <c r="Q87" i="25" s="1"/>
  <c r="S87" i="25" s="1"/>
  <c r="N119" i="25"/>
  <c r="N112" i="25"/>
  <c r="O112" i="25" s="1"/>
  <c r="Q112" i="25" s="1"/>
  <c r="S112" i="25" s="1"/>
  <c r="T67" i="29"/>
  <c r="T24" i="29"/>
  <c r="T60" i="29"/>
  <c r="T52" i="29"/>
  <c r="T28" i="29"/>
  <c r="T16" i="29"/>
  <c r="T58" i="29"/>
  <c r="T66" i="29"/>
  <c r="T36" i="29"/>
  <c r="T59" i="29"/>
  <c r="T31" i="29"/>
  <c r="T47" i="29"/>
  <c r="T27" i="29"/>
  <c r="T21" i="29"/>
  <c r="T23" i="29"/>
  <c r="T65" i="29"/>
  <c r="T35" i="29"/>
  <c r="T11" i="29"/>
  <c r="T46" i="29"/>
  <c r="T26" i="29"/>
  <c r="T32" i="29"/>
  <c r="T33" i="29"/>
  <c r="T38" i="29"/>
  <c r="T72" i="29"/>
  <c r="T10" i="29"/>
  <c r="T53" i="29"/>
  <c r="T37" i="29"/>
  <c r="T40" i="29"/>
  <c r="T70" i="29"/>
  <c r="T39" i="29"/>
  <c r="T68" i="29"/>
  <c r="T45" i="29"/>
  <c r="N54" i="28"/>
  <c r="O54" i="28" s="1"/>
  <c r="N116" i="25"/>
  <c r="O116" i="25" s="1"/>
  <c r="Q116" i="25" s="1"/>
  <c r="S116" i="25" s="1"/>
  <c r="N79" i="25"/>
  <c r="O79" i="25" s="1"/>
  <c r="Q79" i="25" s="1"/>
  <c r="S79" i="25" s="1"/>
  <c r="N113" i="25"/>
  <c r="O113" i="25" s="1"/>
  <c r="Q113" i="25" s="1"/>
  <c r="S113" i="25" s="1"/>
  <c r="N62" i="25"/>
  <c r="O62" i="25" s="1"/>
  <c r="Q62" i="25" s="1"/>
  <c r="S62" i="25" s="1"/>
  <c r="N27" i="25"/>
  <c r="O27" i="25" s="1"/>
  <c r="Q27" i="25" s="1"/>
  <c r="S27" i="25" s="1"/>
  <c r="N26" i="25"/>
  <c r="O26" i="25" s="1"/>
  <c r="Q26" i="25" s="1"/>
  <c r="S26" i="25" s="1"/>
  <c r="N28" i="25"/>
  <c r="O28" i="25" s="1"/>
  <c r="Q28" i="25" s="1"/>
  <c r="S28" i="25" s="1"/>
  <c r="N15" i="25"/>
  <c r="O15" i="25" s="1"/>
  <c r="Q15" i="25" s="1"/>
  <c r="S15" i="25" s="1"/>
  <c r="J101" i="26"/>
  <c r="K101" i="26" s="1"/>
  <c r="I41" i="28"/>
  <c r="J64" i="28"/>
  <c r="I17" i="28"/>
  <c r="J44" i="28"/>
  <c r="J15" i="28"/>
  <c r="K15" i="28" s="1"/>
  <c r="L15" i="28" s="1"/>
  <c r="I48" i="28"/>
  <c r="J61" i="28"/>
  <c r="I69" i="26"/>
  <c r="I120" i="26"/>
  <c r="J111" i="26"/>
  <c r="J120" i="26" s="1"/>
  <c r="J9" i="29"/>
  <c r="J12" i="29" s="1"/>
  <c r="I12" i="29"/>
  <c r="J44" i="29"/>
  <c r="K44" i="29" s="1"/>
  <c r="L44" i="29" s="1"/>
  <c r="I48" i="29"/>
  <c r="J15" i="29"/>
  <c r="K15" i="29" s="1"/>
  <c r="L15" i="29" s="1"/>
  <c r="I17" i="29"/>
  <c r="I61" i="29"/>
  <c r="I41" i="29"/>
  <c r="I73" i="29"/>
  <c r="J9" i="28"/>
  <c r="K9" i="28" s="1"/>
  <c r="L9" i="28" s="1"/>
  <c r="I12" i="28"/>
  <c r="I104" i="26"/>
  <c r="N104" i="26" s="1"/>
  <c r="I46" i="26"/>
  <c r="J57" i="29"/>
  <c r="J61" i="29" s="1"/>
  <c r="J20" i="29"/>
  <c r="J41" i="29" s="1"/>
  <c r="J64" i="29"/>
  <c r="J73" i="29" s="1"/>
  <c r="I53" i="26"/>
  <c r="I36" i="26"/>
  <c r="I111" i="25"/>
  <c r="I23" i="26"/>
  <c r="I91" i="26"/>
  <c r="I9" i="26"/>
  <c r="I9" i="25"/>
  <c r="J101" i="25"/>
  <c r="G75" i="29"/>
  <c r="G75" i="28"/>
  <c r="G20" i="26"/>
  <c r="G108" i="26"/>
  <c r="I23" i="25"/>
  <c r="G33" i="25"/>
  <c r="G66" i="26"/>
  <c r="G95" i="26"/>
  <c r="E50" i="26"/>
  <c r="E122" i="26" s="1"/>
  <c r="I104" i="25"/>
  <c r="G108" i="25"/>
  <c r="G101" i="26"/>
  <c r="G95" i="25"/>
  <c r="I91" i="25"/>
  <c r="G88" i="26"/>
  <c r="I69" i="25"/>
  <c r="G88" i="25"/>
  <c r="I53" i="25"/>
  <c r="G66" i="25"/>
  <c r="G101" i="25"/>
  <c r="I46" i="25"/>
  <c r="G48" i="25"/>
  <c r="G48" i="26"/>
  <c r="G33" i="26"/>
  <c r="G43" i="25"/>
  <c r="I36" i="25"/>
  <c r="G20" i="25"/>
  <c r="G43" i="26"/>
  <c r="G120" i="25"/>
  <c r="L101" i="26" l="1"/>
  <c r="Q101" i="26" s="1"/>
  <c r="Q87" i="26"/>
  <c r="Q18" i="26"/>
  <c r="Q12" i="26"/>
  <c r="Q13" i="26"/>
  <c r="S24" i="28"/>
  <c r="T24" i="28" s="1"/>
  <c r="V24" i="28" s="1"/>
  <c r="S67" i="28"/>
  <c r="T67" i="28" s="1"/>
  <c r="V67" i="28" s="1"/>
  <c r="E43" i="24"/>
  <c r="H43" i="24"/>
  <c r="S10" i="28"/>
  <c r="T10" i="28" s="1"/>
  <c r="V10" i="28" s="1"/>
  <c r="S29" i="28"/>
  <c r="T29" i="28" s="1"/>
  <c r="V29" i="28" s="1"/>
  <c r="S40" i="28"/>
  <c r="T40" i="28" s="1"/>
  <c r="V40" i="28" s="1"/>
  <c r="V51" i="28"/>
  <c r="S51" i="28"/>
  <c r="V27" i="28"/>
  <c r="T68" i="28"/>
  <c r="V68" i="28" s="1"/>
  <c r="T47" i="28"/>
  <c r="V47" i="28" s="1"/>
  <c r="Q79" i="26"/>
  <c r="V106" i="25"/>
  <c r="Q60" i="28"/>
  <c r="S60" i="28" s="1"/>
  <c r="T60" i="28" s="1"/>
  <c r="Q38" i="28"/>
  <c r="S38" i="28" s="1"/>
  <c r="T38" i="28" s="1"/>
  <c r="V38" i="28" s="1"/>
  <c r="Q35" i="28"/>
  <c r="S35" i="28" s="1"/>
  <c r="T35" i="28" s="1"/>
  <c r="Q28" i="28"/>
  <c r="S28" i="28" s="1"/>
  <c r="T28" i="28" s="1"/>
  <c r="V28" i="28" s="1"/>
  <c r="Q33" i="28"/>
  <c r="S33" i="28" s="1"/>
  <c r="T33" i="28" s="1"/>
  <c r="T58" i="28"/>
  <c r="V58" i="28" s="1"/>
  <c r="T53" i="28"/>
  <c r="V53" i="28" s="1"/>
  <c r="T25" i="28"/>
  <c r="V25" i="28" s="1"/>
  <c r="T30" i="28"/>
  <c r="V30" i="28" s="1"/>
  <c r="V69" i="28"/>
  <c r="V11" i="28"/>
  <c r="T37" i="28"/>
  <c r="V37" i="28" s="1"/>
  <c r="V71" i="28"/>
  <c r="V21" i="28"/>
  <c r="T32" i="28"/>
  <c r="V32" i="28" s="1"/>
  <c r="Q23" i="28"/>
  <c r="S23" i="28" s="1"/>
  <c r="T23" i="28" s="1"/>
  <c r="Q66" i="28"/>
  <c r="S66" i="28" s="1"/>
  <c r="T66" i="28" s="1"/>
  <c r="Q45" i="28"/>
  <c r="S45" i="28" s="1"/>
  <c r="T45" i="28" s="1"/>
  <c r="V45" i="28" s="1"/>
  <c r="V72" i="28"/>
  <c r="V36" i="28"/>
  <c r="V16" i="28"/>
  <c r="T52" i="28"/>
  <c r="V52" i="28" s="1"/>
  <c r="V31" i="28"/>
  <c r="T41" i="25"/>
  <c r="V41" i="25" s="1"/>
  <c r="V78" i="25"/>
  <c r="V107" i="25"/>
  <c r="V105" i="25"/>
  <c r="T27" i="25"/>
  <c r="V27" i="25" s="1"/>
  <c r="T79" i="25"/>
  <c r="V79" i="25" s="1"/>
  <c r="T86" i="25"/>
  <c r="V86" i="25" s="1"/>
  <c r="T87" i="25"/>
  <c r="V87" i="25" s="1"/>
  <c r="Q65" i="25"/>
  <c r="S65" i="25" s="1"/>
  <c r="T65" i="25" s="1"/>
  <c r="Q17" i="25"/>
  <c r="S17" i="25" s="1"/>
  <c r="T17" i="25" s="1"/>
  <c r="Q64" i="25"/>
  <c r="S64" i="25" s="1"/>
  <c r="T64" i="25" s="1"/>
  <c r="Q84" i="25"/>
  <c r="S84" i="25" s="1"/>
  <c r="T84" i="25" s="1"/>
  <c r="Q100" i="25"/>
  <c r="S100" i="25" s="1"/>
  <c r="T100" i="25" s="1"/>
  <c r="Q58" i="25"/>
  <c r="S58" i="25" s="1"/>
  <c r="T58" i="25" s="1"/>
  <c r="Q54" i="25"/>
  <c r="S54" i="25" s="1"/>
  <c r="T54" i="25" s="1"/>
  <c r="Q80" i="25"/>
  <c r="S80" i="25" s="1"/>
  <c r="T80" i="25" s="1"/>
  <c r="Q117" i="25"/>
  <c r="S117" i="25" s="1"/>
  <c r="T117" i="25" s="1"/>
  <c r="Q29" i="25"/>
  <c r="S29" i="25" s="1"/>
  <c r="T29" i="25" s="1"/>
  <c r="Q93" i="25"/>
  <c r="S93" i="25" s="1"/>
  <c r="T93" i="25" s="1"/>
  <c r="Q25" i="25"/>
  <c r="S25" i="25" s="1"/>
  <c r="T25" i="25" s="1"/>
  <c r="Q72" i="25"/>
  <c r="S72" i="25" s="1"/>
  <c r="T72" i="25" s="1"/>
  <c r="Q24" i="25"/>
  <c r="S24" i="25" s="1"/>
  <c r="T24" i="25" s="1"/>
  <c r="T112" i="25"/>
  <c r="V112" i="25" s="1"/>
  <c r="T81" i="25"/>
  <c r="V81" i="25" s="1"/>
  <c r="T11" i="25"/>
  <c r="V11" i="25" s="1"/>
  <c r="T118" i="25"/>
  <c r="V118" i="25" s="1"/>
  <c r="T85" i="25"/>
  <c r="V85" i="25" s="1"/>
  <c r="T99" i="25"/>
  <c r="V99" i="25" s="1"/>
  <c r="T113" i="25"/>
  <c r="V113" i="25" s="1"/>
  <c r="T71" i="25"/>
  <c r="V71" i="25" s="1"/>
  <c r="T15" i="25"/>
  <c r="V15" i="25" s="1"/>
  <c r="T47" i="25"/>
  <c r="V47" i="25" s="1"/>
  <c r="T74" i="25"/>
  <c r="V74" i="25" s="1"/>
  <c r="Q92" i="25"/>
  <c r="S92" i="25" s="1"/>
  <c r="T92" i="25" s="1"/>
  <c r="Q40" i="25"/>
  <c r="S40" i="25" s="1"/>
  <c r="T40" i="25" s="1"/>
  <c r="Q61" i="25"/>
  <c r="S61" i="25" s="1"/>
  <c r="T61" i="25" s="1"/>
  <c r="Q16" i="25"/>
  <c r="S16" i="25" s="1"/>
  <c r="T16" i="25" s="1"/>
  <c r="Q75" i="25"/>
  <c r="S75" i="25" s="1"/>
  <c r="T75" i="25" s="1"/>
  <c r="Q59" i="25"/>
  <c r="S59" i="25" s="1"/>
  <c r="T59" i="25" s="1"/>
  <c r="T26" i="25"/>
  <c r="V26" i="25" s="1"/>
  <c r="T63" i="25"/>
  <c r="V63" i="25" s="1"/>
  <c r="T116" i="25"/>
  <c r="V116" i="25" s="1"/>
  <c r="T62" i="25"/>
  <c r="V62" i="25" s="1"/>
  <c r="T28" i="25"/>
  <c r="V28" i="25" s="1"/>
  <c r="G50" i="25"/>
  <c r="L54" i="28"/>
  <c r="Q54" i="28" s="1"/>
  <c r="S54" i="28" s="1"/>
  <c r="D43" i="24"/>
  <c r="N20" i="28"/>
  <c r="N41" i="28" s="1"/>
  <c r="O41" i="28" s="1"/>
  <c r="N15" i="29"/>
  <c r="N9" i="29"/>
  <c r="N20" i="29"/>
  <c r="K9" i="29"/>
  <c r="L9" i="29" s="1"/>
  <c r="N44" i="29"/>
  <c r="K12" i="29"/>
  <c r="L12" i="29" s="1"/>
  <c r="N64" i="29"/>
  <c r="N108" i="26"/>
  <c r="O108" i="26" s="1"/>
  <c r="O104" i="26"/>
  <c r="O10" i="25"/>
  <c r="Q10" i="25" s="1"/>
  <c r="S10" i="25" s="1"/>
  <c r="O42" i="25"/>
  <c r="Q42" i="25" s="1"/>
  <c r="S42" i="25" s="1"/>
  <c r="O56" i="25"/>
  <c r="Q56" i="25" s="1"/>
  <c r="S56" i="25" s="1"/>
  <c r="O39" i="25"/>
  <c r="Q39" i="25" s="1"/>
  <c r="S39" i="25" s="1"/>
  <c r="O32" i="25"/>
  <c r="O82" i="25"/>
  <c r="Q82" i="25" s="1"/>
  <c r="S82" i="25" s="1"/>
  <c r="O70" i="25"/>
  <c r="Q70" i="25" s="1"/>
  <c r="S70" i="25" s="1"/>
  <c r="O114" i="25"/>
  <c r="Q114" i="25" s="1"/>
  <c r="S114" i="25" s="1"/>
  <c r="O60" i="25"/>
  <c r="Q60" i="25" s="1"/>
  <c r="S60" i="25" s="1"/>
  <c r="O57" i="25"/>
  <c r="Q57" i="25" s="1"/>
  <c r="S57" i="25" s="1"/>
  <c r="O30" i="26"/>
  <c r="Q30" i="26" s="1"/>
  <c r="N101" i="25"/>
  <c r="O101" i="25" s="1"/>
  <c r="Q113" i="26"/>
  <c r="Q29" i="26"/>
  <c r="Q117" i="26"/>
  <c r="N111" i="26"/>
  <c r="O119" i="25"/>
  <c r="O30" i="25"/>
  <c r="O76" i="25"/>
  <c r="Q76" i="25" s="1"/>
  <c r="S76" i="25" s="1"/>
  <c r="O70" i="26"/>
  <c r="Q70" i="26" s="1"/>
  <c r="O94" i="25"/>
  <c r="Q94" i="25" s="1"/>
  <c r="S94" i="25" s="1"/>
  <c r="O38" i="25"/>
  <c r="Q38" i="25" s="1"/>
  <c r="S38" i="25" s="1"/>
  <c r="O18" i="25"/>
  <c r="O83" i="25"/>
  <c r="Q83" i="25" s="1"/>
  <c r="S83" i="25" s="1"/>
  <c r="O73" i="25"/>
  <c r="O37" i="25"/>
  <c r="K64" i="29"/>
  <c r="L64" i="29" s="1"/>
  <c r="K61" i="29"/>
  <c r="L61" i="29" s="1"/>
  <c r="Q61" i="29" s="1"/>
  <c r="K41" i="29"/>
  <c r="L41" i="29" s="1"/>
  <c r="K20" i="29"/>
  <c r="L20" i="29" s="1"/>
  <c r="K73" i="29"/>
  <c r="L73" i="29" s="1"/>
  <c r="K57" i="29"/>
  <c r="L57" i="29" s="1"/>
  <c r="Q57" i="29" s="1"/>
  <c r="K64" i="28"/>
  <c r="L64" i="28" s="1"/>
  <c r="J48" i="28"/>
  <c r="J41" i="28"/>
  <c r="K41" i="28" s="1"/>
  <c r="K61" i="28"/>
  <c r="K44" i="28"/>
  <c r="L44" i="28" s="1"/>
  <c r="N9" i="28"/>
  <c r="J17" i="28"/>
  <c r="L65" i="26"/>
  <c r="Q65" i="26" s="1"/>
  <c r="L24" i="26"/>
  <c r="L98" i="26"/>
  <c r="Q98" i="26" s="1"/>
  <c r="L57" i="26"/>
  <c r="L75" i="26"/>
  <c r="Q75" i="26" s="1"/>
  <c r="L93" i="26"/>
  <c r="L82" i="26"/>
  <c r="Q82" i="26" s="1"/>
  <c r="L94" i="26"/>
  <c r="L47" i="26"/>
  <c r="Q47" i="26" s="1"/>
  <c r="L99" i="26"/>
  <c r="L61" i="26"/>
  <c r="Q61" i="26" s="1"/>
  <c r="L85" i="26"/>
  <c r="K111" i="26"/>
  <c r="L111" i="26" s="1"/>
  <c r="K120" i="26"/>
  <c r="L120" i="26" s="1"/>
  <c r="L12" i="25"/>
  <c r="L55" i="25"/>
  <c r="L13" i="25"/>
  <c r="L19" i="25"/>
  <c r="L77" i="25"/>
  <c r="L31" i="25"/>
  <c r="J46" i="25"/>
  <c r="K46" i="25" s="1"/>
  <c r="L46" i="25" s="1"/>
  <c r="J36" i="25"/>
  <c r="N36" i="25" s="1"/>
  <c r="J53" i="25"/>
  <c r="J66" i="25" s="1"/>
  <c r="J91" i="25"/>
  <c r="N91" i="25" s="1"/>
  <c r="J104" i="25"/>
  <c r="K104" i="25" s="1"/>
  <c r="L104" i="25" s="1"/>
  <c r="J69" i="25"/>
  <c r="J88" i="25" s="1"/>
  <c r="J23" i="25"/>
  <c r="K23" i="25" s="1"/>
  <c r="L23" i="25" s="1"/>
  <c r="J111" i="25"/>
  <c r="K111" i="25" s="1"/>
  <c r="L111" i="25" s="1"/>
  <c r="T61" i="29"/>
  <c r="T54" i="29"/>
  <c r="J17" i="29"/>
  <c r="K17" i="29" s="1"/>
  <c r="L17" i="29" s="1"/>
  <c r="N44" i="28"/>
  <c r="N15" i="28"/>
  <c r="J73" i="28"/>
  <c r="N64" i="28"/>
  <c r="J48" i="29"/>
  <c r="K48" i="29" s="1"/>
  <c r="L48" i="29" s="1"/>
  <c r="N104" i="25"/>
  <c r="J9" i="25"/>
  <c r="K9" i="25" s="1"/>
  <c r="L9" i="25" s="1"/>
  <c r="J9" i="26"/>
  <c r="I75" i="28"/>
  <c r="J69" i="26"/>
  <c r="I88" i="26"/>
  <c r="J104" i="26"/>
  <c r="J108" i="26" s="1"/>
  <c r="J36" i="26"/>
  <c r="I75" i="29"/>
  <c r="J12" i="28"/>
  <c r="I33" i="26"/>
  <c r="I66" i="26"/>
  <c r="I108" i="26"/>
  <c r="I95" i="26"/>
  <c r="I48" i="26"/>
  <c r="I20" i="26"/>
  <c r="I43" i="26"/>
  <c r="J53" i="26"/>
  <c r="N53" i="26" s="1"/>
  <c r="J46" i="26"/>
  <c r="N46" i="26" s="1"/>
  <c r="J91" i="26"/>
  <c r="N91" i="26" s="1"/>
  <c r="J23" i="26"/>
  <c r="N23" i="26" s="1"/>
  <c r="I101" i="25"/>
  <c r="K101" i="25" s="1"/>
  <c r="I88" i="25"/>
  <c r="I33" i="25"/>
  <c r="I20" i="25"/>
  <c r="G50" i="26"/>
  <c r="I120" i="25"/>
  <c r="I48" i="25"/>
  <c r="I95" i="25"/>
  <c r="I108" i="25"/>
  <c r="I66" i="25"/>
  <c r="I43" i="25"/>
  <c r="E16" i="24" l="1"/>
  <c r="H16" i="24"/>
  <c r="H40" i="24"/>
  <c r="E40" i="24"/>
  <c r="T54" i="28"/>
  <c r="V66" i="28"/>
  <c r="V23" i="28"/>
  <c r="K108" i="26"/>
  <c r="L108" i="26" s="1"/>
  <c r="Q108" i="26" s="1"/>
  <c r="V33" i="28"/>
  <c r="V35" i="28"/>
  <c r="V60" i="28"/>
  <c r="V75" i="25"/>
  <c r="V61" i="25"/>
  <c r="V92" i="25"/>
  <c r="V72" i="25"/>
  <c r="V93" i="25"/>
  <c r="V117" i="25"/>
  <c r="T83" i="25"/>
  <c r="V83" i="25" s="1"/>
  <c r="V58" i="25"/>
  <c r="V84" i="25"/>
  <c r="T94" i="25"/>
  <c r="V94" i="25" s="1"/>
  <c r="T98" i="25"/>
  <c r="V98" i="25" s="1"/>
  <c r="T39" i="25"/>
  <c r="V39" i="25" s="1"/>
  <c r="T10" i="25"/>
  <c r="V10" i="25" s="1"/>
  <c r="J108" i="25"/>
  <c r="K108" i="25" s="1"/>
  <c r="L108" i="25" s="1"/>
  <c r="T70" i="25"/>
  <c r="V70" i="25" s="1"/>
  <c r="T114" i="25"/>
  <c r="V114" i="25" s="1"/>
  <c r="Q77" i="25"/>
  <c r="S77" i="25" s="1"/>
  <c r="T77" i="25" s="1"/>
  <c r="Q37" i="25"/>
  <c r="S37" i="25" s="1"/>
  <c r="T37" i="25" s="1"/>
  <c r="Q30" i="25"/>
  <c r="S30" i="25" s="1"/>
  <c r="T30" i="25" s="1"/>
  <c r="Q13" i="25"/>
  <c r="S13" i="25" s="1"/>
  <c r="T13" i="25" s="1"/>
  <c r="V59" i="25"/>
  <c r="V16" i="25"/>
  <c r="V40" i="25"/>
  <c r="V24" i="25"/>
  <c r="V25" i="25"/>
  <c r="V29" i="25"/>
  <c r="V80" i="25"/>
  <c r="V54" i="25"/>
  <c r="V100" i="25"/>
  <c r="V64" i="25"/>
  <c r="V65" i="25"/>
  <c r="T38" i="25"/>
  <c r="V38" i="25" s="1"/>
  <c r="T56" i="25"/>
  <c r="V56" i="25" s="1"/>
  <c r="T60" i="25"/>
  <c r="V60" i="25" s="1"/>
  <c r="Q18" i="25"/>
  <c r="S18" i="25" s="1"/>
  <c r="T18" i="25" s="1"/>
  <c r="Q73" i="25"/>
  <c r="S73" i="25" s="1"/>
  <c r="T73" i="25" s="1"/>
  <c r="Q119" i="25"/>
  <c r="S119" i="25" s="1"/>
  <c r="T119" i="25" s="1"/>
  <c r="Q32" i="25"/>
  <c r="S32" i="25" s="1"/>
  <c r="T32" i="25" s="1"/>
  <c r="T42" i="25"/>
  <c r="V42" i="25" s="1"/>
  <c r="V17" i="25"/>
  <c r="T82" i="25"/>
  <c r="V82" i="25" s="1"/>
  <c r="T76" i="25"/>
  <c r="V76" i="25" s="1"/>
  <c r="T57" i="25"/>
  <c r="V57" i="25" s="1"/>
  <c r="L101" i="25"/>
  <c r="Q101" i="25" s="1"/>
  <c r="S101" i="25" s="1"/>
  <c r="D16" i="24"/>
  <c r="I50" i="25"/>
  <c r="L41" i="28"/>
  <c r="Q41" i="28" s="1"/>
  <c r="S41" i="28" s="1"/>
  <c r="D40" i="24"/>
  <c r="L61" i="28"/>
  <c r="Q61" i="28" s="1"/>
  <c r="S61" i="28" s="1"/>
  <c r="J44" i="24" s="1"/>
  <c r="D44" i="24"/>
  <c r="F44" i="24" s="1"/>
  <c r="F43" i="24"/>
  <c r="O20" i="28"/>
  <c r="Q20" i="28" s="1"/>
  <c r="S20" i="28" s="1"/>
  <c r="N73" i="28"/>
  <c r="O73" i="28" s="1"/>
  <c r="O64" i="28"/>
  <c r="Q64" i="28" s="1"/>
  <c r="S64" i="28" s="1"/>
  <c r="O64" i="29"/>
  <c r="Q64" i="29" s="1"/>
  <c r="N73" i="29"/>
  <c r="O73" i="29" s="1"/>
  <c r="Q73" i="29" s="1"/>
  <c r="N17" i="29"/>
  <c r="O17" i="29" s="1"/>
  <c r="Q17" i="29" s="1"/>
  <c r="O15" i="29"/>
  <c r="Q15" i="29" s="1"/>
  <c r="N48" i="28"/>
  <c r="O48" i="28" s="1"/>
  <c r="O44" i="28"/>
  <c r="Q44" i="28" s="1"/>
  <c r="S44" i="28" s="1"/>
  <c r="N12" i="29"/>
  <c r="O9" i="29"/>
  <c r="Q9" i="29" s="1"/>
  <c r="N17" i="28"/>
  <c r="O17" i="28" s="1"/>
  <c r="O15" i="28"/>
  <c r="Q15" i="28" s="1"/>
  <c r="S15" i="28" s="1"/>
  <c r="N41" i="29"/>
  <c r="O41" i="29" s="1"/>
  <c r="Q41" i="29" s="1"/>
  <c r="O20" i="29"/>
  <c r="Q20" i="29" s="1"/>
  <c r="O44" i="29"/>
  <c r="Q44" i="29" s="1"/>
  <c r="N48" i="29"/>
  <c r="O48" i="29" s="1"/>
  <c r="Q48" i="29" s="1"/>
  <c r="N12" i="28"/>
  <c r="O12" i="28" s="1"/>
  <c r="E36" i="24" s="1"/>
  <c r="O9" i="28"/>
  <c r="Q9" i="28" s="1"/>
  <c r="S9" i="28" s="1"/>
  <c r="N66" i="26"/>
  <c r="O66" i="26" s="1"/>
  <c r="O53" i="26"/>
  <c r="O91" i="26"/>
  <c r="N95" i="26"/>
  <c r="O95" i="26" s="1"/>
  <c r="O23" i="26"/>
  <c r="N33" i="26"/>
  <c r="O33" i="26" s="1"/>
  <c r="N95" i="25"/>
  <c r="O95" i="25" s="1"/>
  <c r="O91" i="25"/>
  <c r="Q12" i="25"/>
  <c r="J43" i="26"/>
  <c r="K43" i="26" s="1"/>
  <c r="L43" i="26" s="1"/>
  <c r="N36" i="26"/>
  <c r="N48" i="26"/>
  <c r="O48" i="26" s="1"/>
  <c r="O46" i="26"/>
  <c r="K69" i="26"/>
  <c r="L69" i="26" s="1"/>
  <c r="N69" i="26"/>
  <c r="N108" i="25"/>
  <c r="O108" i="25" s="1"/>
  <c r="D17" i="24" s="1"/>
  <c r="O104" i="25"/>
  <c r="Q104" i="25" s="1"/>
  <c r="S104" i="25" s="1"/>
  <c r="Q31" i="25"/>
  <c r="Q94" i="26"/>
  <c r="Q24" i="26"/>
  <c r="Q19" i="25"/>
  <c r="K9" i="26"/>
  <c r="L9" i="26" s="1"/>
  <c r="N9" i="26"/>
  <c r="Q55" i="25"/>
  <c r="Q85" i="26"/>
  <c r="Q93" i="26"/>
  <c r="N43" i="25"/>
  <c r="O43" i="25" s="1"/>
  <c r="O36" i="25"/>
  <c r="Q99" i="26"/>
  <c r="Q57" i="26"/>
  <c r="N120" i="26"/>
  <c r="O111" i="26"/>
  <c r="Q111" i="26" s="1"/>
  <c r="N23" i="25"/>
  <c r="K12" i="28"/>
  <c r="K48" i="28"/>
  <c r="K17" i="28"/>
  <c r="K73" i="28"/>
  <c r="K36" i="26"/>
  <c r="L36" i="26" s="1"/>
  <c r="K46" i="26"/>
  <c r="L46" i="26" s="1"/>
  <c r="K23" i="26"/>
  <c r="L23" i="26" s="1"/>
  <c r="K104" i="26"/>
  <c r="L104" i="26" s="1"/>
  <c r="Q104" i="26" s="1"/>
  <c r="K53" i="26"/>
  <c r="L53" i="26" s="1"/>
  <c r="Q53" i="26" s="1"/>
  <c r="K91" i="26"/>
  <c r="L91" i="26" s="1"/>
  <c r="K36" i="25"/>
  <c r="L36" i="25" s="1"/>
  <c r="J95" i="25"/>
  <c r="K53" i="25"/>
  <c r="L53" i="25" s="1"/>
  <c r="K69" i="25"/>
  <c r="L69" i="25" s="1"/>
  <c r="N53" i="25"/>
  <c r="K88" i="25"/>
  <c r="K66" i="25"/>
  <c r="D10" i="24" s="1"/>
  <c r="K91" i="25"/>
  <c r="L91" i="25" s="1"/>
  <c r="N46" i="25"/>
  <c r="J120" i="25"/>
  <c r="K120" i="25" s="1"/>
  <c r="J48" i="25"/>
  <c r="K48" i="25" s="1"/>
  <c r="L48" i="25" s="1"/>
  <c r="J43" i="25"/>
  <c r="K43" i="25" s="1"/>
  <c r="J33" i="25"/>
  <c r="K33" i="25" s="1"/>
  <c r="L33" i="25" s="1"/>
  <c r="N111" i="25"/>
  <c r="N69" i="25"/>
  <c r="J75" i="29"/>
  <c r="K75" i="29" s="1"/>
  <c r="J20" i="25"/>
  <c r="K20" i="25" s="1"/>
  <c r="N9" i="25"/>
  <c r="O9" i="25" s="1"/>
  <c r="Q9" i="25" s="1"/>
  <c r="S9" i="25" s="1"/>
  <c r="J88" i="26"/>
  <c r="K88" i="26" s="1"/>
  <c r="L88" i="26" s="1"/>
  <c r="J20" i="26"/>
  <c r="K20" i="26" s="1"/>
  <c r="L20" i="26" s="1"/>
  <c r="G122" i="26"/>
  <c r="G122" i="25"/>
  <c r="J75" i="28"/>
  <c r="K75" i="28" s="1"/>
  <c r="J95" i="26"/>
  <c r="K95" i="26" s="1"/>
  <c r="L95" i="26" s="1"/>
  <c r="J48" i="26"/>
  <c r="K48" i="26" s="1"/>
  <c r="L48" i="26" s="1"/>
  <c r="Q48" i="26" s="1"/>
  <c r="J33" i="26"/>
  <c r="K33" i="26" s="1"/>
  <c r="L33" i="26" s="1"/>
  <c r="J66" i="26"/>
  <c r="K66" i="26" s="1"/>
  <c r="L66" i="26" s="1"/>
  <c r="I50" i="26"/>
  <c r="Q33" i="26" l="1"/>
  <c r="S31" i="25"/>
  <c r="T31" i="25" s="1"/>
  <c r="V31" i="25" s="1"/>
  <c r="H15" i="24"/>
  <c r="E15" i="24"/>
  <c r="S55" i="25"/>
  <c r="T55" i="25" s="1"/>
  <c r="V55" i="25" s="1"/>
  <c r="S19" i="25"/>
  <c r="T19" i="25" s="1"/>
  <c r="V19" i="25" s="1"/>
  <c r="S12" i="25"/>
  <c r="T12" i="25" s="1"/>
  <c r="V12" i="25" s="1"/>
  <c r="H36" i="24"/>
  <c r="T61" i="28"/>
  <c r="V61" i="28" s="1"/>
  <c r="O78" i="28"/>
  <c r="H46" i="24"/>
  <c r="E46" i="24"/>
  <c r="H38" i="24"/>
  <c r="E38" i="24"/>
  <c r="H42" i="24"/>
  <c r="E42" i="24"/>
  <c r="V54" i="28"/>
  <c r="F17" i="24"/>
  <c r="F40" i="24"/>
  <c r="F16" i="24"/>
  <c r="J43" i="24"/>
  <c r="T20" i="28"/>
  <c r="V20" i="28" s="1"/>
  <c r="T101" i="25"/>
  <c r="V101" i="25" s="1"/>
  <c r="J16" i="24"/>
  <c r="Q46" i="26"/>
  <c r="V119" i="25"/>
  <c r="V18" i="25"/>
  <c r="V30" i="25"/>
  <c r="V77" i="25"/>
  <c r="V32" i="25"/>
  <c r="V73" i="25"/>
  <c r="V13" i="25"/>
  <c r="V37" i="25"/>
  <c r="T104" i="25"/>
  <c r="V104" i="25" s="1"/>
  <c r="Q91" i="26"/>
  <c r="Q95" i="26"/>
  <c r="Q23" i="26"/>
  <c r="L120" i="25"/>
  <c r="D19" i="24"/>
  <c r="L88" i="25"/>
  <c r="D13" i="24"/>
  <c r="L20" i="25"/>
  <c r="L73" i="28"/>
  <c r="D46" i="24"/>
  <c r="L48" i="28"/>
  <c r="Q48" i="28" s="1"/>
  <c r="S48" i="28" s="1"/>
  <c r="D42" i="24"/>
  <c r="L17" i="28"/>
  <c r="Q17" i="28" s="1"/>
  <c r="S17" i="28" s="1"/>
  <c r="D38" i="24"/>
  <c r="L12" i="28"/>
  <c r="D36" i="24"/>
  <c r="L75" i="28"/>
  <c r="L75" i="29"/>
  <c r="Q91" i="25"/>
  <c r="S91" i="25" s="1"/>
  <c r="Q108" i="25"/>
  <c r="S108" i="25" s="1"/>
  <c r="H17" i="24" s="1"/>
  <c r="Q36" i="25"/>
  <c r="S36" i="25" s="1"/>
  <c r="T36" i="25" s="1"/>
  <c r="N75" i="29"/>
  <c r="O75" i="29" s="1"/>
  <c r="O12" i="29"/>
  <c r="Q12" i="29" s="1"/>
  <c r="N75" i="28"/>
  <c r="O75" i="28" s="1"/>
  <c r="Q12" i="28"/>
  <c r="S12" i="28" s="1"/>
  <c r="N48" i="25"/>
  <c r="O48" i="25" s="1"/>
  <c r="Q48" i="25" s="1"/>
  <c r="S48" i="25" s="1"/>
  <c r="O46" i="25"/>
  <c r="Q46" i="25" s="1"/>
  <c r="S46" i="25" s="1"/>
  <c r="N33" i="25"/>
  <c r="O33" i="25" s="1"/>
  <c r="Q33" i="25" s="1"/>
  <c r="S33" i="25" s="1"/>
  <c r="O23" i="25"/>
  <c r="Q23" i="25" s="1"/>
  <c r="S23" i="25" s="1"/>
  <c r="O69" i="26"/>
  <c r="Q69" i="26" s="1"/>
  <c r="N88" i="26"/>
  <c r="O88" i="26" s="1"/>
  <c r="Q88" i="26" s="1"/>
  <c r="O36" i="26"/>
  <c r="Q36" i="26" s="1"/>
  <c r="N43" i="26"/>
  <c r="O43" i="26" s="1"/>
  <c r="Q43" i="26" s="1"/>
  <c r="N88" i="25"/>
  <c r="O88" i="25" s="1"/>
  <c r="H13" i="24" s="1"/>
  <c r="O69" i="25"/>
  <c r="Q69" i="25" s="1"/>
  <c r="S69" i="25" s="1"/>
  <c r="Q66" i="26"/>
  <c r="N66" i="25"/>
  <c r="O66" i="25" s="1"/>
  <c r="H10" i="24" s="1"/>
  <c r="O53" i="25"/>
  <c r="Q53" i="25" s="1"/>
  <c r="S53" i="25" s="1"/>
  <c r="O120" i="26"/>
  <c r="Q120" i="26" s="1"/>
  <c r="N120" i="25"/>
  <c r="O120" i="25" s="1"/>
  <c r="O111" i="25"/>
  <c r="Q111" i="25" s="1"/>
  <c r="S111" i="25" s="1"/>
  <c r="O9" i="26"/>
  <c r="Q9" i="26" s="1"/>
  <c r="N20" i="26"/>
  <c r="I122" i="26"/>
  <c r="L43" i="25"/>
  <c r="Q43" i="25" s="1"/>
  <c r="S43" i="25" s="1"/>
  <c r="T43" i="25" s="1"/>
  <c r="L66" i="25"/>
  <c r="K95" i="25"/>
  <c r="D15" i="24" s="1"/>
  <c r="N20" i="25"/>
  <c r="J50" i="25"/>
  <c r="J122" i="25" s="1"/>
  <c r="T9" i="29"/>
  <c r="T12" i="29" s="1"/>
  <c r="T20" i="29"/>
  <c r="T41" i="29" s="1"/>
  <c r="T44" i="29"/>
  <c r="T48" i="29" s="1"/>
  <c r="T15" i="29"/>
  <c r="T17" i="29" s="1"/>
  <c r="T64" i="29"/>
  <c r="T73" i="29" s="1"/>
  <c r="J50" i="26"/>
  <c r="J122" i="26" s="1"/>
  <c r="I122" i="25"/>
  <c r="F46" i="24" l="1"/>
  <c r="E10" i="24"/>
  <c r="F10" i="24" s="1"/>
  <c r="E13" i="24"/>
  <c r="F13" i="24" s="1"/>
  <c r="O77" i="28"/>
  <c r="O79" i="28" s="1"/>
  <c r="F38" i="24"/>
  <c r="T108" i="25"/>
  <c r="J17" i="24" s="1"/>
  <c r="H19" i="24"/>
  <c r="E19" i="24"/>
  <c r="F19" i="24" s="1"/>
  <c r="O125" i="25"/>
  <c r="E48" i="24"/>
  <c r="H48" i="24"/>
  <c r="H54" i="24" s="1"/>
  <c r="F42" i="24"/>
  <c r="P78" i="28"/>
  <c r="F36" i="24"/>
  <c r="F15" i="24"/>
  <c r="T41" i="28"/>
  <c r="J40" i="24"/>
  <c r="T44" i="28"/>
  <c r="V44" i="28" s="1"/>
  <c r="T15" i="28"/>
  <c r="V15" i="28" s="1"/>
  <c r="T64" i="28"/>
  <c r="V64" i="28" s="1"/>
  <c r="T9" i="28"/>
  <c r="V9" i="28" s="1"/>
  <c r="J36" i="24"/>
  <c r="L78" i="28"/>
  <c r="L77" i="28" s="1"/>
  <c r="L79" i="28" s="1"/>
  <c r="L91" i="28" s="1"/>
  <c r="T91" i="25"/>
  <c r="V91" i="25" s="1"/>
  <c r="T23" i="25"/>
  <c r="V23" i="25" s="1"/>
  <c r="V36" i="25"/>
  <c r="T9" i="25"/>
  <c r="V9" i="25" s="1"/>
  <c r="V43" i="25"/>
  <c r="Q88" i="25"/>
  <c r="S88" i="25" s="1"/>
  <c r="Q73" i="28"/>
  <c r="Q75" i="28"/>
  <c r="Q75" i="29"/>
  <c r="Q66" i="25"/>
  <c r="S66" i="25" s="1"/>
  <c r="K50" i="25"/>
  <c r="D9" i="24" s="1"/>
  <c r="Q120" i="25"/>
  <c r="S120" i="25" s="1"/>
  <c r="K122" i="25"/>
  <c r="L122" i="25" s="1"/>
  <c r="O20" i="26"/>
  <c r="Q20" i="26" s="1"/>
  <c r="N50" i="26"/>
  <c r="N50" i="25"/>
  <c r="O20" i="25"/>
  <c r="Q20" i="25" s="1"/>
  <c r="S20" i="25" s="1"/>
  <c r="K122" i="26"/>
  <c r="K50" i="26"/>
  <c r="L95" i="25"/>
  <c r="L125" i="25" s="1"/>
  <c r="T75" i="29"/>
  <c r="H53" i="24" l="1"/>
  <c r="H55" i="24" s="1"/>
  <c r="E50" i="24"/>
  <c r="V108" i="25"/>
  <c r="P77" i="28"/>
  <c r="S75" i="28"/>
  <c r="T75" i="28" s="1"/>
  <c r="Q78" i="28"/>
  <c r="Q77" i="28" s="1"/>
  <c r="S73" i="28"/>
  <c r="J46" i="24" s="1"/>
  <c r="V41" i="28"/>
  <c r="T17" i="28"/>
  <c r="J38" i="24"/>
  <c r="T48" i="28"/>
  <c r="J42" i="24"/>
  <c r="T12" i="28"/>
  <c r="T33" i="25"/>
  <c r="V33" i="25" s="1"/>
  <c r="J19" i="24"/>
  <c r="T111" i="25"/>
  <c r="V111" i="25" s="1"/>
  <c r="T20" i="25"/>
  <c r="V20" i="25" s="1"/>
  <c r="T48" i="25"/>
  <c r="V48" i="25" s="1"/>
  <c r="T46" i="25"/>
  <c r="V46" i="25" s="1"/>
  <c r="T53" i="25"/>
  <c r="V53" i="25" s="1"/>
  <c r="T69" i="25"/>
  <c r="V69" i="25" s="1"/>
  <c r="L122" i="26"/>
  <c r="L50" i="25"/>
  <c r="L124" i="25"/>
  <c r="L126" i="25" s="1"/>
  <c r="L135" i="25" s="1"/>
  <c r="Q95" i="25"/>
  <c r="S95" i="25" s="1"/>
  <c r="O50" i="26"/>
  <c r="N122" i="26"/>
  <c r="O122" i="26" s="1"/>
  <c r="Q122" i="26" s="1"/>
  <c r="N122" i="25"/>
  <c r="O122" i="25" s="1"/>
  <c r="Q122" i="25" s="1"/>
  <c r="S122" i="25" s="1"/>
  <c r="O50" i="25"/>
  <c r="L50" i="26"/>
  <c r="H9" i="24" l="1"/>
  <c r="H11" i="24" s="1"/>
  <c r="H21" i="24" s="1"/>
  <c r="H26" i="24" s="1"/>
  <c r="E9" i="24"/>
  <c r="P125" i="25"/>
  <c r="O124" i="25"/>
  <c r="T95" i="25"/>
  <c r="J15" i="24"/>
  <c r="T73" i="28"/>
  <c r="V73" i="28" s="1"/>
  <c r="V75" i="28"/>
  <c r="V12" i="28"/>
  <c r="V48" i="28"/>
  <c r="V17" i="28"/>
  <c r="J48" i="24"/>
  <c r="T88" i="25"/>
  <c r="V88" i="25" s="1"/>
  <c r="J13" i="24"/>
  <c r="T66" i="25"/>
  <c r="V66" i="25" s="1"/>
  <c r="J10" i="24"/>
  <c r="T120" i="25"/>
  <c r="Q125" i="25"/>
  <c r="Q124" i="25" s="1"/>
  <c r="V95" i="25"/>
  <c r="Q50" i="25"/>
  <c r="S50" i="25" s="1"/>
  <c r="D48" i="24"/>
  <c r="D50" i="24" s="1"/>
  <c r="Q50" i="26"/>
  <c r="D11" i="24"/>
  <c r="D21" i="24" s="1"/>
  <c r="D23" i="24" s="1"/>
  <c r="C124" i="27"/>
  <c r="T78" i="28" l="1"/>
  <c r="T77" i="28" s="1"/>
  <c r="T79" i="28" s="1"/>
  <c r="O126" i="25"/>
  <c r="P124" i="25"/>
  <c r="V78" i="28"/>
  <c r="V77" i="28" s="1"/>
  <c r="V120" i="25"/>
  <c r="V125" i="25" s="1"/>
  <c r="T125" i="25"/>
  <c r="F48" i="24"/>
  <c r="F50" i="24" s="1"/>
  <c r="C40" i="24"/>
  <c r="C36" i="24"/>
  <c r="T50" i="25"/>
  <c r="V50" i="25" s="1"/>
  <c r="J9" i="24"/>
  <c r="T122" i="25"/>
  <c r="V122" i="25" s="1"/>
  <c r="F9" i="24"/>
  <c r="E11" i="24"/>
  <c r="E21" i="24" s="1"/>
  <c r="C43" i="24"/>
  <c r="C42" i="24"/>
  <c r="C46" i="24"/>
  <c r="C38" i="24"/>
  <c r="H25" i="24" l="1"/>
  <c r="H27" i="24" s="1"/>
  <c r="E23" i="24"/>
  <c r="T124" i="25"/>
  <c r="T126" i="25" s="1"/>
  <c r="J11" i="24"/>
  <c r="J21" i="24" s="1"/>
  <c r="C10" i="24"/>
  <c r="C17" i="24"/>
  <c r="C16" i="24"/>
  <c r="C19" i="24"/>
  <c r="C15" i="24"/>
  <c r="C13" i="24"/>
  <c r="C9" i="24"/>
  <c r="V124" i="25"/>
  <c r="F21" i="24"/>
  <c r="F23" i="24" s="1"/>
  <c r="F11" i="24"/>
  <c r="C48" i="24"/>
  <c r="C11" i="24" l="1"/>
  <c r="C21" i="24"/>
</calcChain>
</file>

<file path=xl/sharedStrings.xml><?xml version="1.0" encoding="utf-8"?>
<sst xmlns="http://schemas.openxmlformats.org/spreadsheetml/2006/main" count="764" uniqueCount="254">
  <si>
    <t>Total</t>
  </si>
  <si>
    <t>Adjusted</t>
  </si>
  <si>
    <t>Transmission</t>
  </si>
  <si>
    <t>Total Transmission</t>
  </si>
  <si>
    <t>Distribution</t>
  </si>
  <si>
    <t>Total Distribution</t>
  </si>
  <si>
    <t>Customer Accounts</t>
  </si>
  <si>
    <t>Total Cust Accounts</t>
  </si>
  <si>
    <t>Cust Service &amp; Info</t>
  </si>
  <si>
    <t>Total Cust Svc &amp; Info</t>
  </si>
  <si>
    <t>Sales</t>
  </si>
  <si>
    <t>Total Sales</t>
  </si>
  <si>
    <t>Admin &amp; General</t>
  </si>
  <si>
    <t>Total Admin &amp; General</t>
  </si>
  <si>
    <t>Direct</t>
  </si>
  <si>
    <t>Alloc</t>
  </si>
  <si>
    <t>Allocated</t>
  </si>
  <si>
    <t>TOTAL</t>
  </si>
  <si>
    <t>Number of Cust</t>
  </si>
  <si>
    <t>Distr Op Exp</t>
  </si>
  <si>
    <t>4-Factor</t>
  </si>
  <si>
    <t>Total Allocated</t>
  </si>
  <si>
    <t>Total Check</t>
  </si>
  <si>
    <t>Percentage Increase Adjustments</t>
  </si>
  <si>
    <t>AVISTA UTILITIES</t>
  </si>
  <si>
    <t>Natural Gas System Labor Dollars</t>
  </si>
  <si>
    <t>Throughput</t>
  </si>
  <si>
    <t>a</t>
  </si>
  <si>
    <t>UNION</t>
  </si>
  <si>
    <t>Total Production</t>
  </si>
  <si>
    <t>Total Underground Storage</t>
  </si>
  <si>
    <t>Total WA</t>
  </si>
  <si>
    <t>Production</t>
  </si>
  <si>
    <t>Steam</t>
  </si>
  <si>
    <t>Supervision &amp; Eng.</t>
  </si>
  <si>
    <t>Fuel</t>
  </si>
  <si>
    <t>Steam Expense</t>
  </si>
  <si>
    <t>Electric Expense</t>
  </si>
  <si>
    <t>Misc. Steam Pwr. Exp.</t>
  </si>
  <si>
    <t>Structures</t>
  </si>
  <si>
    <t>Boiler Plant</t>
  </si>
  <si>
    <t>Electric Plant</t>
  </si>
  <si>
    <t>Misc. Steam Plant</t>
  </si>
  <si>
    <t>Total Steam</t>
  </si>
  <si>
    <t>Hydro</t>
  </si>
  <si>
    <t>Water For Power</t>
  </si>
  <si>
    <t>Hydraulic Expense</t>
  </si>
  <si>
    <t>Misc. Hydro Expense</t>
  </si>
  <si>
    <t>Res., Dams &amp; Wtrways</t>
  </si>
  <si>
    <t>Misc. Hydro Plant</t>
  </si>
  <si>
    <t>Total Hydro</t>
  </si>
  <si>
    <t>Other Generation</t>
  </si>
  <si>
    <t>Generation Expense</t>
  </si>
  <si>
    <t>Misc. Other Gen.</t>
  </si>
  <si>
    <t>Gen. &amp; Elec. Equip.</t>
  </si>
  <si>
    <t>Misc. Other Gen. Plant</t>
  </si>
  <si>
    <t>Total Other Generation</t>
  </si>
  <si>
    <t>Other Power Supply</t>
  </si>
  <si>
    <t>Sys. Cntrol &amp; Ld. Disp.</t>
  </si>
  <si>
    <t>Other Expense</t>
  </si>
  <si>
    <t>Total Other Power Supply</t>
  </si>
  <si>
    <t>Load Dispatching</t>
  </si>
  <si>
    <t>Station Expense</t>
  </si>
  <si>
    <t>Overhead Line Exp.</t>
  </si>
  <si>
    <t>Underground Line Exp.</t>
  </si>
  <si>
    <t>Misc. Trans. Exp.</t>
  </si>
  <si>
    <t>Station Equip.</t>
  </si>
  <si>
    <t>Overhead Lines</t>
  </si>
  <si>
    <t>Underground Lines</t>
  </si>
  <si>
    <t>Misc. Trans. Plant</t>
  </si>
  <si>
    <t>St. Lt. &amp; Signl. Sys.</t>
  </si>
  <si>
    <t>Meter Expense</t>
  </si>
  <si>
    <t>Cust. Install. Expense</t>
  </si>
  <si>
    <t>Misc. Dist. Expense</t>
  </si>
  <si>
    <t>Rent</t>
  </si>
  <si>
    <t>Station Equipment</t>
  </si>
  <si>
    <t>Undergrd. Lines</t>
  </si>
  <si>
    <t>Line Transformers</t>
  </si>
  <si>
    <t xml:space="preserve">St. Lt. &amp; Signl. Sys. </t>
  </si>
  <si>
    <t>Meters</t>
  </si>
  <si>
    <t>Supervision</t>
  </si>
  <si>
    <t>Meter Reading Exp.</t>
  </si>
  <si>
    <t>Cust. Records &amp; Coll.</t>
  </si>
  <si>
    <t>Misc. Cust. Accts.</t>
  </si>
  <si>
    <t>Cust. Assistance Exp.</t>
  </si>
  <si>
    <t>Advertising</t>
  </si>
  <si>
    <t>Miscellaneous</t>
  </si>
  <si>
    <t>Demonstrating &amp; Selling</t>
  </si>
  <si>
    <t>Misc Cust Serv &amp; Info</t>
  </si>
  <si>
    <t>Salaries</t>
  </si>
  <si>
    <t>Office Supplies &amp; Exp.</t>
  </si>
  <si>
    <t>Outside Services</t>
  </si>
  <si>
    <t>Injuries &amp; Damages</t>
  </si>
  <si>
    <t>Empl. Pensions &amp; Bene.</t>
  </si>
  <si>
    <t>Franchise Requirements</t>
  </si>
  <si>
    <t>Reg. Comm. Expenses</t>
  </si>
  <si>
    <t>Misc. General Exp.</t>
  </si>
  <si>
    <t>Mtce. of Gen. Plant</t>
  </si>
  <si>
    <t>Total Electric Labor</t>
  </si>
  <si>
    <t>Adjusted Electric Labor Dollars - Idaho</t>
  </si>
  <si>
    <t>Total ID</t>
  </si>
  <si>
    <t>Electric System Labor Dollars</t>
  </si>
  <si>
    <t>Wash</t>
  </si>
  <si>
    <t>Idaho</t>
  </si>
  <si>
    <t>WA</t>
  </si>
  <si>
    <t>ID</t>
  </si>
  <si>
    <t>P/T Ratio</t>
  </si>
  <si>
    <t>Total Admin &amp; Gen</t>
  </si>
  <si>
    <t>Adjusted Natural Gas System Labor Dollars - Washington</t>
  </si>
  <si>
    <t>Underground Storage</t>
  </si>
  <si>
    <t>Adjusted Natural Gas System Labor Dollars - Idaho</t>
  </si>
  <si>
    <t>Four Factor</t>
  </si>
  <si>
    <t>Therms Purchased</t>
  </si>
  <si>
    <t>System Contract Demand</t>
  </si>
  <si>
    <t>Summary</t>
  </si>
  <si>
    <t>Washington and Idaho</t>
  </si>
  <si>
    <t>Total WA &amp; ID Gas Labor</t>
  </si>
  <si>
    <t>Total ID Adj</t>
  </si>
  <si>
    <t>Non-Exec</t>
  </si>
  <si>
    <t>Total WA  Gas Labor</t>
  </si>
  <si>
    <t>Total ID Gas Labor</t>
  </si>
  <si>
    <t>Source:  E-ALL-12A</t>
  </si>
  <si>
    <t>Source:  G-ALL-12A</t>
  </si>
  <si>
    <t xml:space="preserve">Electric </t>
  </si>
  <si>
    <t>AA</t>
  </si>
  <si>
    <t>Sum</t>
  </si>
  <si>
    <t>807.xx</t>
  </si>
  <si>
    <t>Gas North Amt SUM</t>
  </si>
  <si>
    <t>807-Administrative Expenses</t>
  </si>
  <si>
    <t>807-Purchased Gas Expenses</t>
  </si>
  <si>
    <t>813-Other Gas Expenses</t>
  </si>
  <si>
    <t>814-Oper. supervision &amp; engineering</t>
  </si>
  <si>
    <t>820-Meas. &amp; reg. station expenses</t>
  </si>
  <si>
    <t>870-Oper. supervision &amp; engineering</t>
  </si>
  <si>
    <t>871-Distribution Load Dispatching</t>
  </si>
  <si>
    <t>874-Mains &amp; services expenses</t>
  </si>
  <si>
    <t>875-Meas. &amp; reg. station exp.-General</t>
  </si>
  <si>
    <t>876-Meas. &amp; reg. station exp.-Industrial</t>
  </si>
  <si>
    <t>877-Meas. &amp; reg. station exp.-City gate</t>
  </si>
  <si>
    <t>878-Meter &amp; house regulator expenses</t>
  </si>
  <si>
    <t>879-Customer installations expenses</t>
  </si>
  <si>
    <t>880-Other expenses</t>
  </si>
  <si>
    <t>885-Maint. supervision &amp; engineering</t>
  </si>
  <si>
    <t>886-Structures &amp; Improvements</t>
  </si>
  <si>
    <t>887-Maint. of mains</t>
  </si>
  <si>
    <t>889-Maint. meas. &amp; reg. st. equip.-General</t>
  </si>
  <si>
    <t>890-Maint. meas. &amp; reg. st. equip.-Indust</t>
  </si>
  <si>
    <t>891-Maint. meas. &amp; reg. st. equip.-City gate</t>
  </si>
  <si>
    <t>892-Maint. of services &amp; lines</t>
  </si>
  <si>
    <t>893-Maint. meters &amp; house regulators</t>
  </si>
  <si>
    <t>901-Supervision</t>
  </si>
  <si>
    <t>902-Meter reading expenses</t>
  </si>
  <si>
    <t>903-Customer records &amp; collection exp</t>
  </si>
  <si>
    <t>905- Misc. customer accounts expenses</t>
  </si>
  <si>
    <t>908-Customer assistance expenses</t>
  </si>
  <si>
    <t>909-Advertising</t>
  </si>
  <si>
    <t>910-Misc Customer Service &amp; Info Exp</t>
  </si>
  <si>
    <t>911-Supervision</t>
  </si>
  <si>
    <t>912-Demonstrating &amp; selling expenses</t>
  </si>
  <si>
    <t>913-Advertising</t>
  </si>
  <si>
    <t>916- Misc Sales Expense</t>
  </si>
  <si>
    <t>920-Administrative &amp; general salaries</t>
  </si>
  <si>
    <t>923-Outside services employed</t>
  </si>
  <si>
    <t>924-Property insurance</t>
  </si>
  <si>
    <t>925-Injuries &amp; damages</t>
  </si>
  <si>
    <t>928-Regulatory commission expenses</t>
  </si>
  <si>
    <t>930-Misc. general expenses</t>
  </si>
  <si>
    <t>935-Maintenance of general plant</t>
  </si>
  <si>
    <t>890-Maint. meas. &amp; reg. st. equip.-Industrial</t>
  </si>
  <si>
    <t>903-Customer records &amp; collection expenses</t>
  </si>
  <si>
    <t xml:space="preserve">ADMIN </t>
  </si>
  <si>
    <t>Pro Forma Incr</t>
  </si>
  <si>
    <t>Total Oth Power Supply</t>
  </si>
  <si>
    <t>Allocation Factors</t>
  </si>
  <si>
    <t xml:space="preserve">Allocation Factors: </t>
  </si>
  <si>
    <t xml:space="preserve">Checks: </t>
  </si>
  <si>
    <t>Totals from Elec Labor Worksheet</t>
  </si>
  <si>
    <t xml:space="preserve">   Diff</t>
  </si>
  <si>
    <t>881-Rents</t>
  </si>
  <si>
    <t>Ferc Acct</t>
  </si>
  <si>
    <t>Washington Electric</t>
  </si>
  <si>
    <t>Total Production and Transmission</t>
  </si>
  <si>
    <t>Sales &amp; Marketing</t>
  </si>
  <si>
    <t>Total WA Electric Expense</t>
  </si>
  <si>
    <t>customer Accounts</t>
  </si>
  <si>
    <t>Total WA Gas Expense</t>
  </si>
  <si>
    <t>Washington Gas</t>
  </si>
  <si>
    <t>2011 to 2013</t>
  </si>
  <si>
    <t>Adjusted Electric Labor Dollars - Washington</t>
  </si>
  <si>
    <t>Acct Year</t>
  </si>
  <si>
    <t>Amount to Allocate</t>
  </si>
  <si>
    <t>Direct Washington</t>
  </si>
  <si>
    <t>Transmission Rent</t>
  </si>
  <si>
    <t>Admin Expense</t>
  </si>
  <si>
    <t>Transmission Rents</t>
  </si>
  <si>
    <t>557/558</t>
  </si>
  <si>
    <t>WA Total</t>
  </si>
  <si>
    <t>ID Total</t>
  </si>
  <si>
    <t>AA Total</t>
  </si>
  <si>
    <t>AN Total</t>
  </si>
  <si>
    <t>Electric Adjusted Total</t>
  </si>
  <si>
    <t>Adjustment % for remaining 2015 Increase</t>
  </si>
  <si>
    <t>Pro-Forma Labor</t>
  </si>
  <si>
    <t>I</t>
  </si>
  <si>
    <t>Test Period Labor</t>
  </si>
  <si>
    <t>FLB-TP 2.02</t>
  </si>
  <si>
    <t>Test Period</t>
  </si>
  <si>
    <t>Total To Allocated</t>
  </si>
  <si>
    <t>AN</t>
  </si>
  <si>
    <t xml:space="preserve">Admin and General - Proforma </t>
  </si>
  <si>
    <t>Admin&amp; General - Pro-Forma</t>
  </si>
  <si>
    <t>*excludes Officer and Loading (acct 926)</t>
  </si>
  <si>
    <t>2016 incentive</t>
  </si>
  <si>
    <t>12 Months Ending 09/30/15</t>
  </si>
  <si>
    <t>March 26, 2015 increase</t>
  </si>
  <si>
    <t>Factor to adjust October 1, 2014 - March 26, 2015</t>
  </si>
  <si>
    <t>2016 Increase</t>
  </si>
  <si>
    <t>March 28, 2017 too Dec 31, 2017</t>
  </si>
  <si>
    <t>Adjustment % for remaining 2017 Increase</t>
  </si>
  <si>
    <t>March 1, 2015 increase</t>
  </si>
  <si>
    <t>Factor to adjust October 1, 2014 - Feb 28, 2015</t>
  </si>
  <si>
    <t>Adjustment % to Annualize 2015 Increase</t>
  </si>
  <si>
    <t>Factor to adjust March 1, 2017 - December 31, 2017</t>
  </si>
  <si>
    <t>2015 - 2016 - 2017 Labor Adjustments</t>
  </si>
  <si>
    <t>2017 Adjustment</t>
  </si>
  <si>
    <t>2016 Adjustment</t>
  </si>
  <si>
    <t>YE 2016</t>
  </si>
  <si>
    <t>YE 2017</t>
  </si>
  <si>
    <t xml:space="preserve">YE 2016 </t>
  </si>
  <si>
    <t>YE 2017 Labor</t>
  </si>
  <si>
    <t>Union</t>
  </si>
  <si>
    <t>Non-Union</t>
  </si>
  <si>
    <t>YE 2018</t>
  </si>
  <si>
    <t>Pro-Forma Increases</t>
  </si>
  <si>
    <t>Annualize 2017 Increase</t>
  </si>
  <si>
    <t>March 1, 2018 through June 30, 2018</t>
  </si>
  <si>
    <t>=122/365</t>
  </si>
  <si>
    <t>March 28, 2018 through June 30, 2018</t>
  </si>
  <si>
    <t>=94/365</t>
  </si>
  <si>
    <r>
      <rPr>
        <b/>
        <sz val="10"/>
        <color rgb="FFFF0000"/>
        <rFont val="Times New Roman"/>
        <family val="1"/>
      </rPr>
      <t>Union</t>
    </r>
    <r>
      <rPr>
        <b/>
        <sz val="10"/>
        <rFont val="Times New Roman"/>
        <family val="1"/>
      </rPr>
      <t xml:space="preserve"> Non-Exec</t>
    </r>
  </si>
  <si>
    <t>Union &amp; Non-Union</t>
  </si>
  <si>
    <t>check total:</t>
  </si>
  <si>
    <t>Total Electric 2017</t>
  </si>
  <si>
    <t>Total Gas 2017</t>
  </si>
  <si>
    <t>2017 Union</t>
  </si>
  <si>
    <t>2017 Non-union</t>
  </si>
  <si>
    <t>2018 Adjustment</t>
  </si>
  <si>
    <t>YE 2018 Labor</t>
  </si>
  <si>
    <t>Notes:</t>
  </si>
  <si>
    <t>2016 - Union Contract Approved, Non-Union increases will be actual 03.2016. Board Approved November 2015.</t>
  </si>
  <si>
    <t>2017 - Union Contract Approved.</t>
  </si>
  <si>
    <t>Original Adjustment</t>
  </si>
  <si>
    <t>Change</t>
  </si>
  <si>
    <t>6 year average (2010-2015)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</si>
</sst>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&quot;Union &quot;0.000%"/>
    <numFmt numFmtId="166" formatCode="_(* #,##0_);_(* \(#,##0\);_(* &quot;-&quot;??_);_(@_)"/>
    <numFmt numFmtId="167" formatCode="&quot;Admin &quot;0.000%"/>
    <numFmt numFmtId="168" formatCode="#,###,###,###,###.00"/>
    <numFmt numFmtId="169" formatCode="_(&quot;$&quot;* #,##0_);_(&quot;$&quot;* \(#,##0\);_(&quot;$&quot;* &quot;-&quot;??_);_(@_)"/>
  </numFmts>
  <fonts count="37">
    <font>
      <sz val="10"/>
      <name val="Times New Roman"/>
    </font>
    <font>
      <sz val="10"/>
      <name val="Times New Roman"/>
      <family val="1"/>
    </font>
    <font>
      <sz val="10"/>
      <name val="Geneva"/>
    </font>
    <font>
      <u/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8"/>
      <color indexed="10"/>
      <name val="Times New Roman"/>
      <family val="1"/>
    </font>
    <font>
      <sz val="10"/>
      <color indexed="12"/>
      <name val="Times New Roman"/>
      <family val="1"/>
    </font>
    <font>
      <b/>
      <sz val="12"/>
      <name val="Times New Roman"/>
      <family val="1"/>
    </font>
    <font>
      <b/>
      <u/>
      <sz val="10"/>
      <name val="Times New Roman"/>
      <family val="1"/>
    </font>
    <font>
      <sz val="10"/>
      <color indexed="8"/>
      <name val="MS Sans Serif"/>
      <family val="2"/>
    </font>
    <font>
      <i/>
      <sz val="10"/>
      <name val="Times New Roman"/>
      <family val="1"/>
    </font>
    <font>
      <i/>
      <sz val="10"/>
      <color indexed="10"/>
      <name val="Times New Roman"/>
      <family val="1"/>
    </font>
    <font>
      <b/>
      <i/>
      <sz val="10"/>
      <name val="Times New Roman"/>
      <family val="1"/>
    </font>
    <font>
      <i/>
      <sz val="10"/>
      <color indexed="12"/>
      <name val="Times New Roman"/>
      <family val="1"/>
    </font>
    <font>
      <sz val="10"/>
      <color indexed="14"/>
      <name val="Times New Roman"/>
      <family val="1"/>
    </font>
    <font>
      <b/>
      <sz val="9"/>
      <color indexed="12"/>
      <name val="Times New Roman"/>
      <family val="1"/>
    </font>
    <font>
      <b/>
      <sz val="10"/>
      <color indexed="12"/>
      <name val="Times New Roman"/>
      <family val="1"/>
    </font>
    <font>
      <sz val="9"/>
      <name val="Times New Roman"/>
      <family val="1"/>
    </font>
    <font>
      <u/>
      <sz val="9.9499999999999993"/>
      <color indexed="8"/>
      <name val="Times New Roman"/>
      <family val="1"/>
    </font>
    <font>
      <sz val="10"/>
      <name val="Tahoma"/>
      <family val="2"/>
    </font>
    <font>
      <sz val="10"/>
      <name val="NewCenturySchlbk"/>
    </font>
    <font>
      <sz val="10"/>
      <name val="NewCenturySchlbk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theme="0"/>
      <name val="Times New Roman"/>
      <family val="1"/>
    </font>
    <font>
      <u/>
      <sz val="10"/>
      <color rgb="FFFF0000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b/>
      <sz val="8"/>
      <color indexed="10"/>
      <name val="Times New Roman"/>
      <family val="1"/>
    </font>
    <font>
      <b/>
      <u/>
      <sz val="10"/>
      <color rgb="FFFF0000"/>
      <name val="Times New Roman"/>
      <family val="1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rgb="FF3333FF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399975585192419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8"/>
      </left>
      <right/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8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1" fillId="0" borderId="0"/>
    <xf numFmtId="0" fontId="5" fillId="0" borderId="0"/>
    <xf numFmtId="0" fontId="1" fillId="0" borderId="0"/>
    <xf numFmtId="0" fontId="2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330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39" fontId="6" fillId="0" borderId="0" xfId="0" applyNumberFormat="1" applyFont="1"/>
    <xf numFmtId="39" fontId="6" fillId="0" borderId="0" xfId="0" applyNumberFormat="1" applyFont="1" applyBorder="1"/>
    <xf numFmtId="0" fontId="4" fillId="0" borderId="0" xfId="11" applyFont="1"/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0" fontId="4" fillId="0" borderId="0" xfId="10" applyFont="1" applyAlignment="1">
      <alignment horizontal="left"/>
    </xf>
    <xf numFmtId="0" fontId="6" fillId="0" borderId="0" xfId="10" applyFont="1"/>
    <xf numFmtId="0" fontId="6" fillId="0" borderId="0" xfId="10" applyFont="1" applyAlignment="1">
      <alignment horizontal="left"/>
    </xf>
    <xf numFmtId="0" fontId="6" fillId="0" borderId="0" xfId="10" applyFont="1" applyAlignment="1">
      <alignment horizontal="right"/>
    </xf>
    <xf numFmtId="37" fontId="6" fillId="0" borderId="0" xfId="0" applyNumberFormat="1" applyFont="1"/>
    <xf numFmtId="37" fontId="6" fillId="0" borderId="0" xfId="0" applyNumberFormat="1" applyFont="1" applyBorder="1"/>
    <xf numFmtId="37" fontId="4" fillId="0" borderId="0" xfId="1" applyNumberFormat="1" applyFont="1"/>
    <xf numFmtId="37" fontId="6" fillId="0" borderId="0" xfId="1" applyNumberFormat="1" applyFont="1"/>
    <xf numFmtId="37" fontId="6" fillId="0" borderId="2" xfId="10" applyNumberFormat="1" applyFont="1" applyBorder="1"/>
    <xf numFmtId="37" fontId="6" fillId="0" borderId="0" xfId="10" applyNumberFormat="1" applyFont="1"/>
    <xf numFmtId="0" fontId="10" fillId="0" borderId="0" xfId="11" applyFont="1"/>
    <xf numFmtId="0" fontId="13" fillId="0" borderId="0" xfId="0" applyFont="1"/>
    <xf numFmtId="0" fontId="6" fillId="0" borderId="0" xfId="0" applyFont="1" applyBorder="1" applyAlignment="1">
      <alignment horizontal="center"/>
    </xf>
    <xf numFmtId="37" fontId="6" fillId="0" borderId="0" xfId="10" applyNumberFormat="1" applyFont="1" applyBorder="1"/>
    <xf numFmtId="0" fontId="12" fillId="0" borderId="0" xfId="11" applyFont="1" applyBorder="1"/>
    <xf numFmtId="164" fontId="14" fillId="0" borderId="0" xfId="11" applyNumberFormat="1" applyFont="1" applyBorder="1"/>
    <xf numFmtId="0" fontId="4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6" fillId="0" borderId="0" xfId="0" applyFont="1" applyFill="1"/>
    <xf numFmtId="0" fontId="3" fillId="0" borderId="0" xfId="0" applyFont="1"/>
    <xf numFmtId="0" fontId="6" fillId="0" borderId="4" xfId="0" applyFont="1" applyBorder="1"/>
    <xf numFmtId="0" fontId="4" fillId="0" borderId="0" xfId="0" applyFont="1" applyAlignment="1">
      <alignment horizontal="left"/>
    </xf>
    <xf numFmtId="0" fontId="7" fillId="0" borderId="0" xfId="0" applyFont="1"/>
    <xf numFmtId="37" fontId="6" fillId="0" borderId="2" xfId="0" applyNumberFormat="1" applyFont="1" applyBorder="1"/>
    <xf numFmtId="0" fontId="15" fillId="0" borderId="0" xfId="0" applyFont="1"/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39" fontId="8" fillId="0" borderId="0" xfId="0" applyNumberFormat="1" applyFont="1"/>
    <xf numFmtId="164" fontId="6" fillId="0" borderId="0" xfId="0" applyNumberFormat="1" applyFont="1"/>
    <xf numFmtId="39" fontId="6" fillId="0" borderId="2" xfId="0" applyNumberFormat="1" applyFont="1" applyBorder="1"/>
    <xf numFmtId="37" fontId="6" fillId="0" borderId="0" xfId="1" applyNumberFormat="1" applyFont="1" applyBorder="1"/>
    <xf numFmtId="37" fontId="4" fillId="0" borderId="0" xfId="1" applyNumberFormat="1" applyFont="1" applyBorder="1"/>
    <xf numFmtId="0" fontId="6" fillId="0" borderId="1" xfId="10" applyFont="1" applyBorder="1" applyAlignment="1">
      <alignment horizontal="right"/>
    </xf>
    <xf numFmtId="164" fontId="6" fillId="0" borderId="0" xfId="10" applyNumberFormat="1" applyFont="1"/>
    <xf numFmtId="39" fontId="6" fillId="0" borderId="0" xfId="10" applyNumberFormat="1" applyFont="1"/>
    <xf numFmtId="39" fontId="6" fillId="0" borderId="2" xfId="10" applyNumberFormat="1" applyFont="1" applyBorder="1"/>
    <xf numFmtId="37" fontId="4" fillId="0" borderId="0" xfId="0" applyNumberFormat="1" applyFont="1"/>
    <xf numFmtId="0" fontId="9" fillId="0" borderId="0" xfId="1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0" xfId="11" applyNumberFormat="1" applyFont="1" applyBorder="1"/>
    <xf numFmtId="39" fontId="8" fillId="0" borderId="0" xfId="10" applyNumberFormat="1" applyFont="1"/>
    <xf numFmtId="2" fontId="6" fillId="0" borderId="0" xfId="10" applyNumberFormat="1" applyFont="1" applyAlignment="1">
      <alignment horizontal="left"/>
    </xf>
    <xf numFmtId="0" fontId="6" fillId="2" borderId="0" xfId="0" applyFont="1" applyFill="1"/>
    <xf numFmtId="39" fontId="6" fillId="2" borderId="2" xfId="0" applyNumberFormat="1" applyFont="1" applyFill="1" applyBorder="1"/>
    <xf numFmtId="39" fontId="6" fillId="2" borderId="2" xfId="10" applyNumberFormat="1" applyFont="1" applyFill="1" applyBorder="1"/>
    <xf numFmtId="0" fontId="6" fillId="3" borderId="0" xfId="0" applyFont="1" applyFill="1" applyAlignment="1">
      <alignment horizontal="left"/>
    </xf>
    <xf numFmtId="0" fontId="6" fillId="3" borderId="0" xfId="0" applyFont="1" applyFill="1"/>
    <xf numFmtId="0" fontId="6" fillId="3" borderId="0" xfId="10" applyFont="1" applyFill="1" applyAlignment="1">
      <alignment horizontal="left"/>
    </xf>
    <xf numFmtId="10" fontId="16" fillId="0" borderId="0" xfId="11" applyNumberFormat="1" applyFont="1" applyFill="1"/>
    <xf numFmtId="39" fontId="6" fillId="0" borderId="0" xfId="0" applyNumberFormat="1" applyFont="1" applyFill="1"/>
    <xf numFmtId="37" fontId="6" fillId="2" borderId="2" xfId="10" applyNumberFormat="1" applyFont="1" applyFill="1" applyBorder="1"/>
    <xf numFmtId="0" fontId="8" fillId="0" borderId="0" xfId="0" applyFont="1" applyFill="1" applyAlignment="1">
      <alignment horizontal="left"/>
    </xf>
    <xf numFmtId="3" fontId="1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11" applyFont="1"/>
    <xf numFmtId="0" fontId="19" fillId="0" borderId="0" xfId="10" applyFont="1" applyAlignment="1">
      <alignment horizontal="left"/>
    </xf>
    <xf numFmtId="0" fontId="19" fillId="0" borderId="0" xfId="0" applyFont="1"/>
    <xf numFmtId="0" fontId="6" fillId="0" borderId="0" xfId="0" applyFont="1" applyFill="1" applyBorder="1"/>
    <xf numFmtId="39" fontId="6" fillId="0" borderId="2" xfId="10" applyNumberFormat="1" applyFont="1" applyFill="1" applyBorder="1"/>
    <xf numFmtId="10" fontId="8" fillId="0" borderId="0" xfId="11" applyNumberFormat="1" applyFont="1" applyFill="1"/>
    <xf numFmtId="0" fontId="8" fillId="0" borderId="0" xfId="11" applyFont="1" applyFill="1" applyAlignment="1">
      <alignment horizontal="center"/>
    </xf>
    <xf numFmtId="0" fontId="8" fillId="0" borderId="0" xfId="11" applyFont="1" applyFill="1"/>
    <xf numFmtId="164" fontId="6" fillId="0" borderId="0" xfId="10" applyNumberFormat="1" applyFont="1" applyFill="1"/>
    <xf numFmtId="43" fontId="6" fillId="0" borderId="0" xfId="10" applyNumberFormat="1" applyFont="1"/>
    <xf numFmtId="39" fontId="6" fillId="0" borderId="0" xfId="0" applyNumberFormat="1" applyFont="1" applyFill="1" applyBorder="1"/>
    <xf numFmtId="0" fontId="6" fillId="0" borderId="0" xfId="10" applyFont="1" applyFill="1"/>
    <xf numFmtId="0" fontId="4" fillId="0" borderId="6" xfId="0" applyFont="1" applyBorder="1"/>
    <xf numFmtId="39" fontId="12" fillId="0" borderId="0" xfId="0" applyNumberFormat="1" applyFont="1"/>
    <xf numFmtId="39" fontId="12" fillId="0" borderId="2" xfId="0" applyNumberFormat="1" applyFont="1" applyBorder="1"/>
    <xf numFmtId="43" fontId="6" fillId="0" borderId="0" xfId="0" applyNumberFormat="1" applyFont="1"/>
    <xf numFmtId="0" fontId="4" fillId="0" borderId="0" xfId="0" applyFont="1"/>
    <xf numFmtId="0" fontId="18" fillId="0" borderId="0" xfId="0" applyFont="1" applyBorder="1" applyAlignment="1">
      <alignment horizontal="center"/>
    </xf>
    <xf numFmtId="0" fontId="4" fillId="0" borderId="0" xfId="0" applyFont="1" applyBorder="1"/>
    <xf numFmtId="164" fontId="4" fillId="0" borderId="0" xfId="11" applyNumberFormat="1" applyFont="1" applyFill="1" applyBorder="1"/>
    <xf numFmtId="0" fontId="6" fillId="5" borderId="0" xfId="10" applyFont="1" applyFill="1"/>
    <xf numFmtId="0" fontId="6" fillId="5" borderId="0" xfId="0" applyFont="1" applyFill="1"/>
    <xf numFmtId="0" fontId="4" fillId="0" borderId="6" xfId="0" applyFont="1" applyFill="1" applyBorder="1"/>
    <xf numFmtId="0" fontId="6" fillId="0" borderId="0" xfId="0" applyFont="1" applyFill="1" applyAlignment="1">
      <alignment horizontal="right"/>
    </xf>
    <xf numFmtId="0" fontId="6" fillId="0" borderId="1" xfId="1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64" fontId="8" fillId="0" borderId="0" xfId="0" applyNumberFormat="1" applyFont="1" applyFill="1"/>
    <xf numFmtId="164" fontId="6" fillId="0" borderId="0" xfId="0" applyNumberFormat="1" applyFont="1" applyFill="1"/>
    <xf numFmtId="0" fontId="4" fillId="0" borderId="6" xfId="10" applyFont="1" applyFill="1" applyBorder="1"/>
    <xf numFmtId="0" fontId="6" fillId="0" borderId="6" xfId="10" applyFont="1" applyFill="1" applyBorder="1"/>
    <xf numFmtId="0" fontId="6" fillId="0" borderId="0" xfId="10" applyFont="1" applyFill="1" applyAlignment="1">
      <alignment horizontal="right"/>
    </xf>
    <xf numFmtId="164" fontId="8" fillId="0" borderId="0" xfId="10" applyNumberFormat="1" applyFont="1" applyFill="1"/>
    <xf numFmtId="37" fontId="1" fillId="0" borderId="0" xfId="0" applyNumberFormat="1" applyFont="1"/>
    <xf numFmtId="43" fontId="6" fillId="0" borderId="0" xfId="10" applyNumberFormat="1" applyFont="1" applyFill="1"/>
    <xf numFmtId="37" fontId="1" fillId="0" borderId="2" xfId="0" applyNumberFormat="1" applyFont="1" applyBorder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66" fontId="26" fillId="0" borderId="0" xfId="1" applyNumberFormat="1" applyFont="1"/>
    <xf numFmtId="37" fontId="25" fillId="0" borderId="0" xfId="0" applyNumberFormat="1" applyFont="1" applyAlignment="1">
      <alignment horizontal="center"/>
    </xf>
    <xf numFmtId="37" fontId="25" fillId="0" borderId="0" xfId="10" applyNumberFormat="1" applyFont="1"/>
    <xf numFmtId="0" fontId="25" fillId="0" borderId="0" xfId="0" applyFont="1"/>
    <xf numFmtId="0" fontId="25" fillId="0" borderId="0" xfId="10" applyFont="1"/>
    <xf numFmtId="43" fontId="25" fillId="0" borderId="0" xfId="0" applyNumberFormat="1" applyFont="1" applyFill="1" applyAlignment="1">
      <alignment horizontal="center"/>
    </xf>
    <xf numFmtId="43" fontId="25" fillId="0" borderId="0" xfId="0" applyNumberFormat="1" applyFont="1" applyAlignment="1">
      <alignment horizontal="center"/>
    </xf>
    <xf numFmtId="39" fontId="6" fillId="0" borderId="2" xfId="0" applyNumberFormat="1" applyFont="1" applyFill="1" applyBorder="1"/>
    <xf numFmtId="39" fontId="12" fillId="0" borderId="2" xfId="0" applyNumberFormat="1" applyFont="1" applyFill="1" applyBorder="1"/>
    <xf numFmtId="39" fontId="12" fillId="0" borderId="0" xfId="0" applyNumberFormat="1" applyFont="1" applyFill="1"/>
    <xf numFmtId="39" fontId="13" fillId="0" borderId="2" xfId="0" applyNumberFormat="1" applyFont="1" applyFill="1" applyBorder="1"/>
    <xf numFmtId="39" fontId="13" fillId="0" borderId="0" xfId="0" applyNumberFormat="1" applyFont="1" applyFill="1"/>
    <xf numFmtId="0" fontId="24" fillId="0" borderId="0" xfId="11" applyFont="1"/>
    <xf numFmtId="169" fontId="1" fillId="0" borderId="0" xfId="3" applyNumberFormat="1" applyFont="1"/>
    <xf numFmtId="0" fontId="26" fillId="0" borderId="0" xfId="11" applyFont="1"/>
    <xf numFmtId="165" fontId="27" fillId="0" borderId="0" xfId="0" applyNumberFormat="1" applyFont="1" applyAlignment="1">
      <alignment horizontal="center"/>
    </xf>
    <xf numFmtId="167" fontId="24" fillId="0" borderId="0" xfId="0" applyNumberFormat="1" applyFont="1" applyAlignment="1">
      <alignment horizontal="center"/>
    </xf>
    <xf numFmtId="39" fontId="28" fillId="0" borderId="0" xfId="0" applyNumberFormat="1" applyFont="1"/>
    <xf numFmtId="0" fontId="28" fillId="0" borderId="0" xfId="0" applyFont="1"/>
    <xf numFmtId="0" fontId="28" fillId="0" borderId="0" xfId="0" applyFont="1" applyBorder="1"/>
    <xf numFmtId="0" fontId="1" fillId="0" borderId="0" xfId="11" applyFont="1"/>
    <xf numFmtId="164" fontId="1" fillId="0" borderId="0" xfId="11" applyNumberFormat="1" applyFont="1" applyBorder="1"/>
    <xf numFmtId="0" fontId="1" fillId="0" borderId="0" xfId="11" applyFont="1" applyBorder="1"/>
    <xf numFmtId="0" fontId="6" fillId="6" borderId="0" xfId="0" applyFont="1" applyFill="1"/>
    <xf numFmtId="0" fontId="1" fillId="0" borderId="1" xfId="11" applyFont="1" applyFill="1" applyBorder="1"/>
    <xf numFmtId="0" fontId="24" fillId="0" borderId="1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wrapText="1"/>
    </xf>
    <xf numFmtId="39" fontId="24" fillId="0" borderId="3" xfId="0" applyNumberFormat="1" applyFont="1" applyFill="1" applyBorder="1"/>
    <xf numFmtId="164" fontId="24" fillId="0" borderId="0" xfId="0" applyNumberFormat="1" applyFont="1" applyFill="1" applyBorder="1"/>
    <xf numFmtId="164" fontId="6" fillId="0" borderId="0" xfId="0" applyNumberFormat="1" applyFont="1" applyBorder="1"/>
    <xf numFmtId="43" fontId="6" fillId="0" borderId="0" xfId="0" applyNumberFormat="1" applyFont="1" applyBorder="1"/>
    <xf numFmtId="0" fontId="1" fillId="0" borderId="0" xfId="11" applyFont="1" applyBorder="1" applyAlignment="1">
      <alignment horizontal="center"/>
    </xf>
    <xf numFmtId="0" fontId="16" fillId="0" borderId="0" xfId="11" applyFont="1"/>
    <xf numFmtId="164" fontId="29" fillId="0" borderId="0" xfId="11" applyNumberFormat="1" applyFont="1" applyBorder="1"/>
    <xf numFmtId="0" fontId="29" fillId="0" borderId="0" xfId="11" applyFont="1"/>
    <xf numFmtId="164" fontId="1" fillId="5" borderId="5" xfId="11" applyNumberFormat="1" applyFont="1" applyFill="1" applyBorder="1"/>
    <xf numFmtId="164" fontId="26" fillId="0" borderId="0" xfId="11" applyNumberFormat="1" applyFont="1" applyBorder="1"/>
    <xf numFmtId="164" fontId="25" fillId="0" borderId="0" xfId="11" applyNumberFormat="1" applyFont="1" applyBorder="1"/>
    <xf numFmtId="0" fontId="24" fillId="0" borderId="0" xfId="11" applyFont="1" applyBorder="1"/>
    <xf numFmtId="0" fontId="24" fillId="0" borderId="0" xfId="11" applyFont="1" applyFill="1" applyBorder="1"/>
    <xf numFmtId="0" fontId="26" fillId="0" borderId="0" xfId="11" applyFont="1" applyBorder="1"/>
    <xf numFmtId="0" fontId="26" fillId="0" borderId="0" xfId="11" applyFont="1" applyFill="1" applyBorder="1"/>
    <xf numFmtId="10" fontId="8" fillId="0" borderId="0" xfId="11" applyNumberFormat="1" applyFont="1" applyFill="1" applyBorder="1"/>
    <xf numFmtId="0" fontId="10" fillId="0" borderId="0" xfId="0" applyFont="1" applyBorder="1" applyAlignment="1">
      <alignment horizontal="center"/>
    </xf>
    <xf numFmtId="10" fontId="4" fillId="0" borderId="0" xfId="12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37" fontId="1" fillId="0" borderId="0" xfId="10" applyNumberFormat="1" applyFont="1"/>
    <xf numFmtId="37" fontId="1" fillId="0" borderId="0" xfId="0" applyNumberFormat="1" applyFont="1" applyBorder="1"/>
    <xf numFmtId="0" fontId="1" fillId="0" borderId="0" xfId="11" applyFont="1" applyFill="1"/>
    <xf numFmtId="39" fontId="6" fillId="0" borderId="3" xfId="0" applyNumberFormat="1" applyFont="1" applyFill="1" applyBorder="1"/>
    <xf numFmtId="0" fontId="30" fillId="0" borderId="0" xfId="0" applyFont="1"/>
    <xf numFmtId="37" fontId="4" fillId="0" borderId="2" xfId="0" applyNumberFormat="1" applyFont="1" applyBorder="1"/>
    <xf numFmtId="0" fontId="8" fillId="0" borderId="0" xfId="0" applyFont="1" applyBorder="1" applyAlignment="1">
      <alignment horizontal="center"/>
    </xf>
    <xf numFmtId="167" fontId="24" fillId="0" borderId="0" xfId="0" applyNumberFormat="1" applyFont="1" applyBorder="1" applyAlignment="1">
      <alignment horizontal="center"/>
    </xf>
    <xf numFmtId="165" fontId="27" fillId="0" borderId="0" xfId="0" applyNumberFormat="1" applyFont="1" applyBorder="1" applyAlignment="1">
      <alignment horizontal="center"/>
    </xf>
    <xf numFmtId="0" fontId="7" fillId="0" borderId="0" xfId="0" applyFont="1" applyBorder="1"/>
    <xf numFmtId="39" fontId="28" fillId="0" borderId="0" xfId="0" applyNumberFormat="1" applyFont="1" applyBorder="1"/>
    <xf numFmtId="0" fontId="24" fillId="0" borderId="0" xfId="0" applyFont="1" applyBorder="1" applyAlignment="1">
      <alignment horizontal="center"/>
    </xf>
    <xf numFmtId="10" fontId="4" fillId="0" borderId="0" xfId="12" applyNumberFormat="1" applyFont="1" applyBorder="1"/>
    <xf numFmtId="0" fontId="18" fillId="5" borderId="23" xfId="0" applyFont="1" applyFill="1" applyBorder="1" applyAlignment="1">
      <alignment horizontal="center"/>
    </xf>
    <xf numFmtId="167" fontId="25" fillId="0" borderId="0" xfId="0" applyNumberFormat="1" applyFont="1" applyBorder="1" applyAlignment="1">
      <alignment horizontal="center"/>
    </xf>
    <xf numFmtId="165" fontId="31" fillId="0" borderId="0" xfId="0" applyNumberFormat="1" applyFont="1" applyBorder="1" applyAlignment="1">
      <alignment horizontal="center"/>
    </xf>
    <xf numFmtId="37" fontId="6" fillId="0" borderId="3" xfId="10" applyNumberFormat="1" applyFont="1" applyBorder="1"/>
    <xf numFmtId="0" fontId="6" fillId="5" borderId="23" xfId="10" applyFont="1" applyFill="1" applyBorder="1" applyAlignment="1">
      <alignment horizontal="right"/>
    </xf>
    <xf numFmtId="0" fontId="6" fillId="5" borderId="24" xfId="10" applyFont="1" applyFill="1" applyBorder="1" applyAlignment="1">
      <alignment horizontal="right"/>
    </xf>
    <xf numFmtId="0" fontId="6" fillId="5" borderId="25" xfId="10" applyFont="1" applyFill="1" applyBorder="1"/>
    <xf numFmtId="39" fontId="6" fillId="5" borderId="25" xfId="10" applyNumberFormat="1" applyFont="1" applyFill="1" applyBorder="1"/>
    <xf numFmtId="39" fontId="6" fillId="5" borderId="26" xfId="10" applyNumberFormat="1" applyFont="1" applyFill="1" applyBorder="1"/>
    <xf numFmtId="39" fontId="6" fillId="5" borderId="27" xfId="10" applyNumberFormat="1" applyFont="1" applyFill="1" applyBorder="1"/>
    <xf numFmtId="37" fontId="25" fillId="0" borderId="0" xfId="0" applyNumberFormat="1" applyFont="1" applyBorder="1"/>
    <xf numFmtId="39" fontId="24" fillId="0" borderId="0" xfId="0" applyNumberFormat="1" applyFont="1" applyFill="1" applyBorder="1"/>
    <xf numFmtId="0" fontId="6" fillId="5" borderId="23" xfId="0" applyFont="1" applyFill="1" applyBorder="1" applyAlignment="1">
      <alignment horizontal="right"/>
    </xf>
    <xf numFmtId="0" fontId="6" fillId="5" borderId="24" xfId="0" applyFont="1" applyFill="1" applyBorder="1" applyAlignment="1">
      <alignment horizontal="right"/>
    </xf>
    <xf numFmtId="0" fontId="6" fillId="5" borderId="25" xfId="0" applyFont="1" applyFill="1" applyBorder="1"/>
    <xf numFmtId="39" fontId="6" fillId="5" borderId="25" xfId="0" applyNumberFormat="1" applyFont="1" applyFill="1" applyBorder="1"/>
    <xf numFmtId="39" fontId="6" fillId="5" borderId="26" xfId="0" applyNumberFormat="1" applyFont="1" applyFill="1" applyBorder="1"/>
    <xf numFmtId="39" fontId="6" fillId="5" borderId="27" xfId="0" applyNumberFormat="1" applyFont="1" applyFill="1" applyBorder="1"/>
    <xf numFmtId="167" fontId="24" fillId="5" borderId="25" xfId="0" applyNumberFormat="1" applyFont="1" applyFill="1" applyBorder="1" applyAlignment="1">
      <alignment horizontal="center"/>
    </xf>
    <xf numFmtId="165" fontId="27" fillId="5" borderId="25" xfId="0" applyNumberFormat="1" applyFont="1" applyFill="1" applyBorder="1" applyAlignment="1">
      <alignment horizontal="center"/>
    </xf>
    <xf numFmtId="37" fontId="4" fillId="5" borderId="25" xfId="1" applyNumberFormat="1" applyFont="1" applyFill="1" applyBorder="1"/>
    <xf numFmtId="37" fontId="6" fillId="5" borderId="25" xfId="1" applyNumberFormat="1" applyFont="1" applyFill="1" applyBorder="1"/>
    <xf numFmtId="37" fontId="6" fillId="5" borderId="26" xfId="0" applyNumberFormat="1" applyFont="1" applyFill="1" applyBorder="1"/>
    <xf numFmtId="37" fontId="6" fillId="5" borderId="25" xfId="0" applyNumberFormat="1" applyFont="1" applyFill="1" applyBorder="1"/>
    <xf numFmtId="37" fontId="1" fillId="5" borderId="26" xfId="0" applyNumberFormat="1" applyFont="1" applyFill="1" applyBorder="1"/>
    <xf numFmtId="37" fontId="6" fillId="5" borderId="27" xfId="0" applyNumberFormat="1" applyFont="1" applyFill="1" applyBorder="1"/>
    <xf numFmtId="167" fontId="25" fillId="5" borderId="25" xfId="0" applyNumberFormat="1" applyFont="1" applyFill="1" applyBorder="1" applyAlignment="1">
      <alignment horizontal="center"/>
    </xf>
    <xf numFmtId="165" fontId="31" fillId="5" borderId="25" xfId="0" applyNumberFormat="1" applyFont="1" applyFill="1" applyBorder="1" applyAlignment="1">
      <alignment horizontal="center"/>
    </xf>
    <xf numFmtId="0" fontId="10" fillId="5" borderId="25" xfId="0" applyFont="1" applyFill="1" applyBorder="1" applyAlignment="1">
      <alignment horizontal="center"/>
    </xf>
    <xf numFmtId="0" fontId="3" fillId="5" borderId="25" xfId="0" applyFont="1" applyFill="1" applyBorder="1" applyAlignment="1">
      <alignment horizontal="center"/>
    </xf>
    <xf numFmtId="37" fontId="6" fillId="5" borderId="26" xfId="10" applyNumberFormat="1" applyFont="1" applyFill="1" applyBorder="1"/>
    <xf numFmtId="37" fontId="6" fillId="5" borderId="25" xfId="10" applyNumberFormat="1" applyFont="1" applyFill="1" applyBorder="1"/>
    <xf numFmtId="37" fontId="6" fillId="5" borderId="27" xfId="10" applyNumberFormat="1" applyFont="1" applyFill="1" applyBorder="1"/>
    <xf numFmtId="169" fontId="6" fillId="0" borderId="0" xfId="3" applyNumberFormat="1" applyFont="1"/>
    <xf numFmtId="168" fontId="33" fillId="4" borderId="8" xfId="7" applyNumberFormat="1" applyFont="1" applyFill="1" applyBorder="1" applyAlignment="1">
      <alignment horizontal="right" vertical="top"/>
    </xf>
    <xf numFmtId="0" fontId="33" fillId="0" borderId="8" xfId="0" applyFont="1" applyFill="1" applyBorder="1" applyAlignment="1">
      <alignment horizontal="left" vertical="top"/>
    </xf>
    <xf numFmtId="0" fontId="32" fillId="0" borderId="0" xfId="0" applyFont="1" applyFill="1"/>
    <xf numFmtId="0" fontId="32" fillId="0" borderId="0" xfId="0" applyFont="1" applyFill="1" applyBorder="1"/>
    <xf numFmtId="0" fontId="34" fillId="0" borderId="0" xfId="0" applyFont="1" applyFill="1"/>
    <xf numFmtId="168" fontId="33" fillId="0" borderId="8" xfId="0" applyNumberFormat="1" applyFont="1" applyFill="1" applyBorder="1" applyAlignment="1">
      <alignment horizontal="right" vertical="top"/>
    </xf>
    <xf numFmtId="0" fontId="35" fillId="0" borderId="8" xfId="0" applyFont="1" applyFill="1" applyBorder="1" applyAlignment="1">
      <alignment horizontal="left" vertical="top"/>
    </xf>
    <xf numFmtId="43" fontId="33" fillId="0" borderId="9" xfId="1" applyFont="1" applyFill="1" applyBorder="1" applyAlignment="1">
      <alignment horizontal="right" vertical="top"/>
    </xf>
    <xf numFmtId="43" fontId="33" fillId="0" borderId="10" xfId="1" applyFont="1" applyFill="1" applyBorder="1" applyAlignment="1">
      <alignment horizontal="right" vertical="top"/>
    </xf>
    <xf numFmtId="0" fontId="35" fillId="0" borderId="8" xfId="0" applyFont="1" applyFill="1" applyBorder="1" applyAlignment="1">
      <alignment horizontal="center" vertical="top" wrapText="1"/>
    </xf>
    <xf numFmtId="43" fontId="35" fillId="0" borderId="16" xfId="1" applyFont="1" applyFill="1" applyBorder="1" applyAlignment="1">
      <alignment horizontal="center" vertical="center" wrapText="1"/>
    </xf>
    <xf numFmtId="43" fontId="35" fillId="0" borderId="13" xfId="1" applyFont="1" applyFill="1" applyBorder="1" applyAlignment="1">
      <alignment horizontal="center" vertical="center" wrapText="1"/>
    </xf>
    <xf numFmtId="0" fontId="32" fillId="0" borderId="0" xfId="0" applyFont="1" applyFill="1" applyAlignment="1">
      <alignment horizontal="center"/>
    </xf>
    <xf numFmtId="43" fontId="33" fillId="0" borderId="14" xfId="1" applyFont="1" applyFill="1" applyBorder="1" applyAlignment="1">
      <alignment horizontal="right" vertical="top"/>
    </xf>
    <xf numFmtId="168" fontId="33" fillId="4" borderId="8" xfId="0" applyNumberFormat="1" applyFont="1" applyFill="1" applyBorder="1" applyAlignment="1">
      <alignment horizontal="right" vertical="top"/>
    </xf>
    <xf numFmtId="0" fontId="32" fillId="0" borderId="0" xfId="0" applyFont="1" applyFill="1" applyBorder="1" applyAlignment="1">
      <alignment horizontal="center"/>
    </xf>
    <xf numFmtId="168" fontId="33" fillId="0" borderId="0" xfId="0" applyNumberFormat="1" applyFont="1" applyFill="1" applyBorder="1" applyAlignment="1">
      <alignment horizontal="right" vertical="top"/>
    </xf>
    <xf numFmtId="10" fontId="32" fillId="0" borderId="0" xfId="0" applyNumberFormat="1" applyFont="1" applyFill="1" applyBorder="1"/>
    <xf numFmtId="43" fontId="32" fillId="0" borderId="0" xfId="1" applyFont="1" applyFill="1" applyBorder="1"/>
    <xf numFmtId="0" fontId="33" fillId="0" borderId="11" xfId="0" applyFont="1" applyFill="1" applyBorder="1" applyAlignment="1">
      <alignment horizontal="left" vertical="top"/>
    </xf>
    <xf numFmtId="0" fontId="34" fillId="0" borderId="17" xfId="0" applyFont="1" applyFill="1" applyBorder="1" applyAlignment="1">
      <alignment horizontal="left"/>
    </xf>
    <xf numFmtId="43" fontId="34" fillId="7" borderId="18" xfId="1" applyFont="1" applyFill="1" applyBorder="1" applyAlignment="1">
      <alignment horizontal="right"/>
    </xf>
    <xf numFmtId="0" fontId="32" fillId="0" borderId="0" xfId="0" applyFont="1" applyFill="1" applyAlignment="1">
      <alignment horizontal="left"/>
    </xf>
    <xf numFmtId="43" fontId="32" fillId="0" borderId="0" xfId="1" applyFont="1" applyFill="1" applyAlignment="1">
      <alignment horizontal="right"/>
    </xf>
    <xf numFmtId="43" fontId="34" fillId="7" borderId="19" xfId="1" applyFont="1" applyFill="1" applyBorder="1" applyAlignment="1">
      <alignment horizontal="right"/>
    </xf>
    <xf numFmtId="43" fontId="35" fillId="0" borderId="12" xfId="1" applyFont="1" applyFill="1" applyBorder="1" applyAlignment="1">
      <alignment horizontal="right" vertical="top"/>
    </xf>
    <xf numFmtId="169" fontId="32" fillId="0" borderId="0" xfId="3" applyNumberFormat="1" applyFont="1" applyFill="1"/>
    <xf numFmtId="0" fontId="32" fillId="0" borderId="7" xfId="0" applyFont="1" applyFill="1" applyBorder="1" applyAlignment="1">
      <alignment horizontal="left"/>
    </xf>
    <xf numFmtId="0" fontId="34" fillId="0" borderId="7" xfId="0" applyFont="1" applyFill="1" applyBorder="1"/>
    <xf numFmtId="43" fontId="34" fillId="5" borderId="15" xfId="1" applyFont="1" applyFill="1" applyBorder="1" applyAlignment="1">
      <alignment horizontal="right"/>
    </xf>
    <xf numFmtId="43" fontId="32" fillId="0" borderId="0" xfId="1" applyFont="1" applyFill="1" applyBorder="1" applyAlignment="1">
      <alignment horizontal="right"/>
    </xf>
    <xf numFmtId="169" fontId="6" fillId="0" borderId="0" xfId="3" applyNumberFormat="1" applyFont="1" applyBorder="1"/>
    <xf numFmtId="169" fontId="6" fillId="0" borderId="3" xfId="3" applyNumberFormat="1" applyFont="1" applyBorder="1"/>
    <xf numFmtId="169" fontId="6" fillId="0" borderId="1" xfId="3" applyNumberFormat="1" applyFont="1" applyBorder="1"/>
    <xf numFmtId="169" fontId="6" fillId="0" borderId="0" xfId="3" applyNumberFormat="1" applyFont="1" applyFill="1"/>
    <xf numFmtId="169" fontId="4" fillId="0" borderId="0" xfId="3" applyNumberFormat="1" applyFont="1" applyAlignment="1">
      <alignment horizontal="center"/>
    </xf>
    <xf numFmtId="169" fontId="17" fillId="0" borderId="0" xfId="3" applyNumberFormat="1" applyFont="1" applyAlignment="1">
      <alignment horizontal="center"/>
    </xf>
    <xf numFmtId="169" fontId="4" fillId="0" borderId="1" xfId="3" applyNumberFormat="1" applyFont="1" applyBorder="1" applyAlignment="1">
      <alignment horizontal="center"/>
    </xf>
    <xf numFmtId="168" fontId="33" fillId="0" borderId="8" xfId="7" applyNumberFormat="1" applyFont="1" applyFill="1" applyBorder="1" applyAlignment="1">
      <alignment horizontal="right" vertical="top"/>
    </xf>
    <xf numFmtId="37" fontId="1" fillId="0" borderId="0" xfId="1" applyNumberFormat="1" applyFont="1"/>
    <xf numFmtId="37" fontId="1" fillId="0" borderId="2" xfId="10" applyNumberFormat="1" applyFont="1" applyBorder="1"/>
    <xf numFmtId="0" fontId="6" fillId="0" borderId="1" xfId="10" applyFont="1" applyFill="1" applyBorder="1" applyAlignment="1">
      <alignment horizontal="right"/>
    </xf>
    <xf numFmtId="39" fontId="8" fillId="0" borderId="0" xfId="0" applyNumberFormat="1" applyFont="1" applyFill="1"/>
    <xf numFmtId="39" fontId="6" fillId="0" borderId="0" xfId="10" applyNumberFormat="1" applyFont="1" applyFill="1"/>
    <xf numFmtId="43" fontId="35" fillId="0" borderId="22" xfId="1" applyFont="1" applyFill="1" applyBorder="1" applyAlignment="1">
      <alignment horizontal="center" vertical="center" wrapText="1"/>
    </xf>
    <xf numFmtId="43" fontId="35" fillId="0" borderId="20" xfId="1" applyFont="1" applyFill="1" applyBorder="1" applyAlignment="1">
      <alignment horizontal="center" vertical="center"/>
    </xf>
    <xf numFmtId="43" fontId="35" fillId="0" borderId="21" xfId="1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9" fontId="1" fillId="0" borderId="0" xfId="12" applyFont="1"/>
    <xf numFmtId="0" fontId="3" fillId="0" borderId="0" xfId="11" applyFont="1"/>
    <xf numFmtId="165" fontId="31" fillId="0" borderId="0" xfId="0" applyNumberFormat="1" applyFont="1" applyAlignment="1">
      <alignment horizontal="center"/>
    </xf>
    <xf numFmtId="169" fontId="1" fillId="0" borderId="0" xfId="3" applyNumberFormat="1" applyFont="1" applyBorder="1"/>
    <xf numFmtId="0" fontId="8" fillId="0" borderId="0" xfId="0" applyFont="1" applyFill="1" applyBorder="1" applyAlignment="1">
      <alignment horizontal="center"/>
    </xf>
    <xf numFmtId="167" fontId="24" fillId="0" borderId="0" xfId="0" applyNumberFormat="1" applyFont="1" applyFill="1" applyBorder="1" applyAlignment="1">
      <alignment horizontal="center"/>
    </xf>
    <xf numFmtId="165" fontId="27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7" fontId="6" fillId="0" borderId="0" xfId="0" applyNumberFormat="1" applyFont="1" applyFill="1" applyBorder="1"/>
    <xf numFmtId="37" fontId="6" fillId="0" borderId="0" xfId="10" applyNumberFormat="1" applyFont="1" applyFill="1" applyBorder="1"/>
    <xf numFmtId="0" fontId="25" fillId="0" borderId="0" xfId="0" applyFont="1" applyFill="1" applyBorder="1" applyAlignment="1">
      <alignment horizontal="center"/>
    </xf>
    <xf numFmtId="166" fontId="26" fillId="0" borderId="0" xfId="1" applyNumberFormat="1" applyFont="1" applyFill="1" applyBorder="1"/>
    <xf numFmtId="3" fontId="6" fillId="0" borderId="0" xfId="0" quotePrefix="1" applyNumberFormat="1" applyFont="1" applyBorder="1" applyAlignment="1">
      <alignment horizontal="center"/>
    </xf>
    <xf numFmtId="37" fontId="25" fillId="0" borderId="0" xfId="10" applyNumberFormat="1" applyFont="1" applyBorder="1"/>
    <xf numFmtId="0" fontId="6" fillId="0" borderId="0" xfId="0" applyFont="1" applyFill="1" applyBorder="1" applyAlignment="1">
      <alignment horizontal="center"/>
    </xf>
    <xf numFmtId="3" fontId="6" fillId="0" borderId="0" xfId="0" quotePrefix="1" applyNumberFormat="1" applyFont="1" applyFill="1" applyBorder="1" applyAlignment="1">
      <alignment horizontal="center"/>
    </xf>
    <xf numFmtId="0" fontId="35" fillId="0" borderId="11" xfId="0" applyFont="1" applyFill="1" applyBorder="1" applyAlignment="1">
      <alignment horizontal="left" vertical="top"/>
    </xf>
    <xf numFmtId="0" fontId="35" fillId="0" borderId="29" xfId="0" applyFont="1" applyFill="1" applyBorder="1" applyAlignment="1">
      <alignment horizontal="left" vertical="top"/>
    </xf>
    <xf numFmtId="0" fontId="35" fillId="0" borderId="28" xfId="0" applyFont="1" applyFill="1" applyBorder="1" applyAlignment="1">
      <alignment horizontal="center" vertical="center" wrapText="1"/>
    </xf>
    <xf numFmtId="43" fontId="35" fillId="0" borderId="29" xfId="1" applyFont="1" applyFill="1" applyBorder="1" applyAlignment="1">
      <alignment horizontal="right" vertical="top"/>
    </xf>
    <xf numFmtId="10" fontId="0" fillId="0" borderId="0" xfId="12" applyNumberFormat="1" applyFont="1"/>
    <xf numFmtId="10" fontId="0" fillId="0" borderId="1" xfId="12" applyNumberFormat="1" applyFont="1" applyBorder="1"/>
    <xf numFmtId="10" fontId="0" fillId="0" borderId="0" xfId="0" applyNumberFormat="1"/>
    <xf numFmtId="37" fontId="28" fillId="0" borderId="0" xfId="0" applyNumberFormat="1" applyFont="1"/>
    <xf numFmtId="10" fontId="28" fillId="0" borderId="0" xfId="0" applyNumberFormat="1" applyFont="1" applyBorder="1"/>
    <xf numFmtId="169" fontId="6" fillId="0" borderId="0" xfId="0" applyNumberFormat="1" applyFont="1"/>
    <xf numFmtId="0" fontId="6" fillId="0" borderId="30" xfId="0" applyFont="1" applyBorder="1"/>
    <xf numFmtId="0" fontId="6" fillId="0" borderId="31" xfId="0" applyFont="1" applyBorder="1"/>
    <xf numFmtId="0" fontId="6" fillId="0" borderId="32" xfId="0" applyFont="1" applyBorder="1"/>
    <xf numFmtId="0" fontId="6" fillId="0" borderId="33" xfId="0" applyFont="1" applyBorder="1"/>
    <xf numFmtId="0" fontId="6" fillId="0" borderId="34" xfId="0" applyFont="1" applyBorder="1"/>
    <xf numFmtId="0" fontId="8" fillId="0" borderId="33" xfId="11" applyFont="1" applyBorder="1"/>
    <xf numFmtId="10" fontId="8" fillId="0" borderId="34" xfId="11" applyNumberFormat="1" applyFont="1" applyFill="1" applyBorder="1"/>
    <xf numFmtId="0" fontId="6" fillId="0" borderId="0" xfId="0" quotePrefix="1" applyFont="1" applyBorder="1" applyAlignment="1">
      <alignment horizontal="center"/>
    </xf>
    <xf numFmtId="0" fontId="1" fillId="0" borderId="35" xfId="11" applyFont="1" applyFill="1" applyBorder="1"/>
    <xf numFmtId="164" fontId="1" fillId="5" borderId="36" xfId="11" applyNumberFormat="1" applyFont="1" applyFill="1" applyBorder="1"/>
    <xf numFmtId="0" fontId="6" fillId="0" borderId="37" xfId="0" applyFont="1" applyBorder="1"/>
    <xf numFmtId="0" fontId="6" fillId="0" borderId="1" xfId="0" applyFont="1" applyBorder="1"/>
    <xf numFmtId="0" fontId="6" fillId="0" borderId="35" xfId="0" applyFont="1" applyBorder="1"/>
    <xf numFmtId="1" fontId="17" fillId="0" borderId="0" xfId="0" applyNumberFormat="1" applyFont="1" applyAlignment="1">
      <alignment horizontal="center"/>
    </xf>
    <xf numFmtId="9" fontId="28" fillId="0" borderId="0" xfId="12" applyFont="1" applyBorder="1"/>
    <xf numFmtId="9" fontId="6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69" fontId="6" fillId="0" borderId="1" xfId="3" applyNumberFormat="1" applyFont="1" applyFill="1" applyBorder="1"/>
    <xf numFmtId="169" fontId="6" fillId="0" borderId="0" xfId="0" applyNumberFormat="1" applyFont="1" applyBorder="1"/>
    <xf numFmtId="169" fontId="6" fillId="0" borderId="1" xfId="0" applyNumberFormat="1" applyFont="1" applyBorder="1"/>
    <xf numFmtId="37" fontId="4" fillId="5" borderId="25" xfId="0" applyNumberFormat="1" applyFont="1" applyFill="1" applyBorder="1"/>
    <xf numFmtId="37" fontId="4" fillId="0" borderId="0" xfId="0" applyNumberFormat="1" applyFont="1" applyFill="1" applyBorder="1"/>
    <xf numFmtId="37" fontId="4" fillId="0" borderId="0" xfId="0" applyNumberFormat="1" applyFont="1" applyBorder="1"/>
    <xf numFmtId="0" fontId="4" fillId="0" borderId="0" xfId="0" applyFont="1" applyFill="1"/>
    <xf numFmtId="0" fontId="4" fillId="0" borderId="0" xfId="10" applyFont="1"/>
    <xf numFmtId="37" fontId="4" fillId="0" borderId="0" xfId="10" applyNumberFormat="1" applyFont="1" applyFill="1" applyBorder="1"/>
    <xf numFmtId="37" fontId="4" fillId="0" borderId="0" xfId="10" applyNumberFormat="1" applyFont="1" applyBorder="1"/>
    <xf numFmtId="37" fontId="4" fillId="0" borderId="0" xfId="10" applyNumberFormat="1" applyFont="1"/>
    <xf numFmtId="37" fontId="4" fillId="5" borderId="25" xfId="10" applyNumberFormat="1" applyFont="1" applyFill="1" applyBorder="1"/>
    <xf numFmtId="0" fontId="1" fillId="0" borderId="0" xfId="10" applyFont="1"/>
    <xf numFmtId="37" fontId="1" fillId="5" borderId="26" xfId="10" applyNumberFormat="1" applyFont="1" applyFill="1" applyBorder="1"/>
    <xf numFmtId="37" fontId="1" fillId="2" borderId="2" xfId="10" applyNumberFormat="1" applyFont="1" applyFill="1" applyBorder="1"/>
    <xf numFmtId="37" fontId="1" fillId="0" borderId="0" xfId="10" applyNumberFormat="1" applyFont="1" applyFill="1" applyBorder="1"/>
    <xf numFmtId="37" fontId="1" fillId="0" borderId="0" xfId="10" applyNumberFormat="1" applyFont="1" applyBorder="1"/>
    <xf numFmtId="9" fontId="28" fillId="0" borderId="0" xfId="12" applyFont="1"/>
    <xf numFmtId="37" fontId="28" fillId="0" borderId="1" xfId="0" applyNumberFormat="1" applyFont="1" applyBorder="1"/>
    <xf numFmtId="0" fontId="1" fillId="0" borderId="0" xfId="0" applyFont="1" applyFill="1" applyBorder="1"/>
    <xf numFmtId="9" fontId="1" fillId="0" borderId="0" xfId="12" applyFont="1" applyBorder="1"/>
    <xf numFmtId="166" fontId="1" fillId="0" borderId="0" xfId="1" applyNumberFormat="1" applyFont="1" applyFill="1" applyBorder="1"/>
    <xf numFmtId="37" fontId="1" fillId="0" borderId="0" xfId="0" applyNumberFormat="1" applyFont="1" applyFill="1" applyBorder="1"/>
    <xf numFmtId="0" fontId="1" fillId="0" borderId="0" xfId="0" applyFont="1" applyBorder="1"/>
    <xf numFmtId="37" fontId="4" fillId="0" borderId="1" xfId="10" applyNumberFormat="1" applyFont="1" applyBorder="1"/>
    <xf numFmtId="0" fontId="36" fillId="0" borderId="33" xfId="0" applyFont="1" applyBorder="1"/>
    <xf numFmtId="0" fontId="36" fillId="0" borderId="0" xfId="0" applyFont="1" applyBorder="1"/>
    <xf numFmtId="164" fontId="36" fillId="0" borderId="34" xfId="12" applyNumberFormat="1" applyFont="1" applyBorder="1"/>
    <xf numFmtId="169" fontId="6" fillId="0" borderId="0" xfId="3" applyNumberFormat="1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1" fontId="17" fillId="0" borderId="0" xfId="0" applyNumberFormat="1" applyFont="1" applyBorder="1" applyAlignment="1">
      <alignment horizontal="center"/>
    </xf>
    <xf numFmtId="169" fontId="4" fillId="0" borderId="0" xfId="3" applyNumberFormat="1" applyFont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24" fillId="0" borderId="0" xfId="0" applyFont="1"/>
    <xf numFmtId="0" fontId="24" fillId="0" borderId="0" xfId="0" applyFont="1" applyFill="1" applyAlignment="1">
      <alignment horizontal="left"/>
    </xf>
    <xf numFmtId="169" fontId="24" fillId="0" borderId="0" xfId="3" applyNumberFormat="1" applyFont="1" applyBorder="1"/>
    <xf numFmtId="169" fontId="24" fillId="0" borderId="1" xfId="3" applyNumberFormat="1" applyFont="1" applyBorder="1"/>
    <xf numFmtId="10" fontId="1" fillId="8" borderId="5" xfId="11" applyNumberFormat="1" applyFont="1" applyFill="1" applyBorder="1"/>
  </cellXfs>
  <cellStyles count="14">
    <cellStyle name="Comma" xfId="1" builtinId="3"/>
    <cellStyle name="Comma 2" xfId="2"/>
    <cellStyle name="Currency" xfId="3" builtinId="4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Normal 5" xfId="9"/>
    <cellStyle name="Normal_1296GasLabor$" xfId="10"/>
    <cellStyle name="Normal_LaborAdj%" xfId="11"/>
    <cellStyle name="Percent" xfId="12" builtinId="5"/>
    <cellStyle name="Percent 2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2012%20WA%20GRC/Adjustments/Adjustments/PF%20-%20Labor&amp;Benefit/2012%20Info/Downloads/Total%20Labor%20for%20Pension-Medic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Labor"/>
      <sheetName val="Macro1"/>
    </sheetNames>
    <sheetDataSet>
      <sheetData sheetId="0" refreshError="1"/>
      <sheetData sheetId="1">
        <row r="69">
          <cell r="A69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55"/>
  <sheetViews>
    <sheetView tabSelected="1" view="pageBreakPreview" zoomScale="145" zoomScaleNormal="100" zoomScaleSheetLayoutView="145" workbookViewId="0">
      <selection activeCell="I46" sqref="I46"/>
    </sheetView>
  </sheetViews>
  <sheetFormatPr defaultRowHeight="12.75"/>
  <cols>
    <col min="1" max="1" width="3.5" customWidth="1"/>
    <col min="2" max="2" width="31.33203125" customWidth="1"/>
    <col min="4" max="6" width="25" style="2" customWidth="1"/>
    <col min="7" max="7" width="3.83203125" customWidth="1"/>
    <col min="8" max="8" width="25" style="2" customWidth="1"/>
    <col min="9" max="9" width="23.83203125" style="11" customWidth="1"/>
    <col min="10" max="10" width="25" style="2" customWidth="1"/>
    <col min="14" max="14" width="10.83203125" bestFit="1" customWidth="1"/>
  </cols>
  <sheetData>
    <row r="1" spans="1:10">
      <c r="A1" s="29" t="s">
        <v>24</v>
      </c>
      <c r="B1" s="30"/>
      <c r="D1" s="31"/>
      <c r="E1" s="31"/>
      <c r="F1" s="31"/>
      <c r="H1" s="31"/>
      <c r="I1" s="71"/>
      <c r="J1" s="31"/>
    </row>
    <row r="2" spans="1:10">
      <c r="A2" s="29" t="s">
        <v>114</v>
      </c>
      <c r="B2" s="30"/>
      <c r="D2" s="31"/>
      <c r="E2" s="31"/>
      <c r="F2" s="31"/>
      <c r="H2" s="31"/>
      <c r="I2" s="71"/>
      <c r="J2" s="31"/>
    </row>
    <row r="3" spans="1:10">
      <c r="A3" s="65" t="s">
        <v>213</v>
      </c>
      <c r="B3" s="30"/>
      <c r="D3" s="71"/>
      <c r="F3" s="71"/>
      <c r="H3" s="324">
        <f>1-E4</f>
        <v>0.64786999999999995</v>
      </c>
      <c r="I3" s="289"/>
      <c r="J3" s="262"/>
    </row>
    <row r="4" spans="1:10">
      <c r="A4" s="30"/>
      <c r="B4" s="30"/>
      <c r="D4" s="31"/>
      <c r="E4" s="324">
        <f>352746/1001743</f>
        <v>0.35213</v>
      </c>
      <c r="F4" s="31"/>
      <c r="H4" s="290" t="s">
        <v>231</v>
      </c>
      <c r="I4" s="320"/>
      <c r="J4" s="290" t="s">
        <v>240</v>
      </c>
    </row>
    <row r="5" spans="1:10">
      <c r="A5" s="30"/>
      <c r="B5" s="30"/>
      <c r="D5" s="51" t="s">
        <v>118</v>
      </c>
      <c r="E5" s="51" t="s">
        <v>239</v>
      </c>
      <c r="F5" s="51" t="s">
        <v>118</v>
      </c>
      <c r="H5" s="51" t="s">
        <v>118</v>
      </c>
      <c r="I5" s="321"/>
      <c r="J5" s="51" t="s">
        <v>118</v>
      </c>
    </row>
    <row r="6" spans="1:10">
      <c r="A6" s="30"/>
      <c r="B6" s="30"/>
      <c r="D6" s="66" t="s">
        <v>226</v>
      </c>
      <c r="E6" s="66" t="s">
        <v>227</v>
      </c>
      <c r="F6" s="66" t="s">
        <v>17</v>
      </c>
      <c r="H6" s="287">
        <v>2017</v>
      </c>
      <c r="I6" s="322"/>
      <c r="J6" s="287">
        <v>2018</v>
      </c>
    </row>
    <row r="7" spans="1:10">
      <c r="A7" s="32" t="s">
        <v>180</v>
      </c>
      <c r="B7" s="30"/>
      <c r="D7" s="52" t="s">
        <v>171</v>
      </c>
      <c r="E7" s="52" t="s">
        <v>171</v>
      </c>
      <c r="F7" s="52" t="s">
        <v>171</v>
      </c>
      <c r="H7" s="52" t="s">
        <v>171</v>
      </c>
      <c r="I7" s="321"/>
      <c r="J7" s="52" t="s">
        <v>171</v>
      </c>
    </row>
    <row r="8" spans="1:10">
      <c r="A8" s="2"/>
      <c r="B8" s="30"/>
      <c r="D8" s="31"/>
      <c r="E8" s="31"/>
      <c r="F8" s="31"/>
      <c r="H8" s="31"/>
      <c r="I8" s="71"/>
      <c r="J8" s="31"/>
    </row>
    <row r="9" spans="1:10">
      <c r="A9" s="2" t="s">
        <v>29</v>
      </c>
      <c r="B9" s="30"/>
      <c r="C9" s="268">
        <f>D9/$D$21</f>
        <v>0.26479999999999998</v>
      </c>
      <c r="D9" s="199">
        <f>'Washington Electric'!K50</f>
        <v>447019</v>
      </c>
      <c r="E9" s="199">
        <f>'Washington Electric'!O50*E4+3</f>
        <v>88770</v>
      </c>
      <c r="F9" s="199">
        <f>D9+E9</f>
        <v>535789</v>
      </c>
      <c r="H9" s="199">
        <f>'Washington Electric'!O50*H3-3</f>
        <v>163317</v>
      </c>
      <c r="I9" s="231"/>
      <c r="J9" s="199">
        <f>'Washington Electric'!S50</f>
        <v>199802</v>
      </c>
    </row>
    <row r="10" spans="1:10">
      <c r="A10" s="2" t="s">
        <v>3</v>
      </c>
      <c r="B10" s="30"/>
      <c r="C10" s="268">
        <f>D10/$D$21</f>
        <v>7.6499999999999999E-2</v>
      </c>
      <c r="D10" s="199">
        <f>'Washington Electric'!K66</f>
        <v>129103</v>
      </c>
      <c r="E10" s="199">
        <f>'Washington Electric'!O66*E4</f>
        <v>27084</v>
      </c>
      <c r="F10" s="199">
        <f t="shared" ref="F10:F21" si="0">D10+E10</f>
        <v>156187</v>
      </c>
      <c r="H10" s="199">
        <f>'Washington Electric'!O66*H3</f>
        <v>49830</v>
      </c>
      <c r="I10" s="231"/>
      <c r="J10" s="199">
        <f>'Washington Electric'!S66</f>
        <v>59530</v>
      </c>
    </row>
    <row r="11" spans="1:10">
      <c r="A11" s="2"/>
      <c r="B11" s="2" t="s">
        <v>181</v>
      </c>
      <c r="C11" s="268">
        <f t="shared" ref="C11:C21" si="1">F11/$F$21</f>
        <v>0.3392</v>
      </c>
      <c r="D11" s="232">
        <f>D9+D10</f>
        <v>576122</v>
      </c>
      <c r="E11" s="232">
        <f>E9+E10</f>
        <v>115854</v>
      </c>
      <c r="F11" s="232">
        <f t="shared" si="0"/>
        <v>691976</v>
      </c>
      <c r="H11" s="232">
        <f>H9+H10</f>
        <v>213147</v>
      </c>
      <c r="I11" s="231"/>
      <c r="J11" s="232">
        <f>J9+J10</f>
        <v>259332</v>
      </c>
    </row>
    <row r="12" spans="1:10">
      <c r="A12" s="2"/>
      <c r="B12" s="30"/>
      <c r="C12" s="268"/>
      <c r="D12" s="199"/>
      <c r="E12" s="199"/>
      <c r="F12" s="199">
        <f t="shared" si="0"/>
        <v>0</v>
      </c>
      <c r="H12" s="199"/>
      <c r="I12" s="231"/>
      <c r="J12" s="199"/>
    </row>
    <row r="13" spans="1:10">
      <c r="A13" s="2" t="s">
        <v>5</v>
      </c>
      <c r="B13" s="30"/>
      <c r="C13" s="268">
        <f>D13/$D$21</f>
        <v>0.25490000000000002</v>
      </c>
      <c r="D13" s="199">
        <f>'Washington Electric'!K88</f>
        <v>430328</v>
      </c>
      <c r="E13" s="199">
        <f>'Washington Electric'!O88*E4</f>
        <v>82332</v>
      </c>
      <c r="F13" s="199">
        <f t="shared" si="0"/>
        <v>512660</v>
      </c>
      <c r="H13" s="199">
        <f>'Washington Electric'!O88*H3</f>
        <v>151478</v>
      </c>
      <c r="I13" s="231"/>
      <c r="J13" s="199">
        <f>'Washington Electric'!S88</f>
        <v>188406</v>
      </c>
    </row>
    <row r="14" spans="1:10">
      <c r="A14" s="2"/>
      <c r="B14" s="30"/>
      <c r="C14" s="268"/>
      <c r="D14" s="199"/>
      <c r="E14" s="199"/>
      <c r="F14" s="199">
        <f t="shared" si="0"/>
        <v>0</v>
      </c>
      <c r="H14" s="199"/>
      <c r="I14" s="231"/>
      <c r="J14" s="199"/>
    </row>
    <row r="15" spans="1:10">
      <c r="A15" s="2" t="s">
        <v>6</v>
      </c>
      <c r="B15" s="30"/>
      <c r="C15" s="268">
        <f>D15/$D$21</f>
        <v>0.10680000000000001</v>
      </c>
      <c r="D15" s="199">
        <f>'Washington Electric'!K95</f>
        <v>180269</v>
      </c>
      <c r="E15" s="199">
        <f>'Washington Electric'!O95*E4</f>
        <v>40741</v>
      </c>
      <c r="F15" s="199">
        <f t="shared" si="0"/>
        <v>221010</v>
      </c>
      <c r="H15" s="199">
        <f>'Washington Electric'!O95*H3</f>
        <v>74957</v>
      </c>
      <c r="I15" s="231"/>
      <c r="J15" s="199">
        <f>'Washington Electric'!S95</f>
        <v>86808</v>
      </c>
    </row>
    <row r="16" spans="1:10">
      <c r="A16" s="2" t="s">
        <v>8</v>
      </c>
      <c r="B16" s="30"/>
      <c r="C16" s="268">
        <f>D16/$D$21</f>
        <v>9.7999999999999997E-3</v>
      </c>
      <c r="D16" s="199">
        <f>'Washington Electric'!K101</f>
        <v>16571</v>
      </c>
      <c r="E16" s="199">
        <f>'Washington Electric'!O101*E4</f>
        <v>3745</v>
      </c>
      <c r="F16" s="199">
        <f t="shared" si="0"/>
        <v>20316</v>
      </c>
      <c r="H16" s="199">
        <f>'Washington Electric'!O101*H3</f>
        <v>6890</v>
      </c>
      <c r="I16" s="231"/>
      <c r="J16" s="199">
        <f>'Washington Electric'!S101</f>
        <v>7980</v>
      </c>
    </row>
    <row r="17" spans="1:10">
      <c r="A17" s="2" t="s">
        <v>182</v>
      </c>
      <c r="B17" s="30"/>
      <c r="C17" s="268">
        <f>D17/$D$21</f>
        <v>0</v>
      </c>
      <c r="D17" s="199">
        <f>'Washington Electric'!O108</f>
        <v>0</v>
      </c>
      <c r="E17" s="199">
        <f>'Washington Electric'!P108</f>
        <v>0</v>
      </c>
      <c r="F17" s="199">
        <f t="shared" si="0"/>
        <v>0</v>
      </c>
      <c r="H17" s="199">
        <f>'Washington Electric'!S108</f>
        <v>0</v>
      </c>
      <c r="I17" s="231"/>
      <c r="J17" s="199">
        <f>'Washington Electric'!T108</f>
        <v>0</v>
      </c>
    </row>
    <row r="18" spans="1:10">
      <c r="A18" s="2"/>
      <c r="B18" s="30"/>
      <c r="C18" s="268"/>
      <c r="D18" s="199"/>
      <c r="E18" s="199"/>
      <c r="F18" s="199">
        <f t="shared" si="0"/>
        <v>0</v>
      </c>
      <c r="H18" s="199"/>
      <c r="I18" s="231"/>
      <c r="J18" s="199"/>
    </row>
    <row r="19" spans="1:10">
      <c r="A19" s="2" t="s">
        <v>209</v>
      </c>
      <c r="B19" s="30"/>
      <c r="C19" s="268">
        <f>D19/$D$21</f>
        <v>0.28720000000000001</v>
      </c>
      <c r="D19" s="233">
        <f>'Washington Electric'!K120</f>
        <v>484772</v>
      </c>
      <c r="E19" s="233">
        <f>'Washington Electric'!O120*E4</f>
        <v>109558</v>
      </c>
      <c r="F19" s="233">
        <f t="shared" si="0"/>
        <v>594330</v>
      </c>
      <c r="H19" s="233">
        <f>'Washington Electric'!O120*H3</f>
        <v>201570</v>
      </c>
      <c r="I19" s="231"/>
      <c r="J19" s="233">
        <f>'Washington Electric'!S120</f>
        <v>233440</v>
      </c>
    </row>
    <row r="20" spans="1:10">
      <c r="A20" s="2"/>
      <c r="B20" s="30"/>
      <c r="C20" s="268"/>
      <c r="D20" s="231"/>
      <c r="E20" s="231"/>
      <c r="F20" s="231">
        <f t="shared" si="0"/>
        <v>0</v>
      </c>
      <c r="H20" s="231"/>
      <c r="I20" s="231"/>
      <c r="J20" s="231"/>
    </row>
    <row r="21" spans="1:10">
      <c r="A21" s="2" t="s">
        <v>183</v>
      </c>
      <c r="B21" s="30"/>
      <c r="C21" s="268">
        <f t="shared" si="1"/>
        <v>1</v>
      </c>
      <c r="D21" s="231">
        <f>SUM(D11:D19)</f>
        <v>1688062</v>
      </c>
      <c r="E21" s="231">
        <f>SUM(E11:E19)</f>
        <v>352230</v>
      </c>
      <c r="F21" s="231">
        <f t="shared" si="0"/>
        <v>2040292</v>
      </c>
      <c r="H21" s="231">
        <f>SUM(H11:H19)</f>
        <v>648042</v>
      </c>
      <c r="I21" s="231"/>
      <c r="J21" s="231">
        <f>SUM(J11:J19)</f>
        <v>775966</v>
      </c>
    </row>
    <row r="22" spans="1:10" s="325" customFormat="1">
      <c r="B22" s="326" t="s">
        <v>251</v>
      </c>
      <c r="D22" s="328">
        <v>1722474</v>
      </c>
      <c r="E22" s="328">
        <v>352544</v>
      </c>
      <c r="F22" s="328">
        <v>2075018</v>
      </c>
      <c r="H22" s="327"/>
      <c r="I22" s="327"/>
      <c r="J22" s="327"/>
    </row>
    <row r="23" spans="1:10" s="325" customFormat="1">
      <c r="B23" s="326" t="s">
        <v>252</v>
      </c>
      <c r="D23" s="327">
        <f>D21-D22</f>
        <v>-34412</v>
      </c>
      <c r="E23" s="327">
        <f t="shared" ref="E23:F23" si="2">E21-E22</f>
        <v>-314</v>
      </c>
      <c r="F23" s="327">
        <f t="shared" si="2"/>
        <v>-34726</v>
      </c>
      <c r="H23" s="327"/>
      <c r="I23" s="327"/>
      <c r="J23" s="327"/>
    </row>
    <row r="24" spans="1:10">
      <c r="A24" s="2"/>
      <c r="B24" s="30"/>
      <c r="D24" s="231"/>
      <c r="E24" s="231"/>
      <c r="F24" s="231"/>
      <c r="H24" s="231" t="s">
        <v>241</v>
      </c>
      <c r="I24" s="231"/>
      <c r="J24" s="231"/>
    </row>
    <row r="25" spans="1:10">
      <c r="A25" s="30"/>
      <c r="B25" s="30" t="s">
        <v>248</v>
      </c>
      <c r="D25" s="231"/>
      <c r="E25" s="231"/>
      <c r="F25" s="231"/>
      <c r="H25" s="234">
        <f>E21</f>
        <v>352230</v>
      </c>
      <c r="I25" s="231" t="s">
        <v>244</v>
      </c>
    </row>
    <row r="26" spans="1:10">
      <c r="A26" s="30"/>
      <c r="B26" s="30" t="s">
        <v>249</v>
      </c>
      <c r="D26" s="234"/>
      <c r="E26" s="234"/>
      <c r="F26" s="234"/>
      <c r="H26" s="291">
        <f>H21</f>
        <v>648042</v>
      </c>
      <c r="I26" s="234" t="s">
        <v>245</v>
      </c>
    </row>
    <row r="27" spans="1:10">
      <c r="A27" s="30"/>
      <c r="B27" s="30" t="s">
        <v>250</v>
      </c>
      <c r="D27" s="234"/>
      <c r="E27" s="234"/>
      <c r="F27" s="234"/>
      <c r="H27" s="234">
        <f>SUM(H25:H26)</f>
        <v>1000272</v>
      </c>
      <c r="I27" s="234" t="s">
        <v>242</v>
      </c>
    </row>
    <row r="28" spans="1:10">
      <c r="A28" s="29" t="s">
        <v>24</v>
      </c>
      <c r="B28" s="30"/>
      <c r="D28" s="234"/>
      <c r="E28" s="234"/>
      <c r="F28" s="234"/>
      <c r="J28" s="234"/>
    </row>
    <row r="29" spans="1:10">
      <c r="A29" s="29" t="s">
        <v>114</v>
      </c>
      <c r="B29" s="30"/>
      <c r="D29" s="234"/>
      <c r="E29" s="234"/>
      <c r="F29" s="234"/>
      <c r="H29" s="234"/>
      <c r="I29" s="319"/>
      <c r="J29" s="234"/>
    </row>
    <row r="30" spans="1:10">
      <c r="A30" s="30" t="str">
        <f>A3</f>
        <v>12 Months Ending 09/30/15</v>
      </c>
      <c r="B30" s="30"/>
      <c r="D30" s="234"/>
      <c r="E30" s="234"/>
      <c r="F30" s="234"/>
      <c r="H30" s="324">
        <f>1-E31</f>
        <v>0.56252000000000002</v>
      </c>
      <c r="I30" s="289"/>
      <c r="J30" s="234"/>
    </row>
    <row r="31" spans="1:10">
      <c r="A31" s="30"/>
      <c r="B31" s="30"/>
      <c r="D31" s="234"/>
      <c r="E31" s="324">
        <f>129382/295745</f>
        <v>0.43747999999999998</v>
      </c>
      <c r="F31" s="234"/>
      <c r="H31" s="290" t="s">
        <v>231</v>
      </c>
      <c r="I31" s="320"/>
      <c r="J31" s="290" t="s">
        <v>240</v>
      </c>
    </row>
    <row r="32" spans="1:10">
      <c r="A32" s="30"/>
      <c r="B32" s="30"/>
      <c r="D32" s="235" t="s">
        <v>118</v>
      </c>
      <c r="E32" s="51" t="s">
        <v>239</v>
      </c>
      <c r="F32" s="235" t="s">
        <v>118</v>
      </c>
      <c r="H32" s="51" t="s">
        <v>118</v>
      </c>
      <c r="I32" s="321"/>
      <c r="J32" s="235" t="s">
        <v>118</v>
      </c>
    </row>
    <row r="33" spans="1:10">
      <c r="A33" s="30"/>
      <c r="B33" s="30"/>
      <c r="D33" s="236" t="str">
        <f>D6</f>
        <v>YE 2016</v>
      </c>
      <c r="E33" s="236" t="str">
        <f>E6</f>
        <v>YE 2017</v>
      </c>
      <c r="F33" s="236" t="str">
        <f>F6</f>
        <v>TOTAL</v>
      </c>
      <c r="H33" s="287">
        <f>H6</f>
        <v>2017</v>
      </c>
      <c r="I33" s="322"/>
      <c r="J33" s="287">
        <f>J6</f>
        <v>2018</v>
      </c>
    </row>
    <row r="34" spans="1:10">
      <c r="A34" s="32" t="s">
        <v>186</v>
      </c>
      <c r="B34" s="30"/>
      <c r="D34" s="237" t="s">
        <v>171</v>
      </c>
      <c r="E34" s="237" t="s">
        <v>171</v>
      </c>
      <c r="F34" s="237" t="s">
        <v>171</v>
      </c>
      <c r="H34" s="237" t="s">
        <v>171</v>
      </c>
      <c r="I34" s="323"/>
      <c r="J34" s="237" t="s">
        <v>171</v>
      </c>
    </row>
    <row r="35" spans="1:10">
      <c r="A35" s="2"/>
      <c r="B35" s="30"/>
      <c r="D35" s="234"/>
      <c r="E35" s="234"/>
      <c r="F35" s="234"/>
      <c r="H35" s="234"/>
      <c r="I35" s="319"/>
      <c r="J35" s="234"/>
    </row>
    <row r="36" spans="1:10">
      <c r="A36" s="14" t="s">
        <v>29</v>
      </c>
      <c r="B36" s="30"/>
      <c r="C36" s="268">
        <f>D36/$D$48</f>
        <v>3.1300000000000001E-2</v>
      </c>
      <c r="D36" s="199">
        <f>'Washington Gas'!K12</f>
        <v>15898</v>
      </c>
      <c r="E36" s="199">
        <f>'Washington Gas'!$O$12*E31</f>
        <v>4464</v>
      </c>
      <c r="F36" s="199">
        <f>D36+E36</f>
        <v>20362</v>
      </c>
      <c r="H36" s="199">
        <f>'Washington Gas'!$O$12*H30</f>
        <v>5740</v>
      </c>
      <c r="I36" s="231"/>
      <c r="J36" s="199">
        <f>'Washington Gas'!S12</f>
        <v>7656</v>
      </c>
    </row>
    <row r="37" spans="1:10">
      <c r="A37" s="14"/>
      <c r="B37" s="30"/>
      <c r="D37" s="199"/>
      <c r="E37" s="199"/>
      <c r="F37" s="199">
        <f t="shared" ref="F37:F48" si="3">D37+E37</f>
        <v>0</v>
      </c>
      <c r="H37" s="199"/>
      <c r="I37" s="231"/>
      <c r="J37" s="199"/>
    </row>
    <row r="38" spans="1:10">
      <c r="A38" s="15" t="s">
        <v>30</v>
      </c>
      <c r="B38" s="30"/>
      <c r="C38" s="268">
        <f>D38/$D$48</f>
        <v>2.9999999999999997E-4</v>
      </c>
      <c r="D38" s="199">
        <f>'Washington Gas'!K17</f>
        <v>150</v>
      </c>
      <c r="E38" s="199">
        <f>'Washington Gas'!$O$17*E31</f>
        <v>42</v>
      </c>
      <c r="F38" s="199">
        <f t="shared" si="3"/>
        <v>192</v>
      </c>
      <c r="H38" s="199">
        <f>'Washington Gas'!$O$17*H30</f>
        <v>54</v>
      </c>
      <c r="I38" s="231"/>
      <c r="J38" s="199">
        <f>'Washington Gas'!S17</f>
        <v>72</v>
      </c>
    </row>
    <row r="39" spans="1:10">
      <c r="A39" s="2"/>
      <c r="B39" s="30"/>
      <c r="D39" s="199"/>
      <c r="E39" s="199"/>
      <c r="F39" s="199">
        <f t="shared" si="3"/>
        <v>0</v>
      </c>
      <c r="H39" s="199"/>
      <c r="I39" s="231"/>
      <c r="J39" s="199"/>
    </row>
    <row r="40" spans="1:10">
      <c r="A40" s="2" t="s">
        <v>5</v>
      </c>
      <c r="B40" s="30"/>
      <c r="C40" s="268">
        <f>D40/$D$48+0.0001</f>
        <v>0.45850000000000002</v>
      </c>
      <c r="D40" s="199">
        <f>'Washington Gas'!K41</f>
        <v>232489</v>
      </c>
      <c r="E40" s="199">
        <f>'Washington Gas'!$O$41*E31</f>
        <v>54361</v>
      </c>
      <c r="F40" s="199">
        <f t="shared" si="3"/>
        <v>286850</v>
      </c>
      <c r="H40" s="199">
        <f>'Washington Gas'!$O$41*H30</f>
        <v>69898</v>
      </c>
      <c r="I40" s="231"/>
      <c r="J40" s="199">
        <f>'Washington Gas'!S41</f>
        <v>100874</v>
      </c>
    </row>
    <row r="41" spans="1:10">
      <c r="A41" s="2"/>
      <c r="B41" s="30"/>
      <c r="D41" s="199"/>
      <c r="E41" s="199"/>
      <c r="F41" s="199">
        <f t="shared" si="3"/>
        <v>0</v>
      </c>
      <c r="H41" s="199"/>
      <c r="I41" s="231"/>
      <c r="J41" s="199"/>
    </row>
    <row r="42" spans="1:10">
      <c r="A42" s="2" t="s">
        <v>184</v>
      </c>
      <c r="B42" s="30"/>
      <c r="C42" s="268">
        <f>D42/$D$48</f>
        <v>0.2311</v>
      </c>
      <c r="D42" s="199">
        <f>'Washington Gas'!K48</f>
        <v>117237</v>
      </c>
      <c r="E42" s="199">
        <f>'Washington Gas'!$O$48*E31</f>
        <v>30721</v>
      </c>
      <c r="F42" s="199">
        <f t="shared" si="3"/>
        <v>147958</v>
      </c>
      <c r="H42" s="199">
        <f>'Washington Gas'!$O$48*H30</f>
        <v>39501</v>
      </c>
      <c r="I42" s="231"/>
      <c r="J42" s="199">
        <f>'Washington Gas'!S48</f>
        <v>54226</v>
      </c>
    </row>
    <row r="43" spans="1:10">
      <c r="A43" s="2" t="s">
        <v>8</v>
      </c>
      <c r="B43" s="30"/>
      <c r="C43" s="268">
        <f>D43/$D$48</f>
        <v>1.7600000000000001E-2</v>
      </c>
      <c r="D43" s="199">
        <f>'Washington Gas'!K54</f>
        <v>8913</v>
      </c>
      <c r="E43" s="199">
        <f>'Washington Gas'!$O$54*E31</f>
        <v>2503</v>
      </c>
      <c r="F43" s="199">
        <f t="shared" si="3"/>
        <v>11416</v>
      </c>
      <c r="H43" s="199">
        <f>'Washington Gas'!$O$54*H30</f>
        <v>3218</v>
      </c>
      <c r="I43" s="231"/>
      <c r="J43" s="199">
        <f>'Washington Gas'!S54</f>
        <v>4292</v>
      </c>
    </row>
    <row r="44" spans="1:10">
      <c r="A44" s="2" t="s">
        <v>182</v>
      </c>
      <c r="B44" s="30"/>
      <c r="D44" s="199">
        <f>'Washington Gas'!K61</f>
        <v>0</v>
      </c>
      <c r="E44" s="199">
        <f>'Washington Gas'!O61</f>
        <v>0</v>
      </c>
      <c r="F44" s="199">
        <f t="shared" si="3"/>
        <v>0</v>
      </c>
      <c r="H44" s="199">
        <f>'Washington Gas'!R61</f>
        <v>0</v>
      </c>
      <c r="I44" s="231"/>
      <c r="J44" s="199">
        <f>'Washington Gas'!S61</f>
        <v>0</v>
      </c>
    </row>
    <row r="45" spans="1:10">
      <c r="A45" s="2"/>
      <c r="B45" s="30"/>
      <c r="D45" s="199"/>
      <c r="E45" s="199"/>
      <c r="F45" s="199">
        <f t="shared" si="3"/>
        <v>0</v>
      </c>
      <c r="H45" s="199"/>
      <c r="I45" s="231"/>
      <c r="J45" s="199"/>
    </row>
    <row r="46" spans="1:10">
      <c r="A46" s="2" t="s">
        <v>210</v>
      </c>
      <c r="B46" s="30"/>
      <c r="C46" s="269">
        <f>D46/$D$48</f>
        <v>0.26129999999999998</v>
      </c>
      <c r="D46" s="233">
        <f>'Washington Gas'!K73</f>
        <v>132511</v>
      </c>
      <c r="E46" s="233">
        <f>'Washington Gas'!$O$73*E31</f>
        <v>37205</v>
      </c>
      <c r="F46" s="233">
        <f t="shared" si="3"/>
        <v>169716</v>
      </c>
      <c r="H46" s="233">
        <f>'Washington Gas'!$O$73*H30</f>
        <v>47840</v>
      </c>
      <c r="I46" s="231"/>
      <c r="J46" s="233">
        <f>'Washington Gas'!S73</f>
        <v>63810</v>
      </c>
    </row>
    <row r="47" spans="1:10">
      <c r="A47" s="2"/>
      <c r="B47" s="30"/>
      <c r="D47" s="231"/>
      <c r="E47" s="231"/>
      <c r="F47" s="231">
        <f t="shared" si="3"/>
        <v>0</v>
      </c>
      <c r="H47" s="231"/>
      <c r="I47" s="231"/>
      <c r="J47" s="231"/>
    </row>
    <row r="48" spans="1:10">
      <c r="A48" s="2" t="s">
        <v>185</v>
      </c>
      <c r="B48" s="30"/>
      <c r="C48" s="270">
        <f>SUM(C36:C46)</f>
        <v>1.0001</v>
      </c>
      <c r="D48" s="199">
        <f>SUM(D36:D46)</f>
        <v>507198</v>
      </c>
      <c r="E48" s="199">
        <f>SUM(E36:E46)</f>
        <v>129296</v>
      </c>
      <c r="F48" s="199">
        <f t="shared" si="3"/>
        <v>636494</v>
      </c>
      <c r="H48" s="199">
        <f>SUM(H36:H46)</f>
        <v>166251</v>
      </c>
      <c r="I48" s="231"/>
      <c r="J48" s="199">
        <f>SUM(J36:J46)</f>
        <v>230930</v>
      </c>
    </row>
    <row r="49" spans="1:10" s="325" customFormat="1">
      <c r="B49" s="326" t="s">
        <v>251</v>
      </c>
      <c r="D49" s="328">
        <v>514568</v>
      </c>
      <c r="E49" s="328">
        <v>129382</v>
      </c>
      <c r="F49" s="328">
        <v>643950</v>
      </c>
      <c r="H49" s="327"/>
      <c r="I49" s="327"/>
      <c r="J49" s="327"/>
    </row>
    <row r="50" spans="1:10" s="325" customFormat="1" ht="13.5" thickBot="1">
      <c r="B50" s="326" t="s">
        <v>252</v>
      </c>
      <c r="D50" s="327">
        <f>D48-D49</f>
        <v>-7370</v>
      </c>
      <c r="E50" s="327">
        <f t="shared" ref="E50" si="4">E48-E49</f>
        <v>-86</v>
      </c>
      <c r="F50" s="327">
        <f t="shared" ref="F50" si="5">F48-F49</f>
        <v>-7456</v>
      </c>
      <c r="H50" s="327"/>
      <c r="I50" s="327"/>
      <c r="J50" s="327"/>
    </row>
    <row r="51" spans="1:10" ht="13.5" thickTop="1">
      <c r="A51" s="2"/>
      <c r="B51" s="30"/>
      <c r="D51" s="11"/>
      <c r="E51" s="11"/>
      <c r="F51" s="11"/>
      <c r="H51" s="33"/>
      <c r="J51" s="33"/>
    </row>
    <row r="52" spans="1:10">
      <c r="A52" s="2"/>
      <c r="B52" s="30"/>
      <c r="D52" s="11"/>
      <c r="E52" s="11"/>
      <c r="F52" s="11"/>
      <c r="H52" s="11" t="s">
        <v>241</v>
      </c>
      <c r="J52" s="11"/>
    </row>
    <row r="53" spans="1:10">
      <c r="A53" s="2"/>
      <c r="B53" s="30" t="s">
        <v>248</v>
      </c>
      <c r="D53" s="11"/>
      <c r="E53" s="11"/>
      <c r="F53" s="11"/>
      <c r="H53" s="292">
        <f>E48</f>
        <v>129296</v>
      </c>
      <c r="I53" s="292"/>
      <c r="J53" s="231" t="s">
        <v>244</v>
      </c>
    </row>
    <row r="54" spans="1:10">
      <c r="A54" s="2"/>
      <c r="B54" s="30" t="s">
        <v>249</v>
      </c>
      <c r="D54" s="11"/>
      <c r="E54" s="11"/>
      <c r="F54" s="11"/>
      <c r="H54" s="293">
        <f>H48</f>
        <v>166251</v>
      </c>
      <c r="I54" s="292"/>
      <c r="J54" s="234" t="s">
        <v>245</v>
      </c>
    </row>
    <row r="55" spans="1:10">
      <c r="B55" s="30" t="s">
        <v>250</v>
      </c>
      <c r="H55" s="273">
        <f>SUM(H53:H54)</f>
        <v>295547</v>
      </c>
      <c r="I55" s="292"/>
      <c r="J55" s="2" t="s">
        <v>243</v>
      </c>
    </row>
  </sheetData>
  <phoneticPr fontId="0" type="noConversion"/>
  <printOptions horizontalCentered="1"/>
  <pageMargins left="0.36" right="0.5" top="1" bottom="1" header="0.5" footer="0.5"/>
  <pageSetup scale="66" orientation="portrait" r:id="rId1"/>
  <headerFooter scaleWithDoc="0" alignWithMargins="0">
    <oddHeader>&amp;CBench Request 10.1 - Attachment A&amp;RAdjustment No. 3.02 (Electric) and 
3.00 (Natural Gas)</oddHeader>
    <oddFooter>&amp;RPage &amp;P of &amp;N</oddFooter>
  </headerFooter>
  <rowBreaks count="1" manualBreakCount="1">
    <brk id="2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FF00"/>
  </sheetPr>
  <dimension ref="A1:I44"/>
  <sheetViews>
    <sheetView topLeftCell="A19" zoomScaleNormal="100" workbookViewId="0">
      <selection activeCell="I46" sqref="I46"/>
    </sheetView>
  </sheetViews>
  <sheetFormatPr defaultColWidth="9.33203125" defaultRowHeight="15"/>
  <cols>
    <col min="1" max="1" width="10.5" style="222" customWidth="1"/>
    <col min="2" max="6" width="26" style="223" customWidth="1"/>
    <col min="7" max="7" width="10.6640625" style="202" customWidth="1"/>
    <col min="8" max="16384" width="9.33203125" style="202"/>
  </cols>
  <sheetData>
    <row r="1" spans="1:6">
      <c r="A1" s="202" t="s">
        <v>211</v>
      </c>
    </row>
    <row r="2" spans="1:6">
      <c r="A2" s="202"/>
    </row>
    <row r="3" spans="1:6" ht="15.75" thickBot="1">
      <c r="A3" s="206" t="s">
        <v>189</v>
      </c>
      <c r="B3" s="207" t="s">
        <v>127</v>
      </c>
      <c r="C3" s="208"/>
      <c r="D3" s="208"/>
      <c r="E3" s="208"/>
      <c r="F3" s="208"/>
    </row>
    <row r="4" spans="1:6" s="212" customFormat="1">
      <c r="A4" s="209">
        <v>2013</v>
      </c>
      <c r="B4" s="210" t="s">
        <v>124</v>
      </c>
      <c r="C4" s="211" t="s">
        <v>208</v>
      </c>
      <c r="D4" s="211" t="s">
        <v>105</v>
      </c>
      <c r="E4" s="210" t="s">
        <v>104</v>
      </c>
      <c r="F4" s="210" t="s">
        <v>0</v>
      </c>
    </row>
    <row r="5" spans="1:6">
      <c r="A5" s="201" t="s">
        <v>179</v>
      </c>
      <c r="B5" s="207"/>
      <c r="C5" s="213"/>
      <c r="D5" s="213"/>
      <c r="E5" s="207"/>
      <c r="F5" s="207"/>
    </row>
    <row r="6" spans="1:6">
      <c r="A6" s="201">
        <v>813</v>
      </c>
      <c r="B6" s="214">
        <v>566510</v>
      </c>
      <c r="C6" s="214"/>
      <c r="D6" s="214"/>
      <c r="E6" s="214"/>
      <c r="F6" s="200">
        <f>SUM(B6:E6)</f>
        <v>566510</v>
      </c>
    </row>
    <row r="7" spans="1:6">
      <c r="A7" s="201">
        <v>814</v>
      </c>
      <c r="B7" s="214"/>
      <c r="C7" s="214">
        <v>5194</v>
      </c>
      <c r="D7" s="214"/>
      <c r="E7" s="214"/>
      <c r="F7" s="200">
        <f t="shared" ref="F7:F39" si="0">SUM(B7:E7)</f>
        <v>5194</v>
      </c>
    </row>
    <row r="8" spans="1:6">
      <c r="A8" s="201">
        <v>870</v>
      </c>
      <c r="B8" s="214">
        <v>587869</v>
      </c>
      <c r="C8" s="214">
        <v>8627</v>
      </c>
      <c r="D8" s="214">
        <v>38507</v>
      </c>
      <c r="E8" s="214">
        <v>206566</v>
      </c>
      <c r="F8" s="200">
        <f t="shared" si="0"/>
        <v>841569</v>
      </c>
    </row>
    <row r="9" spans="1:6">
      <c r="A9" s="201">
        <v>874</v>
      </c>
      <c r="B9" s="214">
        <v>366691</v>
      </c>
      <c r="C9" s="214">
        <v>144350</v>
      </c>
      <c r="D9" s="214">
        <v>145676</v>
      </c>
      <c r="E9" s="214">
        <v>752043</v>
      </c>
      <c r="F9" s="200">
        <f t="shared" si="0"/>
        <v>1408760</v>
      </c>
    </row>
    <row r="10" spans="1:6">
      <c r="A10" s="201">
        <v>875</v>
      </c>
      <c r="B10" s="214"/>
      <c r="C10" s="214"/>
      <c r="D10" s="214">
        <v>13958</v>
      </c>
      <c r="E10" s="214">
        <v>34791</v>
      </c>
      <c r="F10" s="200">
        <f t="shared" si="0"/>
        <v>48749</v>
      </c>
    </row>
    <row r="11" spans="1:6">
      <c r="A11" s="201">
        <v>876</v>
      </c>
      <c r="B11" s="214"/>
      <c r="C11" s="214"/>
      <c r="D11" s="214">
        <v>425</v>
      </c>
      <c r="E11" s="214">
        <v>587</v>
      </c>
      <c r="F11" s="200">
        <f t="shared" si="0"/>
        <v>1012</v>
      </c>
    </row>
    <row r="12" spans="1:6">
      <c r="A12" s="201">
        <v>877</v>
      </c>
      <c r="B12" s="214"/>
      <c r="C12" s="214"/>
      <c r="D12" s="214">
        <v>27004</v>
      </c>
      <c r="E12" s="214">
        <v>32019</v>
      </c>
      <c r="F12" s="200">
        <f t="shared" si="0"/>
        <v>59023</v>
      </c>
    </row>
    <row r="13" spans="1:6">
      <c r="A13" s="201">
        <v>878</v>
      </c>
      <c r="B13" s="214">
        <v>36568</v>
      </c>
      <c r="C13" s="214"/>
      <c r="D13" s="214">
        <v>12157</v>
      </c>
      <c r="E13" s="214">
        <v>53225</v>
      </c>
      <c r="F13" s="200">
        <f t="shared" si="0"/>
        <v>101950</v>
      </c>
    </row>
    <row r="14" spans="1:6" ht="17.25" customHeight="1">
      <c r="A14" s="201">
        <v>879</v>
      </c>
      <c r="B14" s="214">
        <v>88744</v>
      </c>
      <c r="C14" s="214"/>
      <c r="D14" s="214">
        <v>461704</v>
      </c>
      <c r="E14" s="214">
        <v>664065</v>
      </c>
      <c r="F14" s="200">
        <f t="shared" si="0"/>
        <v>1214513</v>
      </c>
    </row>
    <row r="15" spans="1:6">
      <c r="A15" s="201">
        <v>880</v>
      </c>
      <c r="B15" s="214">
        <v>251014</v>
      </c>
      <c r="C15" s="214">
        <v>119147</v>
      </c>
      <c r="D15" s="214">
        <v>190638</v>
      </c>
      <c r="E15" s="214">
        <v>511946</v>
      </c>
      <c r="F15" s="200">
        <f t="shared" si="0"/>
        <v>1072745</v>
      </c>
    </row>
    <row r="16" spans="1:6">
      <c r="A16" s="201">
        <v>881</v>
      </c>
      <c r="B16" s="214">
        <v>4600</v>
      </c>
      <c r="C16" s="214"/>
      <c r="D16" s="214"/>
      <c r="E16" s="214">
        <v>3149</v>
      </c>
      <c r="F16" s="200">
        <f t="shared" si="0"/>
        <v>7749</v>
      </c>
    </row>
    <row r="17" spans="1:9">
      <c r="A17" s="201">
        <v>885</v>
      </c>
      <c r="B17" s="214"/>
      <c r="C17" s="214"/>
      <c r="D17" s="214">
        <v>29307</v>
      </c>
      <c r="E17" s="214">
        <v>24852</v>
      </c>
      <c r="F17" s="200">
        <f t="shared" si="0"/>
        <v>54159</v>
      </c>
    </row>
    <row r="18" spans="1:9">
      <c r="A18" s="201">
        <v>887</v>
      </c>
      <c r="B18" s="214"/>
      <c r="C18" s="214">
        <v>130</v>
      </c>
      <c r="D18" s="214">
        <v>211363</v>
      </c>
      <c r="E18" s="214">
        <v>473752</v>
      </c>
      <c r="F18" s="200">
        <f t="shared" si="0"/>
        <v>685245</v>
      </c>
    </row>
    <row r="19" spans="1:9">
      <c r="A19" s="201">
        <v>889</v>
      </c>
      <c r="B19" s="214"/>
      <c r="C19" s="214"/>
      <c r="D19" s="214">
        <v>23185</v>
      </c>
      <c r="E19" s="214">
        <v>84005</v>
      </c>
      <c r="F19" s="200">
        <f t="shared" si="0"/>
        <v>107190</v>
      </c>
    </row>
    <row r="20" spans="1:9">
      <c r="A20" s="201">
        <v>890</v>
      </c>
      <c r="B20" s="214"/>
      <c r="C20" s="214"/>
      <c r="D20" s="214">
        <v>22031</v>
      </c>
      <c r="E20" s="214">
        <v>10892</v>
      </c>
      <c r="F20" s="200">
        <f t="shared" si="0"/>
        <v>32923</v>
      </c>
    </row>
    <row r="21" spans="1:9">
      <c r="A21" s="201">
        <v>891</v>
      </c>
      <c r="B21" s="214"/>
      <c r="C21" s="214"/>
      <c r="D21" s="214">
        <v>15892</v>
      </c>
      <c r="E21" s="214">
        <v>12604</v>
      </c>
      <c r="F21" s="200">
        <f t="shared" si="0"/>
        <v>28496</v>
      </c>
    </row>
    <row r="22" spans="1:9">
      <c r="A22" s="201">
        <v>892</v>
      </c>
      <c r="B22" s="214"/>
      <c r="C22" s="214">
        <v>3609</v>
      </c>
      <c r="D22" s="214">
        <v>275334</v>
      </c>
      <c r="E22" s="214">
        <v>430399</v>
      </c>
      <c r="F22" s="200">
        <f t="shared" si="0"/>
        <v>709342</v>
      </c>
    </row>
    <row r="23" spans="1:9">
      <c r="A23" s="201">
        <v>893</v>
      </c>
      <c r="B23" s="214"/>
      <c r="C23" s="214">
        <v>334753</v>
      </c>
      <c r="D23" s="214">
        <v>215936</v>
      </c>
      <c r="E23" s="214">
        <v>440607</v>
      </c>
      <c r="F23" s="200">
        <f t="shared" si="0"/>
        <v>991296</v>
      </c>
    </row>
    <row r="24" spans="1:9">
      <c r="A24" s="201">
        <v>894</v>
      </c>
      <c r="B24" s="214"/>
      <c r="C24" s="214">
        <v>87141</v>
      </c>
      <c r="D24" s="214">
        <v>111</v>
      </c>
      <c r="E24" s="214">
        <v>-33</v>
      </c>
      <c r="F24" s="200">
        <f t="shared" si="0"/>
        <v>87219</v>
      </c>
    </row>
    <row r="25" spans="1:9">
      <c r="A25" s="201">
        <v>901</v>
      </c>
      <c r="B25" s="214">
        <v>130687</v>
      </c>
      <c r="C25" s="214"/>
      <c r="D25" s="214"/>
      <c r="E25" s="214"/>
      <c r="F25" s="200">
        <f t="shared" si="0"/>
        <v>130687</v>
      </c>
    </row>
    <row r="26" spans="1:9">
      <c r="A26" s="201">
        <v>902</v>
      </c>
      <c r="B26" s="214"/>
      <c r="C26" s="214">
        <v>67115</v>
      </c>
      <c r="D26" s="214">
        <v>88313</v>
      </c>
      <c r="E26" s="214">
        <v>860498</v>
      </c>
      <c r="F26" s="200">
        <f t="shared" si="0"/>
        <v>1015926</v>
      </c>
    </row>
    <row r="27" spans="1:9">
      <c r="A27" s="201">
        <v>903</v>
      </c>
      <c r="B27" s="214">
        <v>2222618</v>
      </c>
      <c r="C27" s="214"/>
      <c r="D27" s="214">
        <v>111393</v>
      </c>
      <c r="E27" s="214">
        <v>248648</v>
      </c>
      <c r="F27" s="200">
        <f t="shared" si="0"/>
        <v>2582659</v>
      </c>
    </row>
    <row r="28" spans="1:9">
      <c r="A28" s="201">
        <v>905</v>
      </c>
      <c r="B28" s="214">
        <v>68639</v>
      </c>
      <c r="C28" s="214"/>
      <c r="D28" s="214"/>
      <c r="E28" s="214"/>
      <c r="F28" s="200">
        <f t="shared" si="0"/>
        <v>68639</v>
      </c>
    </row>
    <row r="29" spans="1:9">
      <c r="A29" s="201">
        <v>908</v>
      </c>
      <c r="B29" s="214"/>
      <c r="C29" s="214">
        <v>76830</v>
      </c>
      <c r="D29" s="214">
        <v>31627</v>
      </c>
      <c r="E29" s="214">
        <v>87328</v>
      </c>
      <c r="F29" s="200">
        <f t="shared" si="0"/>
        <v>195785</v>
      </c>
    </row>
    <row r="30" spans="1:9">
      <c r="A30" s="201">
        <v>909</v>
      </c>
      <c r="B30" s="214"/>
      <c r="C30" s="214">
        <v>121469</v>
      </c>
      <c r="D30" s="214"/>
      <c r="E30" s="214"/>
      <c r="F30" s="200">
        <f t="shared" si="0"/>
        <v>121469</v>
      </c>
    </row>
    <row r="31" spans="1:9">
      <c r="A31" s="201">
        <v>910</v>
      </c>
      <c r="B31" s="214">
        <v>-251</v>
      </c>
      <c r="C31" s="214"/>
      <c r="D31" s="214"/>
      <c r="E31" s="214"/>
      <c r="F31" s="200">
        <f t="shared" si="0"/>
        <v>-251</v>
      </c>
      <c r="G31" s="203"/>
      <c r="H31" s="215"/>
      <c r="I31" s="203"/>
    </row>
    <row r="32" spans="1:9">
      <c r="A32" s="201">
        <v>920</v>
      </c>
      <c r="B32" s="205">
        <v>3645347</v>
      </c>
      <c r="C32" s="214">
        <v>117949</v>
      </c>
      <c r="D32" s="214">
        <v>22658</v>
      </c>
      <c r="E32" s="214">
        <v>44258</v>
      </c>
      <c r="F32" s="200">
        <f t="shared" si="0"/>
        <v>3830212</v>
      </c>
      <c r="G32" s="216"/>
      <c r="H32" s="217"/>
      <c r="I32" s="203"/>
    </row>
    <row r="33" spans="1:9">
      <c r="A33" s="201">
        <v>921</v>
      </c>
      <c r="B33" s="214">
        <v>33001</v>
      </c>
      <c r="C33" s="214">
        <v>2006</v>
      </c>
      <c r="D33" s="214"/>
      <c r="E33" s="214">
        <v>1000</v>
      </c>
      <c r="F33" s="200">
        <f t="shared" si="0"/>
        <v>36007</v>
      </c>
      <c r="G33" s="216"/>
      <c r="H33" s="218"/>
      <c r="I33" s="203"/>
    </row>
    <row r="34" spans="1:9">
      <c r="A34" s="201">
        <v>923</v>
      </c>
      <c r="B34" s="214">
        <v>4055</v>
      </c>
      <c r="C34" s="214"/>
      <c r="D34" s="214"/>
      <c r="E34" s="214"/>
      <c r="F34" s="200">
        <f t="shared" si="0"/>
        <v>4055</v>
      </c>
      <c r="G34" s="203"/>
    </row>
    <row r="35" spans="1:9">
      <c r="A35" s="201">
        <v>925</v>
      </c>
      <c r="B35" s="214"/>
      <c r="C35" s="214"/>
      <c r="D35" s="214"/>
      <c r="E35" s="214"/>
      <c r="F35" s="200">
        <f t="shared" si="0"/>
        <v>0</v>
      </c>
    </row>
    <row r="36" spans="1:9">
      <c r="A36" s="201">
        <v>925</v>
      </c>
      <c r="B36" s="214"/>
      <c r="C36" s="214"/>
      <c r="D36" s="214"/>
      <c r="E36" s="214"/>
      <c r="F36" s="200">
        <f t="shared" si="0"/>
        <v>0</v>
      </c>
    </row>
    <row r="37" spans="1:9">
      <c r="A37" s="201">
        <v>928</v>
      </c>
      <c r="B37" s="214">
        <v>105783</v>
      </c>
      <c r="C37" s="214">
        <v>1152</v>
      </c>
      <c r="D37" s="214">
        <v>42534</v>
      </c>
      <c r="E37" s="214">
        <v>145690</v>
      </c>
      <c r="F37" s="200">
        <f t="shared" si="0"/>
        <v>295159</v>
      </c>
    </row>
    <row r="38" spans="1:9" s="204" customFormat="1">
      <c r="A38" s="201">
        <v>930</v>
      </c>
      <c r="B38" s="214">
        <v>54829</v>
      </c>
      <c r="C38" s="214">
        <v>22091</v>
      </c>
      <c r="D38" s="214">
        <v>2733</v>
      </c>
      <c r="E38" s="214">
        <v>1492</v>
      </c>
      <c r="F38" s="200">
        <f t="shared" si="0"/>
        <v>81145</v>
      </c>
    </row>
    <row r="39" spans="1:9">
      <c r="A39" s="201">
        <v>935</v>
      </c>
      <c r="B39" s="214">
        <v>188449</v>
      </c>
      <c r="C39" s="214">
        <f>28+98650</f>
        <v>98678</v>
      </c>
      <c r="D39" s="214">
        <v>19342</v>
      </c>
      <c r="E39" s="214">
        <v>34191</v>
      </c>
      <c r="F39" s="200">
        <f t="shared" si="0"/>
        <v>340660</v>
      </c>
    </row>
    <row r="40" spans="1:9" ht="15.75" thickBot="1">
      <c r="A40" s="219"/>
      <c r="B40" s="214"/>
      <c r="C40" s="214"/>
      <c r="D40" s="214"/>
      <c r="E40" s="214"/>
      <c r="F40" s="200"/>
    </row>
    <row r="41" spans="1:9" ht="16.5" thickTop="1" thickBot="1">
      <c r="A41" s="220" t="s">
        <v>125</v>
      </c>
      <c r="B41" s="221">
        <f>SUM(B6:B40)</f>
        <v>8355153</v>
      </c>
      <c r="C41" s="221">
        <f t="shared" ref="C41:F41" si="1">SUM(C6:C40)</f>
        <v>1210241</v>
      </c>
      <c r="D41" s="221">
        <f t="shared" si="1"/>
        <v>2001828</v>
      </c>
      <c r="E41" s="221">
        <f t="shared" si="1"/>
        <v>5158574</v>
      </c>
      <c r="F41" s="221">
        <f t="shared" si="1"/>
        <v>16725796</v>
      </c>
    </row>
    <row r="42" spans="1:9" ht="16.5" thickTop="1" thickBot="1"/>
    <row r="43" spans="1:9" ht="16.5" thickTop="1" thickBot="1">
      <c r="C43" s="224">
        <f>B41+C41</f>
        <v>9565394</v>
      </c>
    </row>
    <row r="44" spans="1:9" ht="15.75" thickTop="1"/>
  </sheetData>
  <phoneticPr fontId="0" type="noConversion"/>
  <pageMargins left="0.61" right="0.75" top="1" bottom="1" header="0.5" footer="0.5"/>
  <pageSetup scale="60" orientation="landscape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zoomScale="130" zoomScaleNormal="130" workbookViewId="0">
      <selection activeCell="I46" sqref="I46"/>
    </sheetView>
  </sheetViews>
  <sheetFormatPr defaultColWidth="13.33203125" defaultRowHeight="12.75"/>
  <cols>
    <col min="1" max="2" width="13.33203125" style="125" customWidth="1"/>
    <col min="3" max="3" width="23.1640625" style="125" customWidth="1"/>
    <col min="4" max="16384" width="13.33203125" style="125"/>
  </cols>
  <sheetData>
    <row r="1" spans="1:7">
      <c r="A1" s="8" t="s">
        <v>24</v>
      </c>
    </row>
    <row r="2" spans="1:7">
      <c r="A2" s="125" t="s">
        <v>23</v>
      </c>
    </row>
    <row r="3" spans="1:7">
      <c r="A3" s="68" t="s">
        <v>223</v>
      </c>
    </row>
    <row r="4" spans="1:7">
      <c r="A4" s="68"/>
    </row>
    <row r="6" spans="1:7">
      <c r="A6" s="23" t="s">
        <v>28</v>
      </c>
      <c r="D6" s="137"/>
      <c r="E6" s="137"/>
    </row>
    <row r="7" spans="1:7">
      <c r="A7" s="8"/>
    </row>
    <row r="8" spans="1:7">
      <c r="A8" s="75" t="s">
        <v>214</v>
      </c>
      <c r="D8" s="73">
        <v>0.03</v>
      </c>
    </row>
    <row r="9" spans="1:7">
      <c r="A9" s="75" t="s">
        <v>215</v>
      </c>
      <c r="B9" s="155"/>
      <c r="C9" s="155"/>
    </row>
    <row r="10" spans="1:7">
      <c r="A10" s="155"/>
      <c r="B10" s="155"/>
      <c r="C10" s="74" t="str">
        <f xml:space="preserve"> "177/365 ="</f>
        <v>177/365 =</v>
      </c>
      <c r="D10" s="129">
        <f>ROUND(177/365,3)</f>
        <v>0.48499999999999999</v>
      </c>
      <c r="G10" s="249"/>
    </row>
    <row r="11" spans="1:7" ht="13.5" thickBot="1">
      <c r="A11" s="75" t="s">
        <v>201</v>
      </c>
      <c r="B11" s="155"/>
      <c r="C11" s="155"/>
      <c r="D11" s="141">
        <f>ROUND(D8*D10,5)</f>
        <v>1.455E-2</v>
      </c>
    </row>
    <row r="12" spans="1:7" ht="13.5" thickTop="1">
      <c r="D12" s="127"/>
    </row>
    <row r="13" spans="1:7" ht="13.5" thickBot="1">
      <c r="A13" s="68" t="s">
        <v>216</v>
      </c>
      <c r="B13" s="138"/>
      <c r="D13" s="329">
        <v>3.1E-2</v>
      </c>
      <c r="E13" s="125" t="s">
        <v>253</v>
      </c>
      <c r="F13" s="248"/>
    </row>
    <row r="14" spans="1:7" ht="14.25" customHeight="1" thickTop="1">
      <c r="D14" s="87"/>
    </row>
    <row r="15" spans="1:7">
      <c r="A15" s="68" t="s">
        <v>217</v>
      </c>
      <c r="D15" s="73">
        <v>0.03</v>
      </c>
    </row>
    <row r="16" spans="1:7">
      <c r="A16" s="68"/>
      <c r="C16" s="74" t="str">
        <f>"279/365="</f>
        <v>279/365=</v>
      </c>
      <c r="D16" s="129">
        <f>ROUND(279/365,3)</f>
        <v>0.76400000000000001</v>
      </c>
    </row>
    <row r="17" spans="1:5" ht="13.5" thickBot="1">
      <c r="A17" s="68" t="s">
        <v>218</v>
      </c>
      <c r="D17" s="141">
        <f>D15*D16</f>
        <v>2.2919999999999999E-2</v>
      </c>
      <c r="E17" s="8"/>
    </row>
    <row r="18" spans="1:5" ht="13.5" thickTop="1">
      <c r="A18" s="68"/>
      <c r="D18" s="126"/>
      <c r="E18" s="8"/>
    </row>
    <row r="19" spans="1:5">
      <c r="A19" s="144"/>
      <c r="B19" s="145"/>
      <c r="C19" s="144"/>
      <c r="D19" s="143"/>
      <c r="E19" s="140"/>
    </row>
    <row r="20" spans="1:5">
      <c r="E20" s="127"/>
    </row>
    <row r="21" spans="1:5">
      <c r="A21" s="23" t="s">
        <v>170</v>
      </c>
      <c r="E21" s="127"/>
    </row>
    <row r="22" spans="1:5">
      <c r="A22" s="8"/>
      <c r="E22" s="127"/>
    </row>
    <row r="23" spans="1:5">
      <c r="A23" s="75" t="s">
        <v>219</v>
      </c>
      <c r="D23" s="73">
        <v>0.03</v>
      </c>
      <c r="E23" s="62"/>
    </row>
    <row r="24" spans="1:5" ht="14.25" customHeight="1">
      <c r="A24" s="75" t="s">
        <v>220</v>
      </c>
      <c r="B24" s="155"/>
      <c r="C24" s="155"/>
      <c r="E24" s="62"/>
    </row>
    <row r="25" spans="1:5">
      <c r="A25" s="155"/>
      <c r="B25" s="155"/>
      <c r="C25" s="74" t="str">
        <f>"151/365="</f>
        <v>151/365=</v>
      </c>
      <c r="D25" s="129">
        <f>ROUND(151/365,3)</f>
        <v>0.41399999999999998</v>
      </c>
      <c r="E25" s="27"/>
    </row>
    <row r="26" spans="1:5" ht="14.25" thickBot="1">
      <c r="A26" s="68" t="s">
        <v>221</v>
      </c>
      <c r="D26" s="141">
        <f>ROUND(D25*D23,6)</f>
        <v>1.242E-2</v>
      </c>
      <c r="E26" s="28"/>
    </row>
    <row r="27" spans="1:5" ht="13.5" thickTop="1">
      <c r="D27" s="127"/>
      <c r="E27" s="27"/>
    </row>
    <row r="28" spans="1:5" ht="13.5" thickBot="1">
      <c r="A28" s="68" t="s">
        <v>216</v>
      </c>
      <c r="D28" s="329">
        <v>2.8000000000000001E-2</v>
      </c>
      <c r="E28" s="125" t="s">
        <v>253</v>
      </c>
    </row>
    <row r="29" spans="1:5" ht="13.5" thickTop="1">
      <c r="D29" s="53"/>
    </row>
    <row r="30" spans="1:5">
      <c r="A30" s="68" t="s">
        <v>222</v>
      </c>
      <c r="D30" s="148">
        <v>0.03</v>
      </c>
    </row>
    <row r="31" spans="1:5">
      <c r="A31" s="68"/>
      <c r="C31" s="74" t="str">
        <f>"306/365="</f>
        <v>306/365=</v>
      </c>
      <c r="D31" s="129">
        <f>ROUND(306/365,3)</f>
        <v>0.83799999999999997</v>
      </c>
    </row>
    <row r="32" spans="1:5" ht="13.5" thickBot="1">
      <c r="A32" s="68" t="s">
        <v>201</v>
      </c>
      <c r="D32" s="141">
        <f>D30*D31</f>
        <v>2.5139999999999999E-2</v>
      </c>
      <c r="E32" s="8"/>
    </row>
    <row r="33" spans="1:5" ht="13.5" thickTop="1">
      <c r="A33" s="119"/>
      <c r="B33" s="119"/>
      <c r="C33" s="119"/>
      <c r="D33" s="142"/>
      <c r="E33" s="140"/>
    </row>
    <row r="34" spans="1:5">
      <c r="A34" s="146"/>
      <c r="B34" s="147"/>
      <c r="C34" s="146"/>
      <c r="D34" s="139"/>
      <c r="E34" s="140"/>
    </row>
    <row r="36" spans="1:5" ht="13.7" customHeight="1"/>
    <row r="38" spans="1:5">
      <c r="A38" s="8"/>
      <c r="B38" s="117"/>
    </row>
  </sheetData>
  <pageMargins left="0.61" right="0.75" top="1" bottom="1" header="0.5" footer="0.5"/>
  <pageSetup scale="90" orientation="portrait" r:id="rId1"/>
  <headerFooter scaleWithDoc="0" alignWithMargins="0">
    <oddHeader>&amp;CBench Request 10.1 - Attachment A&amp;RAdjustment No. 3.02 (Electric) and 
3.00 (Natural Gas)</oddHead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142"/>
  <sheetViews>
    <sheetView tabSelected="1" zoomScaleNormal="100" workbookViewId="0">
      <pane ySplit="8" topLeftCell="A9" activePane="bottomLeft" state="frozen"/>
      <selection activeCell="I46" sqref="I46"/>
      <selection pane="bottomLeft" activeCell="I46" sqref="I46"/>
    </sheetView>
  </sheetViews>
  <sheetFormatPr defaultColWidth="9.33203125" defaultRowHeight="12.75"/>
  <cols>
    <col min="1" max="1" width="20.83203125" style="2" customWidth="1"/>
    <col min="2" max="2" width="14.33203125" style="11" customWidth="1"/>
    <col min="3" max="3" width="13.1640625" style="2" customWidth="1"/>
    <col min="4" max="4" width="2.33203125" style="11" customWidth="1"/>
    <col min="5" max="5" width="13.1640625" style="2" customWidth="1"/>
    <col min="6" max="6" width="14.1640625" style="2" customWidth="1"/>
    <col min="7" max="7" width="13.83203125" style="2" customWidth="1"/>
    <col min="8" max="8" width="3.5" style="2" customWidth="1"/>
    <col min="9" max="9" width="13.83203125" style="2" customWidth="1"/>
    <col min="10" max="10" width="13.1640625" style="2" customWidth="1"/>
    <col min="11" max="11" width="2.83203125" style="24" customWidth="1"/>
    <col min="12" max="12" width="13.83203125" style="2" customWidth="1"/>
    <col min="13" max="13" width="1.83203125" style="11" customWidth="1"/>
    <col min="14" max="14" width="4.5" style="2" customWidth="1"/>
    <col min="15" max="16" width="9.33203125" style="2"/>
    <col min="17" max="17" width="16.6640625" style="2" customWidth="1"/>
    <col min="18" max="16384" width="9.33203125" style="2"/>
  </cols>
  <sheetData>
    <row r="1" spans="1:16">
      <c r="A1" s="34" t="s">
        <v>24</v>
      </c>
    </row>
    <row r="2" spans="1:16">
      <c r="A2" s="1" t="s">
        <v>115</v>
      </c>
    </row>
    <row r="3" spans="1:16">
      <c r="A3" s="1" t="s">
        <v>101</v>
      </c>
    </row>
    <row r="4" spans="1:16">
      <c r="A4" s="1" t="str">
        <f>'Washington Electric'!C3</f>
        <v>12 Months Ending 09/30/15</v>
      </c>
    </row>
    <row r="6" spans="1:16" ht="13.5" thickBot="1"/>
    <row r="7" spans="1:16">
      <c r="A7" s="9"/>
      <c r="B7" s="12"/>
      <c r="F7" s="9" t="s">
        <v>15</v>
      </c>
      <c r="G7" s="178" t="s">
        <v>0</v>
      </c>
      <c r="H7" s="12"/>
      <c r="I7" s="9" t="s">
        <v>14</v>
      </c>
      <c r="J7" s="9" t="s">
        <v>15</v>
      </c>
      <c r="K7" s="38"/>
      <c r="L7" s="178" t="s">
        <v>0</v>
      </c>
      <c r="M7" s="12"/>
      <c r="N7" s="9"/>
      <c r="O7" s="9"/>
      <c r="P7" s="9"/>
    </row>
    <row r="8" spans="1:16" ht="25.5">
      <c r="A8" s="9"/>
      <c r="B8" s="132" t="s">
        <v>0</v>
      </c>
      <c r="C8" s="131" t="s">
        <v>190</v>
      </c>
      <c r="D8" s="131"/>
      <c r="E8" s="131" t="s">
        <v>191</v>
      </c>
      <c r="F8" s="10" t="s">
        <v>102</v>
      </c>
      <c r="G8" s="179" t="s">
        <v>102</v>
      </c>
      <c r="H8" s="10"/>
      <c r="I8" s="10" t="s">
        <v>103</v>
      </c>
      <c r="J8" s="10" t="s">
        <v>103</v>
      </c>
      <c r="K8" s="39"/>
      <c r="L8" s="179" t="s">
        <v>103</v>
      </c>
      <c r="M8" s="12"/>
      <c r="N8" s="9"/>
      <c r="O8" s="9"/>
      <c r="P8" s="9"/>
    </row>
    <row r="9" spans="1:16">
      <c r="A9" s="2" t="s">
        <v>32</v>
      </c>
      <c r="C9" s="11"/>
      <c r="E9" s="11"/>
      <c r="G9" s="180"/>
      <c r="H9" s="11"/>
      <c r="L9" s="180"/>
    </row>
    <row r="10" spans="1:16">
      <c r="A10" s="2" t="s">
        <v>33</v>
      </c>
      <c r="C10" s="11"/>
      <c r="E10" s="11"/>
      <c r="G10" s="180"/>
      <c r="H10" s="11"/>
      <c r="L10" s="180"/>
    </row>
    <row r="11" spans="1:16">
      <c r="A11" s="1">
        <v>500</v>
      </c>
      <c r="B11" s="7">
        <f>'Total Electric Download'!G6</f>
        <v>124390</v>
      </c>
      <c r="C11" s="7">
        <f>SUMIF('Total Electric Download'!A:A,A11,'Total Electric Download'!D:D)</f>
        <v>123268</v>
      </c>
      <c r="D11" s="7"/>
      <c r="E11" s="7">
        <f>SUMIF('Total Electric Download'!A:A,A11,'Total Electric Download'!F:F)</f>
        <v>1122</v>
      </c>
      <c r="F11" s="6">
        <f>C11*$C$128</f>
        <v>79766.720000000001</v>
      </c>
      <c r="G11" s="181">
        <f t="shared" ref="G11:G21" si="0">E11+F11</f>
        <v>80888.72</v>
      </c>
      <c r="H11" s="7"/>
      <c r="I11" s="6">
        <f>SUMIF('Total Electric Download'!A:A,A11,'Total Electric Download'!E:E)</f>
        <v>0</v>
      </c>
      <c r="J11" s="6">
        <f>$C11*$E$128</f>
        <v>43501.279999999999</v>
      </c>
      <c r="K11" s="81"/>
      <c r="L11" s="181">
        <f>I11+J11+K11</f>
        <v>43501.279999999999</v>
      </c>
      <c r="M11" s="7"/>
    </row>
    <row r="12" spans="1:16">
      <c r="A12" s="1">
        <v>501</v>
      </c>
      <c r="B12" s="7">
        <f>'Total Electric Download'!G7</f>
        <v>794003</v>
      </c>
      <c r="C12" s="7">
        <f>SUMIF('Total Electric Download'!A:A,A12,'Total Electric Download'!D:D)</f>
        <v>794003</v>
      </c>
      <c r="D12" s="7"/>
      <c r="E12" s="7">
        <f>SUMIF('Total Electric Download'!A:A,A12,'Total Electric Download'!F:F)</f>
        <v>0</v>
      </c>
      <c r="F12" s="6">
        <f t="shared" ref="F12:F21" si="1">C12*$C$128</f>
        <v>513799.34</v>
      </c>
      <c r="G12" s="181">
        <f t="shared" si="0"/>
        <v>513799.34</v>
      </c>
      <c r="H12" s="7"/>
      <c r="I12" s="6">
        <f>SUMIF('Total Electric Download'!A:A,A12,'Total Electric Download'!E:E)</f>
        <v>0</v>
      </c>
      <c r="J12" s="6">
        <f t="shared" ref="J12:J21" si="2">C12*$E$128</f>
        <v>280203.65999999997</v>
      </c>
      <c r="K12" s="81"/>
      <c r="L12" s="181">
        <f t="shared" ref="L12:L21" si="3">I12+J12+K12</f>
        <v>280203.65999999997</v>
      </c>
      <c r="M12" s="7"/>
    </row>
    <row r="13" spans="1:16">
      <c r="A13" s="1">
        <v>502</v>
      </c>
      <c r="B13" s="7">
        <f>'Total Electric Download'!G8</f>
        <v>480455</v>
      </c>
      <c r="C13" s="7">
        <f>SUMIF('Total Electric Download'!A:A,A13,'Total Electric Download'!D:D)</f>
        <v>480455</v>
      </c>
      <c r="D13" s="7"/>
      <c r="E13" s="7">
        <f>SUMIF('Total Electric Download'!A:A,A13,'Total Electric Download'!F:F)</f>
        <v>0</v>
      </c>
      <c r="F13" s="6">
        <f t="shared" si="1"/>
        <v>310902.43</v>
      </c>
      <c r="G13" s="181">
        <f t="shared" si="0"/>
        <v>310902.43</v>
      </c>
      <c r="H13" s="7"/>
      <c r="I13" s="6">
        <f>SUMIF('Total Electric Download'!A:A,A13,'Total Electric Download'!E:E)</f>
        <v>0</v>
      </c>
      <c r="J13" s="6">
        <f t="shared" si="2"/>
        <v>169552.57</v>
      </c>
      <c r="K13" s="81"/>
      <c r="L13" s="181">
        <f t="shared" si="3"/>
        <v>169552.57</v>
      </c>
      <c r="M13" s="7"/>
    </row>
    <row r="14" spans="1:16">
      <c r="A14" s="1">
        <v>505</v>
      </c>
      <c r="B14" s="7">
        <f>'Total Electric Download'!G9</f>
        <v>465140</v>
      </c>
      <c r="C14" s="7">
        <f>SUMIF('Total Electric Download'!A:A,A14,'Total Electric Download'!D:D)</f>
        <v>465140</v>
      </c>
      <c r="D14" s="7"/>
      <c r="E14" s="7">
        <f>SUMIF('Total Electric Download'!A:A,A14,'Total Electric Download'!F:F)</f>
        <v>0</v>
      </c>
      <c r="F14" s="6">
        <f t="shared" si="1"/>
        <v>300992.09000000003</v>
      </c>
      <c r="G14" s="181">
        <f t="shared" si="0"/>
        <v>300992.09000000003</v>
      </c>
      <c r="H14" s="7"/>
      <c r="I14" s="6">
        <f>SUMIF('Total Electric Download'!A:A,A14,'Total Electric Download'!E:E)</f>
        <v>0</v>
      </c>
      <c r="J14" s="6">
        <f t="shared" si="2"/>
        <v>164147.91</v>
      </c>
      <c r="K14" s="81"/>
      <c r="L14" s="181">
        <f t="shared" si="3"/>
        <v>164147.91</v>
      </c>
      <c r="M14" s="7"/>
    </row>
    <row r="15" spans="1:16">
      <c r="A15" s="1">
        <v>506</v>
      </c>
      <c r="B15" s="7">
        <f>'Total Electric Download'!G10</f>
        <v>188409</v>
      </c>
      <c r="C15" s="7">
        <f>SUMIF('Total Electric Download'!A:A,A15,'Total Electric Download'!D:D)</f>
        <v>188409</v>
      </c>
      <c r="D15" s="7"/>
      <c r="E15" s="7">
        <f>SUMIF('Total Electric Download'!A:A,A15,'Total Electric Download'!F:F)</f>
        <v>0</v>
      </c>
      <c r="F15" s="6">
        <f t="shared" si="1"/>
        <v>121919.46</v>
      </c>
      <c r="G15" s="181">
        <f t="shared" si="0"/>
        <v>121919.46</v>
      </c>
      <c r="H15" s="7"/>
      <c r="I15" s="6">
        <f>SUMIF('Total Electric Download'!A:A,A15,'Total Electric Download'!E:E)</f>
        <v>0</v>
      </c>
      <c r="J15" s="6">
        <f t="shared" si="2"/>
        <v>66489.539999999994</v>
      </c>
      <c r="K15" s="81"/>
      <c r="L15" s="181">
        <f t="shared" si="3"/>
        <v>66489.539999999994</v>
      </c>
      <c r="M15" s="7"/>
    </row>
    <row r="16" spans="1:16">
      <c r="A16" s="1">
        <v>507</v>
      </c>
      <c r="B16" s="7">
        <f>'Total Electric Download'!G11</f>
        <v>-18016</v>
      </c>
      <c r="C16" s="7">
        <f>SUMIF('Total Electric Download'!A:A,A16,'Total Electric Download'!D:D)</f>
        <v>-18016</v>
      </c>
      <c r="D16" s="7"/>
      <c r="E16" s="7">
        <v>0</v>
      </c>
      <c r="F16" s="6">
        <f t="shared" si="1"/>
        <v>-11658.15</v>
      </c>
      <c r="G16" s="181">
        <f t="shared" si="0"/>
        <v>-11658.15</v>
      </c>
      <c r="H16" s="7"/>
      <c r="I16" s="6">
        <v>0</v>
      </c>
      <c r="J16" s="6">
        <f t="shared" si="2"/>
        <v>-6357.85</v>
      </c>
      <c r="K16" s="81"/>
      <c r="L16" s="181">
        <f t="shared" si="3"/>
        <v>-6357.85</v>
      </c>
      <c r="M16" s="7"/>
    </row>
    <row r="17" spans="1:13">
      <c r="A17" s="1">
        <v>510</v>
      </c>
      <c r="B17" s="7">
        <f>'Total Electric Download'!G12</f>
        <v>124860</v>
      </c>
      <c r="C17" s="7">
        <f>SUMIF('Total Electric Download'!A:A,A17,'Total Electric Download'!D:D)</f>
        <v>124860</v>
      </c>
      <c r="D17" s="7"/>
      <c r="E17" s="7">
        <f>SUMIF('Total Electric Download'!A:A,A17,'Total Electric Download'!F:F)</f>
        <v>0</v>
      </c>
      <c r="F17" s="6">
        <f t="shared" si="1"/>
        <v>80796.91</v>
      </c>
      <c r="G17" s="181">
        <f t="shared" si="0"/>
        <v>80796.91</v>
      </c>
      <c r="H17" s="7"/>
      <c r="I17" s="6">
        <f>SUMIF('Total Electric Download'!A:A,A17,'Total Electric Download'!E:E)</f>
        <v>0</v>
      </c>
      <c r="J17" s="6">
        <f t="shared" si="2"/>
        <v>44063.09</v>
      </c>
      <c r="K17" s="81"/>
      <c r="L17" s="181">
        <f t="shared" si="3"/>
        <v>44063.09</v>
      </c>
      <c r="M17" s="7"/>
    </row>
    <row r="18" spans="1:13">
      <c r="A18" s="1">
        <v>511</v>
      </c>
      <c r="B18" s="7">
        <f>'Total Electric Download'!G13</f>
        <v>4763</v>
      </c>
      <c r="C18" s="7">
        <f>SUMIF('Total Electric Download'!A:A,A18,'Total Electric Download'!D:D)</f>
        <v>4763</v>
      </c>
      <c r="D18" s="7"/>
      <c r="E18" s="7">
        <f>SUMIF('Total Electric Download'!A:A,A18,'Total Electric Download'!F:F)</f>
        <v>0</v>
      </c>
      <c r="F18" s="6">
        <f t="shared" si="1"/>
        <v>3082.14</v>
      </c>
      <c r="G18" s="181">
        <f t="shared" si="0"/>
        <v>3082.14</v>
      </c>
      <c r="H18" s="7"/>
      <c r="I18" s="6">
        <f>SUMIF('Total Electric Download'!A:A,A18,'Total Electric Download'!E:E)</f>
        <v>0</v>
      </c>
      <c r="J18" s="6">
        <f t="shared" si="2"/>
        <v>1680.86</v>
      </c>
      <c r="K18" s="81"/>
      <c r="L18" s="181">
        <f t="shared" si="3"/>
        <v>1680.86</v>
      </c>
      <c r="M18" s="7"/>
    </row>
    <row r="19" spans="1:13">
      <c r="A19" s="1">
        <v>512</v>
      </c>
      <c r="B19" s="7">
        <f>'Total Electric Download'!G14</f>
        <v>567656</v>
      </c>
      <c r="C19" s="7">
        <f>SUMIF('Total Electric Download'!A:A,A19,'Total Electric Download'!D:D)</f>
        <v>567656</v>
      </c>
      <c r="D19" s="7"/>
      <c r="E19" s="7">
        <f>SUMIF('Total Electric Download'!A:A,A19,'Total Electric Download'!F:F)</f>
        <v>0</v>
      </c>
      <c r="F19" s="6">
        <f t="shared" si="1"/>
        <v>367330.2</v>
      </c>
      <c r="G19" s="181">
        <f t="shared" si="0"/>
        <v>367330.2</v>
      </c>
      <c r="H19" s="7"/>
      <c r="I19" s="6">
        <f>SUMIF('Total Electric Download'!A:A,A19,'Total Electric Download'!E:E)</f>
        <v>0</v>
      </c>
      <c r="J19" s="6">
        <f t="shared" si="2"/>
        <v>200325.8</v>
      </c>
      <c r="K19" s="81"/>
      <c r="L19" s="181">
        <f t="shared" si="3"/>
        <v>200325.8</v>
      </c>
      <c r="M19" s="7"/>
    </row>
    <row r="20" spans="1:13">
      <c r="A20" s="1">
        <v>513</v>
      </c>
      <c r="B20" s="7">
        <f>'Total Electric Download'!G15</f>
        <v>57804</v>
      </c>
      <c r="C20" s="7">
        <f>SUMIF('Total Electric Download'!A:A,A20,'Total Electric Download'!D:D)</f>
        <v>57804</v>
      </c>
      <c r="D20" s="7"/>
      <c r="E20" s="7">
        <f>SUMIF('Total Electric Download'!A:A,A20,'Total Electric Download'!F:F)</f>
        <v>0</v>
      </c>
      <c r="F20" s="6">
        <f t="shared" si="1"/>
        <v>37404.97</v>
      </c>
      <c r="G20" s="181">
        <f t="shared" si="0"/>
        <v>37404.97</v>
      </c>
      <c r="H20" s="7"/>
      <c r="I20" s="6">
        <f>SUMIF('Total Electric Download'!A:A,A20,'Total Electric Download'!E:E)</f>
        <v>0</v>
      </c>
      <c r="J20" s="6">
        <f t="shared" si="2"/>
        <v>20399.03</v>
      </c>
      <c r="K20" s="81"/>
      <c r="L20" s="181">
        <f t="shared" si="3"/>
        <v>20399.03</v>
      </c>
      <c r="M20" s="7"/>
    </row>
    <row r="21" spans="1:13">
      <c r="A21" s="1">
        <v>514</v>
      </c>
      <c r="B21" s="7">
        <f>'Total Electric Download'!G16</f>
        <v>118786</v>
      </c>
      <c r="C21" s="7">
        <f>SUMIF('Total Electric Download'!A:A,A21,'Total Electric Download'!D:D)</f>
        <v>118786</v>
      </c>
      <c r="D21" s="7"/>
      <c r="E21" s="7">
        <f>SUMIF('Total Electric Download'!A:A,A21,'Total Electric Download'!F:F)</f>
        <v>0</v>
      </c>
      <c r="F21" s="6">
        <f t="shared" si="1"/>
        <v>76866.42</v>
      </c>
      <c r="G21" s="181">
        <f t="shared" si="0"/>
        <v>76866.42</v>
      </c>
      <c r="H21" s="7"/>
      <c r="I21" s="6">
        <f>SUMIF('Total Electric Download'!A:A,A21,'Total Electric Download'!E:E)</f>
        <v>0</v>
      </c>
      <c r="J21" s="6">
        <f t="shared" si="2"/>
        <v>41919.58</v>
      </c>
      <c r="K21" s="81"/>
      <c r="L21" s="181">
        <f t="shared" si="3"/>
        <v>41919.58</v>
      </c>
      <c r="M21" s="7"/>
    </row>
    <row r="22" spans="1:13">
      <c r="A22" s="2" t="s">
        <v>43</v>
      </c>
      <c r="B22" s="42">
        <f t="shared" ref="B22:J22" si="4">SUM(B11:B21)</f>
        <v>2908250</v>
      </c>
      <c r="C22" s="42">
        <f t="shared" si="4"/>
        <v>2907128</v>
      </c>
      <c r="D22" s="112"/>
      <c r="E22" s="42">
        <f t="shared" si="4"/>
        <v>1122</v>
      </c>
      <c r="F22" s="42">
        <f t="shared" si="4"/>
        <v>1881202.53</v>
      </c>
      <c r="G22" s="182">
        <f t="shared" si="4"/>
        <v>1882324.53</v>
      </c>
      <c r="H22" s="42"/>
      <c r="I22" s="42">
        <f t="shared" si="4"/>
        <v>0</v>
      </c>
      <c r="J22" s="42">
        <f t="shared" si="4"/>
        <v>1025925.47</v>
      </c>
      <c r="K22" s="82"/>
      <c r="L22" s="182">
        <f>SUM(L11:L21)</f>
        <v>1025925.47</v>
      </c>
      <c r="M22" s="7"/>
    </row>
    <row r="23" spans="1:13" ht="11.1" customHeight="1">
      <c r="B23" s="7"/>
      <c r="C23" s="7"/>
      <c r="D23" s="7"/>
      <c r="E23" s="7"/>
      <c r="F23" s="6"/>
      <c r="G23" s="181"/>
      <c r="H23" s="7"/>
      <c r="I23" s="6"/>
      <c r="J23" s="6"/>
      <c r="K23" s="81"/>
      <c r="L23" s="181"/>
      <c r="M23" s="7"/>
    </row>
    <row r="24" spans="1:13">
      <c r="A24" s="2" t="s">
        <v>44</v>
      </c>
      <c r="B24" s="7" t="s">
        <v>248</v>
      </c>
      <c r="C24" s="7"/>
      <c r="D24" s="7"/>
      <c r="E24" s="7"/>
      <c r="F24" s="6"/>
      <c r="G24" s="181"/>
      <c r="H24" s="7"/>
      <c r="I24" s="6"/>
      <c r="J24" s="6"/>
      <c r="K24" s="81"/>
      <c r="L24" s="181"/>
      <c r="M24" s="7"/>
    </row>
    <row r="25" spans="1:13">
      <c r="A25" s="1">
        <v>535</v>
      </c>
      <c r="B25" s="7">
        <f>'Total Electric Download'!G17</f>
        <v>1114251</v>
      </c>
      <c r="C25" s="7">
        <f>SUMIF('Total Electric Download'!A:A,A25,'Total Electric Download'!D:D)</f>
        <v>1114251</v>
      </c>
      <c r="D25" s="7"/>
      <c r="E25" s="7">
        <f>SUMIF('Total Electric Download'!A:A,A25,'Total Electric Download'!F:F)</f>
        <v>0</v>
      </c>
      <c r="F25" s="6">
        <f t="shared" ref="F25:F34" si="5">C25*$C$128</f>
        <v>721031.82</v>
      </c>
      <c r="G25" s="181">
        <f t="shared" ref="G25:G34" si="6">E25+F25</f>
        <v>721031.82</v>
      </c>
      <c r="H25" s="7"/>
      <c r="I25" s="6">
        <f>SUMIF('Total Electric Download'!A:A,A25,'Total Electric Download'!E:E)</f>
        <v>0</v>
      </c>
      <c r="J25" s="6">
        <f t="shared" ref="J25:J34" si="7">C25*$E$128</f>
        <v>393219.18</v>
      </c>
      <c r="K25" s="81"/>
      <c r="L25" s="181">
        <f t="shared" ref="L25:L34" si="8">I25+J25+K25</f>
        <v>393219.18</v>
      </c>
      <c r="M25" s="7"/>
    </row>
    <row r="26" spans="1:13">
      <c r="A26" s="1">
        <v>536</v>
      </c>
      <c r="B26" s="7">
        <f>'Total Electric Download'!G18</f>
        <v>39716</v>
      </c>
      <c r="C26" s="7">
        <f>SUMIF('Total Electric Download'!A:A,A26,'Total Electric Download'!D:D)</f>
        <v>39716</v>
      </c>
      <c r="D26" s="7"/>
      <c r="E26" s="7">
        <f>SUMIF('Total Electric Download'!A:A,A26,'Total Electric Download'!F:F)</f>
        <v>0</v>
      </c>
      <c r="F26" s="6">
        <f t="shared" si="5"/>
        <v>25700.22</v>
      </c>
      <c r="G26" s="181">
        <f t="shared" si="6"/>
        <v>25700.22</v>
      </c>
      <c r="H26" s="7"/>
      <c r="I26" s="6">
        <f>SUMIF('Total Electric Download'!A:A,A26,'Total Electric Download'!E:E)</f>
        <v>0</v>
      </c>
      <c r="J26" s="6">
        <f t="shared" si="7"/>
        <v>14015.78</v>
      </c>
      <c r="K26" s="81"/>
      <c r="L26" s="181">
        <f t="shared" si="8"/>
        <v>14015.78</v>
      </c>
      <c r="M26" s="7"/>
    </row>
    <row r="27" spans="1:13">
      <c r="A27" s="1">
        <v>537</v>
      </c>
      <c r="B27" s="7">
        <f>'Total Electric Download'!G19</f>
        <v>392154</v>
      </c>
      <c r="C27" s="7">
        <f>SUMIF('Total Electric Download'!A:A,A27,'Total Electric Download'!D:D)</f>
        <v>392154</v>
      </c>
      <c r="D27" s="7"/>
      <c r="E27" s="7">
        <f>SUMIF('Total Electric Download'!A:A,A27,'Total Electric Download'!F:F)</f>
        <v>0</v>
      </c>
      <c r="F27" s="6">
        <f t="shared" si="5"/>
        <v>253762.85</v>
      </c>
      <c r="G27" s="181">
        <f t="shared" si="6"/>
        <v>253762.85</v>
      </c>
      <c r="H27" s="7"/>
      <c r="I27" s="6">
        <f>SUMIF('Total Electric Download'!A:A,A27,'Total Electric Download'!E:E)</f>
        <v>0</v>
      </c>
      <c r="J27" s="6">
        <f t="shared" si="7"/>
        <v>138391.15</v>
      </c>
      <c r="K27" s="81"/>
      <c r="L27" s="181">
        <f t="shared" si="8"/>
        <v>138391.15</v>
      </c>
      <c r="M27" s="7"/>
    </row>
    <row r="28" spans="1:13">
      <c r="A28" s="1">
        <v>538</v>
      </c>
      <c r="B28" s="7">
        <f>'Total Electric Download'!G20</f>
        <v>4156495</v>
      </c>
      <c r="C28" s="7">
        <f>SUMIF('Total Electric Download'!A:A,A28,'Total Electric Download'!D:D)</f>
        <v>4156495</v>
      </c>
      <c r="D28" s="7"/>
      <c r="E28" s="7">
        <f>SUMIF('Total Electric Download'!A:A,A28,'Total Electric Download'!F:F)</f>
        <v>0</v>
      </c>
      <c r="F28" s="6">
        <f t="shared" si="5"/>
        <v>2689667.91</v>
      </c>
      <c r="G28" s="181">
        <f t="shared" si="6"/>
        <v>2689667.91</v>
      </c>
      <c r="H28" s="7"/>
      <c r="I28" s="6">
        <f>SUMIF('Total Electric Download'!A:A,A28,'Total Electric Download'!E:E)</f>
        <v>0</v>
      </c>
      <c r="J28" s="6">
        <f t="shared" si="7"/>
        <v>1466827.09</v>
      </c>
      <c r="K28" s="81"/>
      <c r="L28" s="181">
        <f t="shared" si="8"/>
        <v>1466827.09</v>
      </c>
      <c r="M28" s="7"/>
    </row>
    <row r="29" spans="1:13">
      <c r="A29" s="1">
        <v>539</v>
      </c>
      <c r="B29" s="7">
        <f>'Total Electric Download'!G21</f>
        <v>88824</v>
      </c>
      <c r="C29" s="7">
        <f>SUMIF('Total Electric Download'!A:A,A29,'Total Electric Download'!D:D)</f>
        <v>88824</v>
      </c>
      <c r="D29" s="7"/>
      <c r="E29" s="7">
        <f>SUMIF('Total Electric Download'!A:A,A29,'Total Electric Download'!F:F)</f>
        <v>0</v>
      </c>
      <c r="F29" s="6">
        <f t="shared" si="5"/>
        <v>57478.01</v>
      </c>
      <c r="G29" s="181">
        <f t="shared" si="6"/>
        <v>57478.01</v>
      </c>
      <c r="H29" s="7"/>
      <c r="I29" s="6">
        <f>SUMIF('Total Electric Download'!A:A,A29,'Total Electric Download'!E:E)</f>
        <v>0</v>
      </c>
      <c r="J29" s="6">
        <f t="shared" si="7"/>
        <v>31345.99</v>
      </c>
      <c r="K29" s="81"/>
      <c r="L29" s="181">
        <f t="shared" si="8"/>
        <v>31345.99</v>
      </c>
      <c r="M29" s="7"/>
    </row>
    <row r="30" spans="1:13">
      <c r="A30" s="1">
        <v>541</v>
      </c>
      <c r="B30" s="7">
        <f>'Total Electric Download'!G22</f>
        <v>545446</v>
      </c>
      <c r="C30" s="7">
        <f>SUMIF('Total Electric Download'!A:A,A30,'Total Electric Download'!D:D)</f>
        <v>545446</v>
      </c>
      <c r="D30" s="7"/>
      <c r="E30" s="7">
        <f>SUMIF('Total Electric Download'!A:A,A30,'Total Electric Download'!F:F)</f>
        <v>0</v>
      </c>
      <c r="F30" s="6">
        <f t="shared" si="5"/>
        <v>352958.11</v>
      </c>
      <c r="G30" s="181">
        <f t="shared" si="6"/>
        <v>352958.11</v>
      </c>
      <c r="H30" s="7"/>
      <c r="I30" s="6">
        <f>SUMIF('Total Electric Download'!A:A,A30,'Total Electric Download'!E:E)</f>
        <v>0</v>
      </c>
      <c r="J30" s="6">
        <f t="shared" si="7"/>
        <v>192487.89</v>
      </c>
      <c r="K30" s="81"/>
      <c r="L30" s="181">
        <f t="shared" si="8"/>
        <v>192487.89</v>
      </c>
      <c r="M30" s="7"/>
    </row>
    <row r="31" spans="1:13">
      <c r="A31" s="1">
        <v>542</v>
      </c>
      <c r="B31" s="7">
        <f>'Total Electric Download'!G23</f>
        <v>158479</v>
      </c>
      <c r="C31" s="7">
        <f>SUMIF('Total Electric Download'!A:A,A31,'Total Electric Download'!D:D)</f>
        <v>158479</v>
      </c>
      <c r="D31" s="7"/>
      <c r="E31" s="7">
        <f>SUMIF('Total Electric Download'!A:A,A31,'Total Electric Download'!F:F)</f>
        <v>0</v>
      </c>
      <c r="F31" s="6">
        <f t="shared" si="5"/>
        <v>102551.76</v>
      </c>
      <c r="G31" s="181">
        <f t="shared" si="6"/>
        <v>102551.76</v>
      </c>
      <c r="H31" s="7"/>
      <c r="I31" s="6">
        <f>SUMIF('Total Electric Download'!A:A,A31,'Total Electric Download'!E:E)</f>
        <v>0</v>
      </c>
      <c r="J31" s="6">
        <f t="shared" si="7"/>
        <v>55927.24</v>
      </c>
      <c r="K31" s="81"/>
      <c r="L31" s="181">
        <f t="shared" si="8"/>
        <v>55927.24</v>
      </c>
      <c r="M31" s="7"/>
    </row>
    <row r="32" spans="1:13">
      <c r="A32" s="1">
        <v>543</v>
      </c>
      <c r="B32" s="7">
        <f>'Total Electric Download'!G24</f>
        <v>193924</v>
      </c>
      <c r="C32" s="7">
        <f>SUMIF('Total Electric Download'!A:A,A32,'Total Electric Download'!D:D)</f>
        <v>193924</v>
      </c>
      <c r="D32" s="7"/>
      <c r="E32" s="7">
        <f>SUMIF('Total Electric Download'!A:A,A32,'Total Electric Download'!F:F)</f>
        <v>0</v>
      </c>
      <c r="F32" s="6">
        <f t="shared" si="5"/>
        <v>125488.22</v>
      </c>
      <c r="G32" s="181">
        <f t="shared" si="6"/>
        <v>125488.22</v>
      </c>
      <c r="H32" s="7"/>
      <c r="I32" s="6">
        <f>SUMIF('Total Electric Download'!A:A,A32,'Total Electric Download'!E:E)</f>
        <v>0</v>
      </c>
      <c r="J32" s="6">
        <f t="shared" si="7"/>
        <v>68435.78</v>
      </c>
      <c r="K32" s="81"/>
      <c r="L32" s="181">
        <f t="shared" si="8"/>
        <v>68435.78</v>
      </c>
      <c r="M32" s="7"/>
    </row>
    <row r="33" spans="1:13">
      <c r="A33" s="1">
        <v>544</v>
      </c>
      <c r="B33" s="7">
        <f>'Total Electric Download'!G25</f>
        <v>1189967</v>
      </c>
      <c r="C33" s="7">
        <f>SUMIF('Total Electric Download'!A:A,A33,'Total Electric Download'!D:D)</f>
        <v>1189967</v>
      </c>
      <c r="D33" s="7"/>
      <c r="E33" s="7">
        <f>SUMIF('Total Electric Download'!A:A,A33,'Total Electric Download'!F:F)</f>
        <v>0</v>
      </c>
      <c r="F33" s="6">
        <f t="shared" si="5"/>
        <v>770027.65</v>
      </c>
      <c r="G33" s="181">
        <f t="shared" si="6"/>
        <v>770027.65</v>
      </c>
      <c r="H33" s="7"/>
      <c r="I33" s="6">
        <f>SUMIF('Total Electric Download'!A:A,A33,'Total Electric Download'!E:E)</f>
        <v>0</v>
      </c>
      <c r="J33" s="6">
        <f t="shared" si="7"/>
        <v>419939.35</v>
      </c>
      <c r="K33" s="81"/>
      <c r="L33" s="181">
        <f t="shared" si="8"/>
        <v>419939.35</v>
      </c>
      <c r="M33" s="7"/>
    </row>
    <row r="34" spans="1:13">
      <c r="A34" s="1">
        <v>545</v>
      </c>
      <c r="B34" s="7">
        <f>'Total Electric Download'!G26</f>
        <v>265239</v>
      </c>
      <c r="C34" s="7">
        <f>SUMIF('Total Electric Download'!A:A,A34,'Total Electric Download'!D:D)</f>
        <v>265239</v>
      </c>
      <c r="D34" s="7"/>
      <c r="E34" s="7">
        <f>SUMIF('Total Electric Download'!A:A,A34,'Total Electric Download'!F:F)</f>
        <v>0</v>
      </c>
      <c r="F34" s="6">
        <f t="shared" si="5"/>
        <v>171636.16</v>
      </c>
      <c r="G34" s="181">
        <f t="shared" si="6"/>
        <v>171636.16</v>
      </c>
      <c r="H34" s="7"/>
      <c r="I34" s="6">
        <f>SUMIF('Total Electric Download'!A:A,A34,'Total Electric Download'!E:E)</f>
        <v>0</v>
      </c>
      <c r="J34" s="6">
        <f t="shared" si="7"/>
        <v>93602.84</v>
      </c>
      <c r="K34" s="81"/>
      <c r="L34" s="181">
        <f t="shared" si="8"/>
        <v>93602.84</v>
      </c>
      <c r="M34" s="7"/>
    </row>
    <row r="35" spans="1:13">
      <c r="A35" s="2" t="s">
        <v>50</v>
      </c>
      <c r="B35" s="42">
        <f t="shared" ref="B35:J35" si="9">SUM(B25:B34)</f>
        <v>8144495</v>
      </c>
      <c r="C35" s="42">
        <f t="shared" si="9"/>
        <v>8144495</v>
      </c>
      <c r="D35" s="112"/>
      <c r="E35" s="42">
        <f t="shared" si="9"/>
        <v>0</v>
      </c>
      <c r="F35" s="42">
        <f t="shared" si="9"/>
        <v>5270302.71</v>
      </c>
      <c r="G35" s="182">
        <f t="shared" si="9"/>
        <v>5270302.71</v>
      </c>
      <c r="H35" s="42"/>
      <c r="I35" s="42">
        <f t="shared" si="9"/>
        <v>0</v>
      </c>
      <c r="J35" s="42">
        <f t="shared" si="9"/>
        <v>2874192.29</v>
      </c>
      <c r="K35" s="82"/>
      <c r="L35" s="182">
        <f>SUM(L25:L34)</f>
        <v>2874192.29</v>
      </c>
      <c r="M35" s="7"/>
    </row>
    <row r="36" spans="1:13" ht="11.1" customHeight="1">
      <c r="B36" s="7"/>
      <c r="C36" s="7"/>
      <c r="D36" s="7"/>
      <c r="E36" s="7"/>
      <c r="F36" s="6"/>
      <c r="G36" s="181"/>
      <c r="H36" s="7"/>
      <c r="I36" s="6"/>
      <c r="J36" s="6"/>
      <c r="K36" s="81"/>
      <c r="L36" s="181"/>
      <c r="M36" s="7"/>
    </row>
    <row r="37" spans="1:13">
      <c r="A37" s="2" t="s">
        <v>51</v>
      </c>
      <c r="B37" s="7"/>
      <c r="C37" s="7"/>
      <c r="D37" s="7"/>
      <c r="E37" s="7"/>
      <c r="F37" s="6"/>
      <c r="G37" s="181"/>
      <c r="H37" s="7"/>
      <c r="I37" s="6"/>
      <c r="J37" s="6"/>
      <c r="K37" s="81"/>
      <c r="L37" s="181"/>
      <c r="M37" s="7"/>
    </row>
    <row r="38" spans="1:13">
      <c r="A38" s="1">
        <v>546</v>
      </c>
      <c r="B38" s="7">
        <f>'Total Electric Download'!G27</f>
        <v>102758</v>
      </c>
      <c r="C38" s="7">
        <f>SUMIF('Total Electric Download'!A:A,A38,'Total Electric Download'!D:D)</f>
        <v>102758</v>
      </c>
      <c r="D38" s="7"/>
      <c r="E38" s="7">
        <f>SUMIF('Total Electric Download'!A:A,A38,'Total Electric Download'!F:F)</f>
        <v>0</v>
      </c>
      <c r="F38" s="6">
        <f t="shared" ref="F38:F44" si="10">C38*$C$128</f>
        <v>66494.7</v>
      </c>
      <c r="G38" s="181">
        <f t="shared" ref="G38:G44" si="11">E38+F38</f>
        <v>66494.7</v>
      </c>
      <c r="H38" s="7"/>
      <c r="I38" s="6">
        <f>SUMIF('Total Electric Download'!A:A,A38,'Total Electric Download'!E:E)</f>
        <v>0</v>
      </c>
      <c r="J38" s="6">
        <f t="shared" ref="J38:J44" si="12">C38*$E$128</f>
        <v>36263.300000000003</v>
      </c>
      <c r="K38" s="81"/>
      <c r="L38" s="181">
        <f t="shared" ref="L38:L44" si="13">I38+J38+K38</f>
        <v>36263.300000000003</v>
      </c>
      <c r="M38" s="7"/>
    </row>
    <row r="39" spans="1:13">
      <c r="A39" s="1">
        <v>548</v>
      </c>
      <c r="B39" s="7">
        <f>'Total Electric Download'!G28</f>
        <v>156449</v>
      </c>
      <c r="C39" s="7">
        <f>SUMIF('Total Electric Download'!A:A,A39,'Total Electric Download'!D:D)</f>
        <v>156449</v>
      </c>
      <c r="D39" s="7"/>
      <c r="E39" s="7">
        <f>SUMIF('Total Electric Download'!A:A,A39,'Total Electric Download'!F:F)</f>
        <v>0</v>
      </c>
      <c r="F39" s="6">
        <f t="shared" si="10"/>
        <v>101238.15</v>
      </c>
      <c r="G39" s="181">
        <f t="shared" si="11"/>
        <v>101238.15</v>
      </c>
      <c r="H39" s="7"/>
      <c r="I39" s="6">
        <f>SUMIF('Total Electric Download'!A:A,A39,'Total Electric Download'!E:E)</f>
        <v>0</v>
      </c>
      <c r="J39" s="6">
        <f t="shared" si="12"/>
        <v>55210.85</v>
      </c>
      <c r="K39" s="81"/>
      <c r="L39" s="181">
        <f t="shared" si="13"/>
        <v>55210.85</v>
      </c>
      <c r="M39" s="7"/>
    </row>
    <row r="40" spans="1:13">
      <c r="A40" s="1">
        <v>549</v>
      </c>
      <c r="B40" s="7">
        <f>'Total Electric Download'!G29</f>
        <v>18783</v>
      </c>
      <c r="C40" s="7">
        <f>SUMIF('Total Electric Download'!A:A,A40,'Total Electric Download'!D:D)</f>
        <v>18783</v>
      </c>
      <c r="D40" s="7"/>
      <c r="E40" s="7">
        <f>SUMIF('Total Electric Download'!A:A,A40,'Total Electric Download'!F:F)</f>
        <v>0</v>
      </c>
      <c r="F40" s="6">
        <f t="shared" si="10"/>
        <v>12154.48</v>
      </c>
      <c r="G40" s="181">
        <f t="shared" si="11"/>
        <v>12154.48</v>
      </c>
      <c r="H40" s="7"/>
      <c r="I40" s="6">
        <f>SUMIF('Total Electric Download'!A:A,A40,'Total Electric Download'!E:E)</f>
        <v>0</v>
      </c>
      <c r="J40" s="6">
        <f t="shared" si="12"/>
        <v>6628.52</v>
      </c>
      <c r="K40" s="81"/>
      <c r="L40" s="181">
        <f t="shared" si="13"/>
        <v>6628.52</v>
      </c>
      <c r="M40" s="7"/>
    </row>
    <row r="41" spans="1:13">
      <c r="A41" s="1">
        <v>551</v>
      </c>
      <c r="B41" s="7">
        <f>'Total Electric Download'!G30</f>
        <v>254245</v>
      </c>
      <c r="C41" s="7">
        <f>SUMIF('Total Electric Download'!A:A,A41,'Total Electric Download'!D:D)</f>
        <v>254245</v>
      </c>
      <c r="D41" s="7"/>
      <c r="E41" s="7">
        <f>SUMIF('Total Electric Download'!A:A,A41,'Total Electric Download'!F:F)</f>
        <v>0</v>
      </c>
      <c r="F41" s="6">
        <f t="shared" si="10"/>
        <v>164521.94</v>
      </c>
      <c r="G41" s="181">
        <f t="shared" si="11"/>
        <v>164521.94</v>
      </c>
      <c r="H41" s="7"/>
      <c r="I41" s="6">
        <f>SUMIF('Total Electric Download'!A:A,A41,'Total Electric Download'!E:E)</f>
        <v>0</v>
      </c>
      <c r="J41" s="6">
        <f t="shared" si="12"/>
        <v>89723.06</v>
      </c>
      <c r="K41" s="81"/>
      <c r="L41" s="181">
        <f t="shared" si="13"/>
        <v>89723.06</v>
      </c>
      <c r="M41" s="7"/>
    </row>
    <row r="42" spans="1:13">
      <c r="A42" s="1">
        <v>552</v>
      </c>
      <c r="B42" s="7">
        <f>'Total Electric Download'!G31</f>
        <v>381</v>
      </c>
      <c r="C42" s="7">
        <f>SUMIF('Total Electric Download'!A:A,A42,'Total Electric Download'!D:D)</f>
        <v>381</v>
      </c>
      <c r="D42" s="7"/>
      <c r="E42" s="7">
        <f>SUMIF('Total Electric Download'!A:A,A42,'Total Electric Download'!F:F)</f>
        <v>0</v>
      </c>
      <c r="F42" s="6">
        <f t="shared" si="10"/>
        <v>246.55</v>
      </c>
      <c r="G42" s="181">
        <f t="shared" si="11"/>
        <v>246.55</v>
      </c>
      <c r="H42" s="7"/>
      <c r="I42" s="6">
        <f>SUMIF('Total Electric Download'!A:A,A42,'Total Electric Download'!E:E)</f>
        <v>0</v>
      </c>
      <c r="J42" s="6">
        <f t="shared" si="12"/>
        <v>134.44999999999999</v>
      </c>
      <c r="K42" s="81"/>
      <c r="L42" s="181">
        <f t="shared" si="13"/>
        <v>134.44999999999999</v>
      </c>
      <c r="M42" s="7"/>
    </row>
    <row r="43" spans="1:13">
      <c r="A43" s="1">
        <v>553</v>
      </c>
      <c r="B43" s="7">
        <f>'Total Electric Download'!G32</f>
        <v>309265</v>
      </c>
      <c r="C43" s="7">
        <f>SUMIF('Total Electric Download'!A:A,A43,'Total Electric Download'!D:D)</f>
        <v>249287</v>
      </c>
      <c r="D43" s="7"/>
      <c r="E43" s="7">
        <f>SUMIF('Total Electric Download'!A:A,A43,'Total Electric Download'!F:F)</f>
        <v>59978</v>
      </c>
      <c r="F43" s="6">
        <f t="shared" si="10"/>
        <v>161313.62</v>
      </c>
      <c r="G43" s="181">
        <f t="shared" si="11"/>
        <v>221291.62</v>
      </c>
      <c r="H43" s="7"/>
      <c r="I43" s="6">
        <f>SUMIF('Total Electric Download'!A:A,A43,'Total Electric Download'!E:E)</f>
        <v>0</v>
      </c>
      <c r="J43" s="6">
        <f t="shared" si="12"/>
        <v>87973.38</v>
      </c>
      <c r="K43" s="81"/>
      <c r="L43" s="181">
        <f t="shared" si="13"/>
        <v>87973.38</v>
      </c>
      <c r="M43" s="7"/>
    </row>
    <row r="44" spans="1:13">
      <c r="A44" s="1">
        <v>554</v>
      </c>
      <c r="B44" s="7">
        <f>'Total Electric Download'!G33</f>
        <v>33121</v>
      </c>
      <c r="C44" s="7">
        <f>SUMIF('Total Electric Download'!A:A,A44,'Total Electric Download'!D:D)</f>
        <v>33121</v>
      </c>
      <c r="D44" s="7"/>
      <c r="E44" s="7">
        <f>SUMIF('Total Electric Download'!A:A,A44,'Total Electric Download'!F:F)</f>
        <v>0</v>
      </c>
      <c r="F44" s="6">
        <f t="shared" si="10"/>
        <v>21432.6</v>
      </c>
      <c r="G44" s="181">
        <f t="shared" si="11"/>
        <v>21432.6</v>
      </c>
      <c r="H44" s="7"/>
      <c r="I44" s="6">
        <f>SUMIF('Total Electric Download'!A:A,A44,'Total Electric Download'!E:E)</f>
        <v>0</v>
      </c>
      <c r="J44" s="6">
        <f t="shared" si="12"/>
        <v>11688.4</v>
      </c>
      <c r="K44" s="81"/>
      <c r="L44" s="181">
        <f t="shared" si="13"/>
        <v>11688.4</v>
      </c>
      <c r="M44" s="7"/>
    </row>
    <row r="45" spans="1:13">
      <c r="A45" s="70" t="s">
        <v>56</v>
      </c>
      <c r="B45" s="42">
        <f t="shared" ref="B45:J45" si="14">SUM(B38:B44)</f>
        <v>875002</v>
      </c>
      <c r="C45" s="42">
        <f t="shared" si="14"/>
        <v>815024</v>
      </c>
      <c r="D45" s="112"/>
      <c r="E45" s="42">
        <f t="shared" si="14"/>
        <v>59978</v>
      </c>
      <c r="F45" s="42">
        <f t="shared" si="14"/>
        <v>527402.04</v>
      </c>
      <c r="G45" s="182">
        <f t="shared" si="14"/>
        <v>587380.04</v>
      </c>
      <c r="H45" s="42"/>
      <c r="I45" s="42">
        <f t="shared" si="14"/>
        <v>0</v>
      </c>
      <c r="J45" s="42">
        <f t="shared" si="14"/>
        <v>287621.96000000002</v>
      </c>
      <c r="K45" s="82"/>
      <c r="L45" s="182">
        <f>SUM(L38:L44)</f>
        <v>287621.96000000002</v>
      </c>
      <c r="M45" s="7"/>
    </row>
    <row r="46" spans="1:13" ht="9.9499999999999993" customHeight="1">
      <c r="B46" s="7"/>
      <c r="C46" s="7"/>
      <c r="D46" s="7"/>
      <c r="E46" s="7"/>
      <c r="F46" s="6"/>
      <c r="G46" s="181"/>
      <c r="H46" s="7"/>
      <c r="I46" s="6"/>
      <c r="J46" s="6"/>
      <c r="K46" s="81"/>
      <c r="L46" s="181"/>
      <c r="M46" s="7"/>
    </row>
    <row r="47" spans="1:13">
      <c r="A47" s="2" t="s">
        <v>57</v>
      </c>
      <c r="B47" s="7"/>
      <c r="C47" s="7"/>
      <c r="D47" s="7"/>
      <c r="E47" s="7"/>
      <c r="F47" s="6"/>
      <c r="G47" s="181"/>
      <c r="H47" s="7"/>
      <c r="I47" s="6"/>
      <c r="J47" s="6"/>
      <c r="K47" s="81"/>
      <c r="L47" s="181"/>
      <c r="M47" s="7"/>
    </row>
    <row r="48" spans="1:13">
      <c r="A48" s="1">
        <v>556</v>
      </c>
      <c r="B48" s="7">
        <f>'Total Electric Download'!G34</f>
        <v>397767</v>
      </c>
      <c r="C48" s="7">
        <f>SUMIF('Total Electric Download'!A:A,A48,'Total Electric Download'!D:D)</f>
        <v>397767</v>
      </c>
      <c r="D48" s="7"/>
      <c r="E48" s="7">
        <f>SUMIF('Total Electric Download'!A:A,A48,'Total Electric Download'!F:F)</f>
        <v>0</v>
      </c>
      <c r="F48" s="6">
        <f>C48*$C$128</f>
        <v>257395.03</v>
      </c>
      <c r="G48" s="181">
        <f>E48+F48</f>
        <v>257395.03</v>
      </c>
      <c r="H48" s="7"/>
      <c r="I48" s="6">
        <f>SUMIF('Total Electric Download'!A:A,A48,'Total Electric Download'!E:E)</f>
        <v>0</v>
      </c>
      <c r="J48" s="6">
        <f>C48*$E$128</f>
        <v>140371.97</v>
      </c>
      <c r="K48" s="81"/>
      <c r="L48" s="181">
        <f>I48+J48+K48</f>
        <v>140371.97</v>
      </c>
      <c r="M48" s="7"/>
    </row>
    <row r="49" spans="1:13">
      <c r="A49" s="1">
        <v>557</v>
      </c>
      <c r="B49" s="7">
        <f>'Total Electric Download'!G35</f>
        <v>3341499</v>
      </c>
      <c r="C49" s="7">
        <f>SUMIF('Total Electric Download'!A:A,A49,'Total Electric Download'!D:D)</f>
        <v>3341499</v>
      </c>
      <c r="D49" s="7"/>
      <c r="E49" s="7">
        <f>SUMIF('Total Electric Download'!A:A,A49,'Total Electric Download'!F:F)</f>
        <v>0</v>
      </c>
      <c r="F49" s="6">
        <f>C49*$C$128</f>
        <v>2162284</v>
      </c>
      <c r="G49" s="181">
        <f>E49+F49</f>
        <v>2162284</v>
      </c>
      <c r="H49" s="7"/>
      <c r="I49" s="6">
        <f>SUMIF('Total Electric Download'!A:A,A49,'Total Electric Download'!E:E)</f>
        <v>0</v>
      </c>
      <c r="J49" s="6">
        <f>C49*$E$128</f>
        <v>1179215</v>
      </c>
      <c r="K49" s="81"/>
      <c r="L49" s="181">
        <f>I49+J49+K49</f>
        <v>1179215</v>
      </c>
      <c r="M49" s="7"/>
    </row>
    <row r="50" spans="1:13">
      <c r="A50" s="70" t="s">
        <v>172</v>
      </c>
      <c r="B50" s="42">
        <f t="shared" ref="B50:J50" si="15">SUM(B48:B49)</f>
        <v>3739266</v>
      </c>
      <c r="C50" s="42">
        <f t="shared" si="15"/>
        <v>3739266</v>
      </c>
      <c r="D50" s="112"/>
      <c r="E50" s="42">
        <f t="shared" si="15"/>
        <v>0</v>
      </c>
      <c r="F50" s="42">
        <f t="shared" si="15"/>
        <v>2419679.0299999998</v>
      </c>
      <c r="G50" s="182">
        <f t="shared" si="15"/>
        <v>2419679.0299999998</v>
      </c>
      <c r="H50" s="42"/>
      <c r="I50" s="42">
        <f t="shared" si="15"/>
        <v>0</v>
      </c>
      <c r="J50" s="42">
        <f t="shared" si="15"/>
        <v>1319586.97</v>
      </c>
      <c r="K50" s="82"/>
      <c r="L50" s="182">
        <f>SUM(L48:L49)</f>
        <v>1319586.97</v>
      </c>
      <c r="M50" s="7"/>
    </row>
    <row r="51" spans="1:13" ht="9.9499999999999993" customHeight="1">
      <c r="B51" s="7"/>
      <c r="C51" s="7">
        <f>SUMIF('Total Electric Download'!A:A,A51,'Total Electric Download'!D:D)</f>
        <v>0</v>
      </c>
      <c r="D51" s="7"/>
      <c r="E51" s="7"/>
      <c r="F51" s="6"/>
      <c r="G51" s="181"/>
      <c r="H51" s="7"/>
      <c r="I51" s="6"/>
      <c r="J51" s="6"/>
      <c r="K51" s="81"/>
      <c r="L51" s="181"/>
      <c r="M51" s="7"/>
    </row>
    <row r="52" spans="1:13">
      <c r="A52" s="2" t="s">
        <v>29</v>
      </c>
      <c r="B52" s="42">
        <f>B22+B35+B45+B50</f>
        <v>15667013</v>
      </c>
      <c r="C52" s="42">
        <f>C22+C35+C45+C50</f>
        <v>15605913</v>
      </c>
      <c r="D52" s="42"/>
      <c r="E52" s="42">
        <f>E22+E35+E45+E50</f>
        <v>61100</v>
      </c>
      <c r="F52" s="42">
        <f>F22+F35+F45+F50</f>
        <v>10098586.310000001</v>
      </c>
      <c r="G52" s="182">
        <f>G22+G35+G45+G50</f>
        <v>10159686.310000001</v>
      </c>
      <c r="H52" s="112"/>
      <c r="I52" s="112">
        <f>I22+I35+I45+I50</f>
        <v>0</v>
      </c>
      <c r="J52" s="112">
        <f>J22+J35+J45+J50</f>
        <v>5507326.6900000004</v>
      </c>
      <c r="K52" s="113"/>
      <c r="L52" s="182">
        <f>L22+L35+L45+L50</f>
        <v>5507326.6900000004</v>
      </c>
      <c r="M52" s="7"/>
    </row>
    <row r="53" spans="1:13" ht="9.9499999999999993" customHeight="1">
      <c r="B53" s="7"/>
      <c r="C53" s="7"/>
      <c r="D53" s="7"/>
      <c r="E53" s="7"/>
      <c r="F53" s="6"/>
      <c r="G53" s="181"/>
      <c r="H53" s="7"/>
      <c r="I53" s="6"/>
      <c r="J53" s="6"/>
      <c r="K53" s="81"/>
      <c r="L53" s="181"/>
      <c r="M53" s="7"/>
    </row>
    <row r="54" spans="1:13">
      <c r="A54" s="2" t="s">
        <v>2</v>
      </c>
      <c r="B54" s="7"/>
      <c r="C54" s="7"/>
      <c r="D54" s="7"/>
      <c r="E54" s="7"/>
      <c r="F54" s="6"/>
      <c r="G54" s="181"/>
      <c r="H54" s="7"/>
      <c r="I54" s="6"/>
      <c r="J54" s="6"/>
      <c r="K54" s="81"/>
      <c r="L54" s="181"/>
      <c r="M54" s="7"/>
    </row>
    <row r="55" spans="1:13">
      <c r="A55" s="1">
        <v>560</v>
      </c>
      <c r="B55" s="7">
        <f>'Total Electric Download'!G36</f>
        <v>1080425</v>
      </c>
      <c r="C55" s="7">
        <f>SUMIF('Total Electric Download'!A:A,A55,'Total Electric Download'!D:D)</f>
        <v>1080425</v>
      </c>
      <c r="D55" s="7"/>
      <c r="E55" s="7">
        <f>SUMIF('Total Electric Download'!A:A,A55,'Total Electric Download'!F:F)</f>
        <v>0</v>
      </c>
      <c r="F55" s="6">
        <f t="shared" ref="F55:F67" si="16">C55*$C$128</f>
        <v>699143.02</v>
      </c>
      <c r="G55" s="181">
        <f t="shared" ref="G55:G67" si="17">E55+F55</f>
        <v>699143.02</v>
      </c>
      <c r="H55" s="7"/>
      <c r="I55" s="6">
        <f>SUMIF('Total Electric Download'!A:A,A55,'Total Electric Download'!E:E)</f>
        <v>0</v>
      </c>
      <c r="J55" s="6">
        <f t="shared" ref="J55:J67" si="18">C55*$E$128</f>
        <v>381281.98</v>
      </c>
      <c r="K55" s="81"/>
      <c r="L55" s="181">
        <f t="shared" ref="L55:L67" si="19">I55+J55+K55</f>
        <v>381281.98</v>
      </c>
      <c r="M55" s="7"/>
    </row>
    <row r="56" spans="1:13">
      <c r="A56" s="1">
        <v>561</v>
      </c>
      <c r="B56" s="7">
        <f>'Total Electric Download'!G37+'Total Electric Download'!G38+'Total Electric Download'!G39</f>
        <v>804813</v>
      </c>
      <c r="C56" s="7">
        <f>SUMIF('Total Electric Download'!A:A,A56,'Total Electric Download'!D:D)</f>
        <v>1510328</v>
      </c>
      <c r="D56" s="7"/>
      <c r="E56" s="7">
        <f>SUMIF('Total Electric Download'!A:A,A56,'Total Electric Download'!F:F)</f>
        <v>0</v>
      </c>
      <c r="F56" s="6">
        <f t="shared" si="16"/>
        <v>977333.25</v>
      </c>
      <c r="G56" s="181">
        <f t="shared" si="17"/>
        <v>977333.25</v>
      </c>
      <c r="H56" s="7"/>
      <c r="I56" s="6">
        <f>SUMIF('Total Electric Download'!A:A,A56,'Total Electric Download'!E:E)</f>
        <v>0</v>
      </c>
      <c r="J56" s="6">
        <f t="shared" si="18"/>
        <v>532994.75</v>
      </c>
      <c r="K56" s="81"/>
      <c r="L56" s="181">
        <f t="shared" si="19"/>
        <v>532994.75</v>
      </c>
      <c r="M56" s="7"/>
    </row>
    <row r="57" spans="1:13">
      <c r="A57" s="1">
        <v>562</v>
      </c>
      <c r="B57" s="7">
        <f>'Total Electric Download'!G40</f>
        <v>705515</v>
      </c>
      <c r="C57" s="7">
        <f>SUMIF('Total Electric Download'!A:A,A57,'Total Electric Download'!D:D)</f>
        <v>162869</v>
      </c>
      <c r="D57" s="7"/>
      <c r="E57" s="7">
        <f>SUMIF('Total Electric Download'!A:A,A57,'Total Electric Download'!F:F)</f>
        <v>0</v>
      </c>
      <c r="F57" s="6">
        <f t="shared" si="16"/>
        <v>105392.53</v>
      </c>
      <c r="G57" s="181">
        <f t="shared" si="17"/>
        <v>105392.53</v>
      </c>
      <c r="H57" s="7"/>
      <c r="I57" s="6">
        <f>SUMIF('Total Electric Download'!A:A,A57,'Total Electric Download'!E:E)</f>
        <v>0</v>
      </c>
      <c r="J57" s="6">
        <f t="shared" si="18"/>
        <v>57476.47</v>
      </c>
      <c r="K57" s="81"/>
      <c r="L57" s="181">
        <f t="shared" si="19"/>
        <v>57476.47</v>
      </c>
      <c r="M57" s="7"/>
    </row>
    <row r="58" spans="1:13">
      <c r="A58" s="1">
        <v>563</v>
      </c>
      <c r="B58" s="7">
        <f>'Total Electric Download'!G41</f>
        <v>162869</v>
      </c>
      <c r="C58" s="7">
        <f>SUMIF('Total Electric Download'!A:A,A58,'Total Electric Download'!D:D)</f>
        <v>62822</v>
      </c>
      <c r="D58" s="7"/>
      <c r="E58" s="7">
        <f>SUMIF('Total Electric Download'!A:A,A58,'Total Electric Download'!F:F)</f>
        <v>0</v>
      </c>
      <c r="F58" s="6">
        <f t="shared" si="16"/>
        <v>40652.120000000003</v>
      </c>
      <c r="G58" s="181">
        <f t="shared" si="17"/>
        <v>40652.120000000003</v>
      </c>
      <c r="H58" s="7"/>
      <c r="I58" s="6">
        <f>SUMIF('Total Electric Download'!A:A,A58,'Total Electric Download'!E:E)</f>
        <v>0</v>
      </c>
      <c r="J58" s="6">
        <f t="shared" si="18"/>
        <v>22169.88</v>
      </c>
      <c r="K58" s="81"/>
      <c r="L58" s="181">
        <f t="shared" si="19"/>
        <v>22169.88</v>
      </c>
      <c r="M58" s="7"/>
    </row>
    <row r="59" spans="1:13">
      <c r="A59" s="1">
        <v>564</v>
      </c>
      <c r="B59" s="7">
        <f>'Total Electric Download'!G42</f>
        <v>62822</v>
      </c>
      <c r="C59" s="7">
        <f>SUMIF('Total Electric Download'!A:A,A59,'Total Electric Download'!D:D)</f>
        <v>0</v>
      </c>
      <c r="D59" s="7"/>
      <c r="E59" s="7">
        <f>SUMIF('Total Electric Download'!A:A,A59,'Total Electric Download'!F:F)</f>
        <v>0</v>
      </c>
      <c r="F59" s="6">
        <f t="shared" si="16"/>
        <v>0</v>
      </c>
      <c r="G59" s="181">
        <f t="shared" si="17"/>
        <v>0</v>
      </c>
      <c r="H59" s="7"/>
      <c r="I59" s="6">
        <f>SUMIF('Total Electric Download'!A:A,A59,'Total Electric Download'!E:E)</f>
        <v>0</v>
      </c>
      <c r="J59" s="6">
        <f t="shared" si="18"/>
        <v>0</v>
      </c>
      <c r="K59" s="81"/>
      <c r="L59" s="181">
        <f t="shared" si="19"/>
        <v>0</v>
      </c>
      <c r="M59" s="7"/>
    </row>
    <row r="60" spans="1:13">
      <c r="A60" s="1">
        <v>566</v>
      </c>
      <c r="B60" s="7">
        <f>'Total Electric Download'!G43</f>
        <v>431165</v>
      </c>
      <c r="C60" s="7">
        <f>SUMIF('Total Electric Download'!A:A,A60,'Total Electric Download'!D:D)</f>
        <v>431165</v>
      </c>
      <c r="D60" s="7"/>
      <c r="E60" s="7">
        <f>SUMIF('Total Electric Download'!A:A,A60,'Total Electric Download'!F:F)</f>
        <v>0</v>
      </c>
      <c r="F60" s="6">
        <f t="shared" si="16"/>
        <v>279006.87</v>
      </c>
      <c r="G60" s="181">
        <f t="shared" si="17"/>
        <v>279006.87</v>
      </c>
      <c r="H60" s="7"/>
      <c r="I60" s="6">
        <f>SUMIF('Total Electric Download'!A:A,A60,'Total Electric Download'!E:E)</f>
        <v>0</v>
      </c>
      <c r="J60" s="6">
        <f t="shared" si="18"/>
        <v>152158.13</v>
      </c>
      <c r="K60" s="81"/>
      <c r="L60" s="181">
        <f t="shared" si="19"/>
        <v>152158.13</v>
      </c>
      <c r="M60" s="7"/>
    </row>
    <row r="61" spans="1:13">
      <c r="A61" s="1">
        <v>567</v>
      </c>
      <c r="B61" s="7">
        <f>'Total Electric Download'!G44</f>
        <v>20513</v>
      </c>
      <c r="C61" s="7">
        <f>SUMIF('Total Electric Download'!A:A,A61,'Total Electric Download'!D:D)</f>
        <v>20513</v>
      </c>
      <c r="D61" s="7"/>
      <c r="E61" s="7">
        <f>SUMIF('Total Electric Download'!A:A,A61,'Total Electric Download'!F:F)</f>
        <v>0</v>
      </c>
      <c r="F61" s="6">
        <f t="shared" si="16"/>
        <v>13273.96</v>
      </c>
      <c r="G61" s="181">
        <f t="shared" si="17"/>
        <v>13273.96</v>
      </c>
      <c r="H61" s="7"/>
      <c r="I61" s="6">
        <f>SUMIF('Total Electric Download'!A:A,A61,'Total Electric Download'!E:E)</f>
        <v>0</v>
      </c>
      <c r="J61" s="6">
        <f t="shared" si="18"/>
        <v>7239.04</v>
      </c>
      <c r="K61" s="81"/>
      <c r="L61" s="181">
        <f>I61+J61+K61</f>
        <v>7239.04</v>
      </c>
      <c r="M61" s="7"/>
    </row>
    <row r="62" spans="1:13">
      <c r="A62" s="1">
        <v>568</v>
      </c>
      <c r="B62" s="7">
        <f>'Total Electric Download'!G45</f>
        <v>434484</v>
      </c>
      <c r="C62" s="7">
        <f>SUMIF('Total Electric Download'!A:A,A62,'Total Electric Download'!D:D)</f>
        <v>434179</v>
      </c>
      <c r="D62" s="7"/>
      <c r="E62" s="7">
        <f>SUMIF('Total Electric Download'!A:A,A62,'Total Electric Download'!F:F)</f>
        <v>0</v>
      </c>
      <c r="F62" s="6">
        <f t="shared" si="16"/>
        <v>280957.23</v>
      </c>
      <c r="G62" s="181">
        <f t="shared" si="17"/>
        <v>280957.23</v>
      </c>
      <c r="H62" s="7"/>
      <c r="I62" s="6">
        <f>SUMIF('Total Electric Download'!A:A,A62,'Total Electric Download'!E:E)</f>
        <v>305</v>
      </c>
      <c r="J62" s="6">
        <f t="shared" si="18"/>
        <v>153221.76999999999</v>
      </c>
      <c r="K62" s="81"/>
      <c r="L62" s="181">
        <f t="shared" si="19"/>
        <v>153526.76999999999</v>
      </c>
      <c r="M62" s="7"/>
    </row>
    <row r="63" spans="1:13">
      <c r="A63" s="1">
        <v>569</v>
      </c>
      <c r="B63" s="7">
        <f>'Total Electric Download'!G46</f>
        <v>267141</v>
      </c>
      <c r="C63" s="7">
        <f>SUMIF('Total Electric Download'!A:A,A63,'Total Electric Download'!D:D)</f>
        <v>262460</v>
      </c>
      <c r="D63" s="7"/>
      <c r="E63" s="7">
        <f>SUMIF('Total Electric Download'!A:A,A63,'Total Electric Download'!F:F)</f>
        <v>1368</v>
      </c>
      <c r="F63" s="6">
        <f t="shared" si="16"/>
        <v>169837.87</v>
      </c>
      <c r="G63" s="181">
        <f t="shared" si="17"/>
        <v>171205.87</v>
      </c>
      <c r="H63" s="7"/>
      <c r="I63" s="6">
        <f>SUMIF('Total Electric Download'!A:A,A63,'Total Electric Download'!E:E)</f>
        <v>3313</v>
      </c>
      <c r="J63" s="6">
        <f t="shared" si="18"/>
        <v>92622.13</v>
      </c>
      <c r="K63" s="81"/>
      <c r="L63" s="181">
        <f t="shared" si="19"/>
        <v>95935.13</v>
      </c>
      <c r="M63" s="7"/>
    </row>
    <row r="64" spans="1:13">
      <c r="A64" s="1">
        <v>570</v>
      </c>
      <c r="B64" s="7">
        <f>'Total Electric Download'!G47</f>
        <v>640663</v>
      </c>
      <c r="C64" s="7">
        <f>SUMIF('Total Electric Download'!A:A,A64,'Total Electric Download'!D:D)</f>
        <v>632486</v>
      </c>
      <c r="D64" s="7"/>
      <c r="E64" s="7">
        <f>SUMIF('Total Electric Download'!A:A,A64,'Total Electric Download'!F:F)</f>
        <v>7539</v>
      </c>
      <c r="F64" s="6">
        <f t="shared" si="16"/>
        <v>409281.69</v>
      </c>
      <c r="G64" s="181">
        <f t="shared" si="17"/>
        <v>416820.69</v>
      </c>
      <c r="H64" s="7"/>
      <c r="I64" s="6">
        <f>SUMIF('Total Electric Download'!A:A,A64,'Total Electric Download'!E:E)</f>
        <v>638</v>
      </c>
      <c r="J64" s="6">
        <f t="shared" si="18"/>
        <v>223204.31</v>
      </c>
      <c r="K64" s="81"/>
      <c r="L64" s="181">
        <f t="shared" si="19"/>
        <v>223842.31</v>
      </c>
      <c r="M64" s="7"/>
    </row>
    <row r="65" spans="1:13">
      <c r="A65" s="1">
        <v>571</v>
      </c>
      <c r="B65" s="7">
        <f>'Total Electric Download'!G48</f>
        <v>38195</v>
      </c>
      <c r="C65" s="7">
        <f>SUMIF('Total Electric Download'!A:A,A65,'Total Electric Download'!D:D)</f>
        <v>36310</v>
      </c>
      <c r="D65" s="7"/>
      <c r="E65" s="7">
        <f>SUMIF('Total Electric Download'!A:A,A65,'Total Electric Download'!F:F)</f>
        <v>1071</v>
      </c>
      <c r="F65" s="6">
        <f t="shared" si="16"/>
        <v>23496.2</v>
      </c>
      <c r="G65" s="181">
        <f t="shared" si="17"/>
        <v>24567.200000000001</v>
      </c>
      <c r="H65" s="7"/>
      <c r="I65" s="6">
        <f>SUMIF('Total Electric Download'!A:A,A65,'Total Electric Download'!E:E)</f>
        <v>814</v>
      </c>
      <c r="J65" s="6">
        <f t="shared" si="18"/>
        <v>12813.8</v>
      </c>
      <c r="K65" s="81"/>
      <c r="L65" s="181">
        <f t="shared" si="19"/>
        <v>13627.8</v>
      </c>
      <c r="M65" s="7"/>
    </row>
    <row r="66" spans="1:13">
      <c r="A66" s="1">
        <v>572</v>
      </c>
      <c r="B66" s="7">
        <f>'Total Electric Download'!G49</f>
        <v>4568</v>
      </c>
      <c r="C66" s="7">
        <f>SUMIF('Total Electric Download'!A:A,A66,'Total Electric Download'!D:D)</f>
        <v>4367</v>
      </c>
      <c r="D66" s="7"/>
      <c r="E66" s="7">
        <f>SUMIF('Total Electric Download'!A:A,A66,'Total Electric Download'!F:F)</f>
        <v>0</v>
      </c>
      <c r="F66" s="6">
        <f t="shared" si="16"/>
        <v>2825.89</v>
      </c>
      <c r="G66" s="181">
        <f t="shared" si="17"/>
        <v>2825.89</v>
      </c>
      <c r="H66" s="7"/>
      <c r="I66" s="6">
        <f>SUMIF('Total Electric Download'!A:A,A66,'Total Electric Download'!E:E)</f>
        <v>201</v>
      </c>
      <c r="J66" s="6">
        <f t="shared" si="18"/>
        <v>1541.11</v>
      </c>
      <c r="K66" s="81"/>
      <c r="L66" s="181">
        <f t="shared" si="19"/>
        <v>1742.11</v>
      </c>
      <c r="M66" s="7"/>
    </row>
    <row r="67" spans="1:13">
      <c r="A67" s="1">
        <v>573</v>
      </c>
      <c r="B67" s="7">
        <f>'Total Electric Download'!G50</f>
        <v>26850</v>
      </c>
      <c r="C67" s="7">
        <f>SUMIF('Total Electric Download'!A:A,A67,'Total Electric Download'!D:D)</f>
        <v>24786</v>
      </c>
      <c r="D67" s="7"/>
      <c r="E67" s="7">
        <f>SUMIF('Total Electric Download'!A:A,A67,'Total Electric Download'!F:F)</f>
        <v>2064</v>
      </c>
      <c r="F67" s="6">
        <f t="shared" si="16"/>
        <v>16039.02</v>
      </c>
      <c r="G67" s="181">
        <f t="shared" si="17"/>
        <v>18103.02</v>
      </c>
      <c r="H67" s="7"/>
      <c r="I67" s="6">
        <f>SUMIF('Total Electric Download'!A:A,A67,'Total Electric Download'!E:E)</f>
        <v>0</v>
      </c>
      <c r="J67" s="6">
        <f t="shared" si="18"/>
        <v>8746.98</v>
      </c>
      <c r="K67" s="81"/>
      <c r="L67" s="181">
        <f t="shared" si="19"/>
        <v>8746.98</v>
      </c>
      <c r="M67" s="7"/>
    </row>
    <row r="68" spans="1:13">
      <c r="A68" s="2" t="s">
        <v>3</v>
      </c>
      <c r="B68" s="42">
        <f t="shared" ref="B68:J68" si="20">SUM(B55:B67)</f>
        <v>4680023</v>
      </c>
      <c r="C68" s="112">
        <f>SUM(C55:C67)</f>
        <v>4662710</v>
      </c>
      <c r="D68" s="112"/>
      <c r="E68" s="112">
        <f t="shared" si="20"/>
        <v>12042</v>
      </c>
      <c r="F68" s="112">
        <f t="shared" si="20"/>
        <v>3017239.65</v>
      </c>
      <c r="G68" s="182">
        <f t="shared" si="20"/>
        <v>3029281.65</v>
      </c>
      <c r="H68" s="112"/>
      <c r="I68" s="112">
        <f t="shared" si="20"/>
        <v>5271</v>
      </c>
      <c r="J68" s="112">
        <f t="shared" si="20"/>
        <v>1645470.35</v>
      </c>
      <c r="K68" s="113"/>
      <c r="L68" s="182">
        <f>SUM(L55:L67)</f>
        <v>1650741.35</v>
      </c>
      <c r="M68" s="7"/>
    </row>
    <row r="69" spans="1:13" ht="9.9499999999999993" customHeight="1">
      <c r="B69" s="7"/>
      <c r="C69" s="6"/>
      <c r="D69" s="7"/>
      <c r="E69" s="6"/>
      <c r="F69" s="6"/>
      <c r="G69" s="181"/>
      <c r="H69" s="7"/>
      <c r="I69" s="6"/>
      <c r="J69" s="6"/>
      <c r="K69" s="81"/>
      <c r="L69" s="181"/>
      <c r="M69" s="7"/>
    </row>
    <row r="70" spans="1:13">
      <c r="A70" s="2" t="s">
        <v>4</v>
      </c>
      <c r="B70" s="7"/>
      <c r="C70" s="6"/>
      <c r="D70" s="7"/>
      <c r="E70" s="6"/>
      <c r="F70" s="6"/>
      <c r="G70" s="181"/>
      <c r="H70" s="7"/>
      <c r="I70" s="6"/>
      <c r="J70" s="6"/>
      <c r="K70" s="81"/>
      <c r="L70" s="181"/>
      <c r="M70" s="7"/>
    </row>
    <row r="71" spans="1:13">
      <c r="A71" s="1">
        <v>580</v>
      </c>
      <c r="B71" s="7">
        <f>'Total Electric Download'!G51</f>
        <v>2385970</v>
      </c>
      <c r="C71" s="7">
        <f>SUMIF('Total Electric Download'!A:A,A71,'Total Electric Download'!D:D)</f>
        <v>1659407</v>
      </c>
      <c r="D71" s="7"/>
      <c r="E71" s="7">
        <f>SUMIF('Total Electric Download'!A:A,A71,'Total Electric Download'!F:F)</f>
        <v>496453</v>
      </c>
      <c r="F71" s="6">
        <f t="shared" ref="F71:F89" si="21">C71*$C$130</f>
        <v>1106376.43</v>
      </c>
      <c r="G71" s="181">
        <f t="shared" ref="G71:G89" si="22">E71+F71</f>
        <v>1602829.43</v>
      </c>
      <c r="H71" s="7"/>
      <c r="I71" s="6">
        <f>SUMIF('Total Electric Download'!A:A,A71,'Total Electric Download'!E:E)</f>
        <v>230110</v>
      </c>
      <c r="J71" s="6">
        <f t="shared" ref="J71:J89" si="23">C71*$E$130</f>
        <v>553030.56999999995</v>
      </c>
      <c r="K71" s="81"/>
      <c r="L71" s="181">
        <f t="shared" ref="L71:L89" si="24">I71+J71+K71</f>
        <v>783140.57</v>
      </c>
      <c r="M71" s="7"/>
    </row>
    <row r="72" spans="1:13">
      <c r="A72" s="1">
        <v>581</v>
      </c>
      <c r="B72" s="7">
        <f>'Total Electric Download'!G52</f>
        <v>325980</v>
      </c>
      <c r="C72" s="7">
        <f>SUMIF('Total Electric Download'!A:A,A72,'Total Electric Download'!D:D)</f>
        <v>0</v>
      </c>
      <c r="D72" s="7"/>
      <c r="E72" s="7">
        <f>SUMIF('Total Electric Download'!A:A,A72,'Total Electric Download'!F:F)</f>
        <v>0</v>
      </c>
      <c r="F72" s="6">
        <f t="shared" si="21"/>
        <v>0</v>
      </c>
      <c r="G72" s="181">
        <f t="shared" si="22"/>
        <v>0</v>
      </c>
      <c r="H72" s="7"/>
      <c r="I72" s="6">
        <f>SUMIF('Total Electric Download'!A:A,A72,'Total Electric Download'!E:E)</f>
        <v>0</v>
      </c>
      <c r="J72" s="6">
        <f t="shared" si="23"/>
        <v>0</v>
      </c>
      <c r="K72" s="81"/>
      <c r="L72" s="181">
        <f t="shared" si="24"/>
        <v>0</v>
      </c>
      <c r="M72" s="7"/>
    </row>
    <row r="73" spans="1:13">
      <c r="A73" s="1">
        <v>582</v>
      </c>
      <c r="B73" s="7">
        <f>'Total Electric Download'!G53</f>
        <v>958760</v>
      </c>
      <c r="C73" s="7">
        <f>SUMIF('Total Electric Download'!A:A,A73,'Total Electric Download'!D:D)</f>
        <v>36950</v>
      </c>
      <c r="D73" s="7"/>
      <c r="E73" s="7">
        <f>SUMIF('Total Electric Download'!A:A,A73,'Total Electric Download'!F:F)</f>
        <v>146682</v>
      </c>
      <c r="F73" s="6">
        <f t="shared" si="21"/>
        <v>24635.67</v>
      </c>
      <c r="G73" s="181">
        <f t="shared" si="22"/>
        <v>171317.67</v>
      </c>
      <c r="H73" s="7"/>
      <c r="I73" s="6">
        <f>SUMIF('Total Electric Download'!A:A,A73,'Total Electric Download'!E:E)</f>
        <v>142348</v>
      </c>
      <c r="J73" s="6">
        <f t="shared" si="23"/>
        <v>12314.33</v>
      </c>
      <c r="K73" s="81"/>
      <c r="L73" s="181">
        <f t="shared" si="24"/>
        <v>154662.32999999999</v>
      </c>
      <c r="M73" s="7"/>
    </row>
    <row r="74" spans="1:13">
      <c r="A74" s="1">
        <v>583</v>
      </c>
      <c r="B74" s="7">
        <f>'Total Electric Download'!G54</f>
        <v>548097</v>
      </c>
      <c r="C74" s="7">
        <f>SUMIF('Total Electric Download'!A:A,A74,'Total Electric Download'!D:D)</f>
        <v>287462</v>
      </c>
      <c r="D74" s="7"/>
      <c r="E74" s="7">
        <f>SUMIF('Total Electric Download'!A:A,A74,'Total Electric Download'!F:F)</f>
        <v>440017</v>
      </c>
      <c r="F74" s="6">
        <f t="shared" si="21"/>
        <v>191659.54</v>
      </c>
      <c r="G74" s="181">
        <f t="shared" si="22"/>
        <v>631676.54</v>
      </c>
      <c r="H74" s="7"/>
      <c r="I74" s="6">
        <f>SUMIF('Total Electric Download'!A:A,A74,'Total Electric Download'!E:E)</f>
        <v>231281</v>
      </c>
      <c r="J74" s="6">
        <f t="shared" si="23"/>
        <v>95802.46</v>
      </c>
      <c r="K74" s="81"/>
      <c r="L74" s="181">
        <f t="shared" si="24"/>
        <v>327083.46000000002</v>
      </c>
      <c r="M74" s="7"/>
    </row>
    <row r="75" spans="1:13">
      <c r="A75" s="1">
        <v>584</v>
      </c>
      <c r="B75" s="7">
        <f>'Total Electric Download'!G55</f>
        <v>-100</v>
      </c>
      <c r="C75" s="7">
        <f>SUMIF('Total Electric Download'!A:A,A75,'Total Electric Download'!D:D)</f>
        <v>0</v>
      </c>
      <c r="D75" s="7"/>
      <c r="E75" s="7">
        <f>SUMIF('Total Electric Download'!A:A,A75,'Total Electric Download'!F:F)</f>
        <v>385322</v>
      </c>
      <c r="F75" s="6">
        <f t="shared" si="21"/>
        <v>0</v>
      </c>
      <c r="G75" s="181">
        <f t="shared" si="22"/>
        <v>385322</v>
      </c>
      <c r="H75" s="7"/>
      <c r="I75" s="6">
        <f>SUMIF('Total Electric Download'!A:A,A75,'Total Electric Download'!E:E)</f>
        <v>162675</v>
      </c>
      <c r="J75" s="6">
        <f t="shared" si="23"/>
        <v>0</v>
      </c>
      <c r="K75" s="81"/>
      <c r="L75" s="181">
        <f t="shared" si="24"/>
        <v>162675</v>
      </c>
      <c r="M75" s="7"/>
    </row>
    <row r="76" spans="1:13">
      <c r="A76" s="1">
        <v>585</v>
      </c>
      <c r="B76" s="7">
        <f>'Total Electric Download'!G56</f>
        <v>15037</v>
      </c>
      <c r="C76" s="7">
        <f>SUMIF('Total Electric Download'!A:A,A76,'Total Electric Download'!D:D)</f>
        <v>0</v>
      </c>
      <c r="D76" s="7"/>
      <c r="E76" s="7">
        <f>SUMIF('Total Electric Download'!A:A,A76,'Total Electric Download'!F:F)</f>
        <v>6729</v>
      </c>
      <c r="F76" s="6">
        <f t="shared" si="21"/>
        <v>0</v>
      </c>
      <c r="G76" s="181">
        <f t="shared" si="22"/>
        <v>6729</v>
      </c>
      <c r="H76" s="7"/>
      <c r="I76" s="6">
        <f>SUMIF('Total Electric Download'!A:A,A76,'Total Electric Download'!E:E)</f>
        <v>8308</v>
      </c>
      <c r="J76" s="6">
        <f t="shared" si="23"/>
        <v>0</v>
      </c>
      <c r="K76" s="81"/>
      <c r="L76" s="181">
        <f t="shared" si="24"/>
        <v>8308</v>
      </c>
      <c r="M76" s="7"/>
    </row>
    <row r="77" spans="1:13">
      <c r="A77" s="1">
        <v>586</v>
      </c>
      <c r="B77" s="7">
        <f>'Total Electric Download'!G57</f>
        <v>1054565</v>
      </c>
      <c r="C77" s="7">
        <f>SUMIF('Total Electric Download'!A:A,A77,'Total Electric Download'!D:D)</f>
        <v>30315</v>
      </c>
      <c r="D77" s="7"/>
      <c r="E77" s="7">
        <f>SUMIF('Total Electric Download'!A:A,A77,'Total Electric Download'!F:F)</f>
        <v>830593</v>
      </c>
      <c r="F77" s="6">
        <f t="shared" si="21"/>
        <v>20211.919999999998</v>
      </c>
      <c r="G77" s="181">
        <f t="shared" si="22"/>
        <v>850804.92</v>
      </c>
      <c r="H77" s="7"/>
      <c r="I77" s="6">
        <f>SUMIF('Total Electric Download'!A:A,A77,'Total Electric Download'!E:E)</f>
        <v>193657</v>
      </c>
      <c r="J77" s="6">
        <f t="shared" si="23"/>
        <v>10103.08</v>
      </c>
      <c r="K77" s="81"/>
      <c r="L77" s="181">
        <f t="shared" si="24"/>
        <v>203760.08</v>
      </c>
      <c r="M77" s="7"/>
    </row>
    <row r="78" spans="1:13">
      <c r="A78" s="1">
        <v>587</v>
      </c>
      <c r="B78" s="7">
        <f>'Total Electric Download'!G58</f>
        <v>391265</v>
      </c>
      <c r="C78" s="7">
        <f>SUMIF('Total Electric Download'!A:A,A78,'Total Electric Download'!D:D)</f>
        <v>77119</v>
      </c>
      <c r="D78" s="7"/>
      <c r="E78" s="7">
        <f>SUMIF('Total Electric Download'!A:A,A78,'Total Electric Download'!F:F)</f>
        <v>169924</v>
      </c>
      <c r="F78" s="6">
        <f t="shared" si="21"/>
        <v>51417.55</v>
      </c>
      <c r="G78" s="181">
        <f t="shared" si="22"/>
        <v>221341.55</v>
      </c>
      <c r="H78" s="7"/>
      <c r="I78" s="6">
        <f>SUMIF('Total Electric Download'!A:A,A78,'Total Electric Download'!E:E)</f>
        <v>144222</v>
      </c>
      <c r="J78" s="6">
        <f t="shared" si="23"/>
        <v>25701.45</v>
      </c>
      <c r="K78" s="81"/>
      <c r="L78" s="181">
        <f t="shared" si="24"/>
        <v>169923.45</v>
      </c>
      <c r="M78" s="7"/>
    </row>
    <row r="79" spans="1:13">
      <c r="A79" s="1">
        <v>588</v>
      </c>
      <c r="B79" s="7">
        <f>'Total Electric Download'!G59</f>
        <v>4296418</v>
      </c>
      <c r="C79" s="7">
        <f>SUMIF('Total Electric Download'!A:A,A79,'Total Electric Download'!D:D)</f>
        <v>1897962</v>
      </c>
      <c r="D79" s="7"/>
      <c r="E79" s="7">
        <f>SUMIF('Total Electric Download'!A:A,A79,'Total Electric Download'!F:F)</f>
        <v>1531335</v>
      </c>
      <c r="F79" s="6">
        <f t="shared" si="21"/>
        <v>1265428.2</v>
      </c>
      <c r="G79" s="181">
        <f t="shared" si="22"/>
        <v>2796763.2</v>
      </c>
      <c r="H79" s="7"/>
      <c r="I79" s="6">
        <f>SUMIF('Total Electric Download'!A:A,A79,'Total Electric Download'!E:E)</f>
        <v>867121</v>
      </c>
      <c r="J79" s="6">
        <f t="shared" si="23"/>
        <v>632533.80000000005</v>
      </c>
      <c r="K79" s="81"/>
      <c r="L79" s="181">
        <f t="shared" si="24"/>
        <v>1499654.8</v>
      </c>
      <c r="M79" s="7"/>
    </row>
    <row r="80" spans="1:13">
      <c r="A80" s="1">
        <v>589</v>
      </c>
      <c r="B80" s="7">
        <f>'Total Electric Download'!G60</f>
        <v>17697</v>
      </c>
      <c r="C80" s="7">
        <f>SUMIF('Total Electric Download'!A:A,A80,'Total Electric Download'!D:D)</f>
        <v>17537</v>
      </c>
      <c r="D80" s="7"/>
      <c r="E80" s="7">
        <f>SUMIF('Total Electric Download'!A:A,A80,'Total Electric Download'!F:F)</f>
        <v>160</v>
      </c>
      <c r="F80" s="6">
        <f t="shared" si="21"/>
        <v>11692.44</v>
      </c>
      <c r="G80" s="181">
        <f t="shared" si="22"/>
        <v>11852.44</v>
      </c>
      <c r="H80" s="7"/>
      <c r="I80" s="6">
        <f>SUMIF('Total Electric Download'!A:A,A80,'Total Electric Download'!E:E)</f>
        <v>0</v>
      </c>
      <c r="J80" s="6">
        <f t="shared" si="23"/>
        <v>5844.56</v>
      </c>
      <c r="K80" s="81"/>
      <c r="L80" s="181">
        <f t="shared" si="24"/>
        <v>5844.56</v>
      </c>
      <c r="M80" s="7"/>
    </row>
    <row r="81" spans="1:13">
      <c r="A81" s="1">
        <v>590</v>
      </c>
      <c r="B81" s="7">
        <f>'Total Electric Download'!G61</f>
        <v>509402</v>
      </c>
      <c r="C81" s="7">
        <f>SUMIF('Total Electric Download'!A:A,A81,'Total Electric Download'!D:D)</f>
        <v>436525</v>
      </c>
      <c r="D81" s="7"/>
      <c r="E81" s="7">
        <f>SUMIF('Total Electric Download'!A:A,A81,'Total Electric Download'!F:F)</f>
        <v>45129</v>
      </c>
      <c r="F81" s="6">
        <f t="shared" si="21"/>
        <v>291044.31</v>
      </c>
      <c r="G81" s="181">
        <f t="shared" si="22"/>
        <v>336173.31</v>
      </c>
      <c r="H81" s="7"/>
      <c r="I81" s="6">
        <f>SUMIF('Total Electric Download'!A:A,A81,'Total Electric Download'!E:E)</f>
        <v>27748</v>
      </c>
      <c r="J81" s="6">
        <f t="shared" si="23"/>
        <v>145480.69</v>
      </c>
      <c r="K81" s="81"/>
      <c r="L81" s="181">
        <f t="shared" si="24"/>
        <v>173228.69</v>
      </c>
      <c r="M81" s="7"/>
    </row>
    <row r="82" spans="1:13">
      <c r="A82" s="1">
        <v>591</v>
      </c>
      <c r="B82" s="7">
        <f>'Total Electric Download'!G62</f>
        <v>167373</v>
      </c>
      <c r="C82" s="7">
        <f>SUMIF('Total Electric Download'!A:A,A82,'Total Electric Download'!D:D)</f>
        <v>0</v>
      </c>
      <c r="D82" s="7"/>
      <c r="E82" s="7">
        <f>SUMIF('Total Electric Download'!A:A,A82,'Total Electric Download'!F:F)</f>
        <v>107275</v>
      </c>
      <c r="F82" s="6">
        <f t="shared" si="21"/>
        <v>0</v>
      </c>
      <c r="G82" s="181">
        <f t="shared" si="22"/>
        <v>107275</v>
      </c>
      <c r="H82" s="7"/>
      <c r="I82" s="6">
        <f>SUMIF('Total Electric Download'!A:A,A82,'Total Electric Download'!E:E)</f>
        <v>60098</v>
      </c>
      <c r="J82" s="6">
        <f t="shared" si="23"/>
        <v>0</v>
      </c>
      <c r="K82" s="81"/>
      <c r="L82" s="181">
        <f t="shared" si="24"/>
        <v>60098</v>
      </c>
      <c r="M82" s="7"/>
    </row>
    <row r="83" spans="1:13">
      <c r="A83" s="1">
        <v>592</v>
      </c>
      <c r="B83" s="7">
        <f>'Total Electric Download'!G63</f>
        <v>475277</v>
      </c>
      <c r="C83" s="7">
        <f>SUMIF('Total Electric Download'!A:A,A83,'Total Electric Download'!D:D)</f>
        <v>48134</v>
      </c>
      <c r="D83" s="7"/>
      <c r="E83" s="7">
        <f>SUMIF('Total Electric Download'!A:A,A83,'Total Electric Download'!F:F)</f>
        <v>331247</v>
      </c>
      <c r="F83" s="6">
        <f t="shared" si="21"/>
        <v>32092.38</v>
      </c>
      <c r="G83" s="181">
        <f t="shared" si="22"/>
        <v>363339.38</v>
      </c>
      <c r="H83" s="7"/>
      <c r="I83" s="6">
        <f>SUMIF('Total Electric Download'!A:A,A83,'Total Electric Download'!E:E)</f>
        <v>95896</v>
      </c>
      <c r="J83" s="6">
        <f t="shared" si="23"/>
        <v>16041.62</v>
      </c>
      <c r="K83" s="81"/>
      <c r="L83" s="181">
        <f t="shared" si="24"/>
        <v>111937.62</v>
      </c>
      <c r="M83" s="7"/>
    </row>
    <row r="84" spans="1:13">
      <c r="A84" s="1">
        <v>593</v>
      </c>
      <c r="B84" s="7">
        <f>'Total Electric Download'!G64</f>
        <v>1501488</v>
      </c>
      <c r="C84" s="7">
        <f>SUMIF('Total Electric Download'!A:A,A84,'Total Electric Download'!D:D)</f>
        <v>0</v>
      </c>
      <c r="D84" s="7"/>
      <c r="E84" s="7">
        <f>SUMIF('Total Electric Download'!A:A,A84,'Total Electric Download'!F:F)</f>
        <v>983860</v>
      </c>
      <c r="F84" s="6">
        <f t="shared" si="21"/>
        <v>0</v>
      </c>
      <c r="G84" s="181">
        <f t="shared" si="22"/>
        <v>983860</v>
      </c>
      <c r="H84" s="7"/>
      <c r="I84" s="6">
        <f>SUMIF('Total Electric Download'!A:A,A84,'Total Electric Download'!E:E)</f>
        <v>517628</v>
      </c>
      <c r="J84" s="6">
        <f t="shared" si="23"/>
        <v>0</v>
      </c>
      <c r="K84" s="81"/>
      <c r="L84" s="181">
        <f t="shared" si="24"/>
        <v>517628</v>
      </c>
      <c r="M84" s="7"/>
    </row>
    <row r="85" spans="1:13">
      <c r="A85" s="1">
        <v>594</v>
      </c>
      <c r="B85" s="7">
        <f>'Total Electric Download'!G65</f>
        <v>583789</v>
      </c>
      <c r="C85" s="7">
        <f>SUMIF('Total Electric Download'!A:A,A85,'Total Electric Download'!D:D)</f>
        <v>0</v>
      </c>
      <c r="D85" s="7"/>
      <c r="E85" s="7">
        <f>SUMIF('Total Electric Download'!A:A,A85,'Total Electric Download'!F:F)</f>
        <v>402243</v>
      </c>
      <c r="F85" s="6">
        <f t="shared" si="21"/>
        <v>0</v>
      </c>
      <c r="G85" s="181">
        <f t="shared" si="22"/>
        <v>402243</v>
      </c>
      <c r="H85" s="7"/>
      <c r="I85" s="6">
        <f>SUMIF('Total Electric Download'!A:A,A85,'Total Electric Download'!E:E)</f>
        <v>181546</v>
      </c>
      <c r="J85" s="6">
        <f t="shared" si="23"/>
        <v>0</v>
      </c>
      <c r="K85" s="81"/>
      <c r="L85" s="181">
        <f t="shared" si="24"/>
        <v>181546</v>
      </c>
      <c r="M85" s="7"/>
    </row>
    <row r="86" spans="1:13">
      <c r="A86" s="1">
        <v>595</v>
      </c>
      <c r="B86" s="7">
        <f>'Total Electric Download'!G66</f>
        <v>414062</v>
      </c>
      <c r="C86" s="7">
        <f>SUMIF('Total Electric Download'!A:A,A86,'Total Electric Download'!D:D)</f>
        <v>194456</v>
      </c>
      <c r="D86" s="7"/>
      <c r="E86" s="7">
        <f>SUMIF('Total Electric Download'!A:A,A86,'Total Electric Download'!F:F)</f>
        <v>162843</v>
      </c>
      <c r="F86" s="6">
        <f t="shared" si="21"/>
        <v>129649.65</v>
      </c>
      <c r="G86" s="181">
        <f t="shared" si="22"/>
        <v>292492.65000000002</v>
      </c>
      <c r="H86" s="7"/>
      <c r="I86" s="6">
        <f>SUMIF('Total Electric Download'!A:A,A86,'Total Electric Download'!E:E)</f>
        <v>56763</v>
      </c>
      <c r="J86" s="6">
        <f>C86*$E$130</f>
        <v>64806.35</v>
      </c>
      <c r="K86" s="81"/>
      <c r="L86" s="181">
        <f t="shared" si="24"/>
        <v>121569.35</v>
      </c>
      <c r="M86" s="7"/>
    </row>
    <row r="87" spans="1:13">
      <c r="A87" s="1">
        <v>596</v>
      </c>
      <c r="B87" s="7">
        <f>'Total Electric Download'!G67</f>
        <v>338137</v>
      </c>
      <c r="C87" s="7">
        <f>SUMIF('Total Electric Download'!A:A,A87,'Total Electric Download'!D:D)</f>
        <v>0</v>
      </c>
      <c r="D87" s="7"/>
      <c r="E87" s="7">
        <f>SUMIF('Total Electric Download'!A:A,A87,'Total Electric Download'!F:F)</f>
        <v>234206</v>
      </c>
      <c r="F87" s="6">
        <f t="shared" si="21"/>
        <v>0</v>
      </c>
      <c r="G87" s="181">
        <f t="shared" si="22"/>
        <v>234206</v>
      </c>
      <c r="H87" s="7"/>
      <c r="I87" s="6">
        <f>SUMIF('Total Electric Download'!A:A,A87,'Total Electric Download'!E:E)</f>
        <v>103931</v>
      </c>
      <c r="J87" s="6">
        <f t="shared" si="23"/>
        <v>0</v>
      </c>
      <c r="K87" s="81"/>
      <c r="L87" s="181">
        <f t="shared" si="24"/>
        <v>103931</v>
      </c>
      <c r="M87" s="7"/>
    </row>
    <row r="88" spans="1:13">
      <c r="A88" s="1">
        <v>597</v>
      </c>
      <c r="B88" s="7">
        <f>'Total Electric Download'!G68</f>
        <v>13190</v>
      </c>
      <c r="C88" s="7">
        <f>SUMIF('Total Electric Download'!A:A,A88,'Total Electric Download'!D:D)</f>
        <v>0</v>
      </c>
      <c r="D88" s="7"/>
      <c r="E88" s="7">
        <f>SUMIF('Total Electric Download'!A:A,A88,'Total Electric Download'!F:F)</f>
        <v>8414</v>
      </c>
      <c r="F88" s="6">
        <f t="shared" si="21"/>
        <v>0</v>
      </c>
      <c r="G88" s="181">
        <f t="shared" si="22"/>
        <v>8414</v>
      </c>
      <c r="H88" s="7"/>
      <c r="I88" s="6">
        <f>SUMIF('Total Electric Download'!A:A,A88,'Total Electric Download'!E:E)</f>
        <v>4776</v>
      </c>
      <c r="J88" s="6">
        <f t="shared" si="23"/>
        <v>0</v>
      </c>
      <c r="K88" s="81"/>
      <c r="L88" s="181">
        <f t="shared" si="24"/>
        <v>4776</v>
      </c>
      <c r="M88" s="7"/>
    </row>
    <row r="89" spans="1:13">
      <c r="A89" s="1">
        <v>598</v>
      </c>
      <c r="B89" s="7">
        <f>'Total Electric Download'!G69</f>
        <v>231410</v>
      </c>
      <c r="C89" s="7">
        <f>SUMIF('Total Electric Download'!A:A,A89,'Total Electric Download'!D:D)</f>
        <v>56539</v>
      </c>
      <c r="D89" s="7"/>
      <c r="E89" s="7">
        <f>SUMIF('Total Electric Download'!A:A,A89,'Total Electric Download'!F:F)</f>
        <v>130973</v>
      </c>
      <c r="F89" s="6">
        <f t="shared" si="21"/>
        <v>37696.25</v>
      </c>
      <c r="G89" s="181">
        <f t="shared" si="22"/>
        <v>168669.25</v>
      </c>
      <c r="H89" s="7"/>
      <c r="I89" s="6">
        <f>SUMIF('Total Electric Download'!A:A,A89,'Total Electric Download'!E:E)</f>
        <v>43898</v>
      </c>
      <c r="J89" s="6">
        <f t="shared" si="23"/>
        <v>18842.75</v>
      </c>
      <c r="K89" s="81"/>
      <c r="L89" s="181">
        <f t="shared" si="24"/>
        <v>62740.75</v>
      </c>
      <c r="M89" s="7"/>
    </row>
    <row r="90" spans="1:13">
      <c r="A90" s="2" t="s">
        <v>5</v>
      </c>
      <c r="B90" s="42">
        <f t="shared" ref="B90:J90" si="25">SUM(B71:B89)</f>
        <v>14227817</v>
      </c>
      <c r="C90" s="112">
        <f>SUM(C71:C89)</f>
        <v>4742406</v>
      </c>
      <c r="D90" s="112"/>
      <c r="E90" s="112">
        <f t="shared" si="25"/>
        <v>6413405</v>
      </c>
      <c r="F90" s="112">
        <f t="shared" si="25"/>
        <v>3161904.34</v>
      </c>
      <c r="G90" s="182">
        <f t="shared" si="25"/>
        <v>9575309.3399999999</v>
      </c>
      <c r="H90" s="112"/>
      <c r="I90" s="112">
        <f t="shared" si="25"/>
        <v>3072006</v>
      </c>
      <c r="J90" s="112">
        <f t="shared" si="25"/>
        <v>1580501.66</v>
      </c>
      <c r="K90" s="113"/>
      <c r="L90" s="182">
        <f>SUM(L71:L89)</f>
        <v>4652507.66</v>
      </c>
      <c r="M90" s="7"/>
    </row>
    <row r="91" spans="1:13">
      <c r="B91" s="7"/>
      <c r="C91" s="63"/>
      <c r="D91" s="78"/>
      <c r="E91" s="63"/>
      <c r="F91" s="63"/>
      <c r="G91" s="181"/>
      <c r="H91" s="78"/>
      <c r="I91" s="63"/>
      <c r="J91" s="63"/>
      <c r="K91" s="114"/>
      <c r="L91" s="181"/>
      <c r="M91" s="7"/>
    </row>
    <row r="92" spans="1:13">
      <c r="A92" s="2" t="s">
        <v>6</v>
      </c>
      <c r="B92" s="7"/>
      <c r="C92" s="6"/>
      <c r="D92" s="7"/>
      <c r="E92" s="6"/>
      <c r="F92" s="6"/>
      <c r="G92" s="181"/>
      <c r="H92" s="7"/>
      <c r="I92" s="6"/>
      <c r="J92" s="6"/>
      <c r="K92" s="81"/>
      <c r="L92" s="181"/>
      <c r="M92" s="7"/>
    </row>
    <row r="93" spans="1:13">
      <c r="A93" s="1">
        <v>901</v>
      </c>
      <c r="B93" s="7">
        <f>'Total Electric Download'!G70</f>
        <v>209106</v>
      </c>
      <c r="C93" s="7">
        <f>SUMIF('Total Electric Download'!A:A,A93,'Total Electric Download'!D:D)</f>
        <v>209106</v>
      </c>
      <c r="D93" s="7"/>
      <c r="E93" s="7">
        <f>SUMIF('Total Electric Download'!A:A,A93,'Total Electric Download'!F:F)</f>
        <v>0</v>
      </c>
      <c r="F93" s="6">
        <f>C93*$C$129</f>
        <v>137328.26999999999</v>
      </c>
      <c r="G93" s="181">
        <f>E93+F93</f>
        <v>137328.26999999999</v>
      </c>
      <c r="H93" s="7"/>
      <c r="I93" s="6">
        <f>SUMIF('Total Electric Download'!A:A,A93,'Total Electric Download'!E:E)</f>
        <v>0</v>
      </c>
      <c r="J93" s="6">
        <f>C93*$E$129</f>
        <v>71777.73</v>
      </c>
      <c r="K93" s="81"/>
      <c r="L93" s="181">
        <f>I93+J93+K93</f>
        <v>71777.73</v>
      </c>
      <c r="M93" s="7"/>
    </row>
    <row r="94" spans="1:13">
      <c r="A94" s="1">
        <v>902</v>
      </c>
      <c r="B94" s="7">
        <f>'Total Electric Download'!G71</f>
        <v>1619065</v>
      </c>
      <c r="C94" s="7">
        <f>SUMIF('Total Electric Download'!A:A,A94,'Total Electric Download'!D:D)</f>
        <v>107360</v>
      </c>
      <c r="D94" s="7"/>
      <c r="E94" s="7">
        <f>SUMIF('Total Electric Download'!A:A,A94,'Total Electric Download'!F:F)</f>
        <v>1370414</v>
      </c>
      <c r="F94" s="6">
        <f>C94*$C$129</f>
        <v>70507.61</v>
      </c>
      <c r="G94" s="181">
        <f>E94+F94</f>
        <v>1440921.61</v>
      </c>
      <c r="H94" s="7"/>
      <c r="I94" s="6">
        <f>SUMIF('Total Electric Download'!A:A,A94,'Total Electric Download'!E:E)</f>
        <v>141291</v>
      </c>
      <c r="J94" s="6">
        <f>C94*$E$129</f>
        <v>36852.39</v>
      </c>
      <c r="K94" s="81"/>
      <c r="L94" s="181">
        <f>I94+J94+K94</f>
        <v>178143.39</v>
      </c>
      <c r="M94" s="7"/>
    </row>
    <row r="95" spans="1:13">
      <c r="A95" s="1">
        <v>903</v>
      </c>
      <c r="B95" s="7">
        <f>'Total Electric Download'!G72</f>
        <v>4220794</v>
      </c>
      <c r="C95" s="7">
        <f>SUMIF('Total Electric Download'!A:A,A95,'Total Electric Download'!D:D)</f>
        <v>3559589</v>
      </c>
      <c r="D95" s="7"/>
      <c r="E95" s="7">
        <f>SUMIF('Total Electric Download'!A:A,A95,'Total Electric Download'!F:F)</f>
        <v>433756</v>
      </c>
      <c r="F95" s="6">
        <f>C95*$C$129</f>
        <v>2337724.48</v>
      </c>
      <c r="G95" s="181">
        <f>E95+F95</f>
        <v>2771480.48</v>
      </c>
      <c r="H95" s="7"/>
      <c r="I95" s="6">
        <f>SUMIF('Total Electric Download'!A:A,A95,'Total Electric Download'!E:E)</f>
        <v>227449</v>
      </c>
      <c r="J95" s="6">
        <f>C95*$E$129</f>
        <v>1221864.52</v>
      </c>
      <c r="K95" s="81"/>
      <c r="L95" s="181">
        <f>I95+J95+K95</f>
        <v>1449313.52</v>
      </c>
      <c r="M95" s="7"/>
    </row>
    <row r="96" spans="1:13">
      <c r="A96" s="1">
        <v>905</v>
      </c>
      <c r="B96" s="7">
        <f>'Total Electric Download'!G73</f>
        <v>109788</v>
      </c>
      <c r="C96" s="7">
        <f>SUMIF('Total Electric Download'!A:A,A96,'Total Electric Download'!D:D)</f>
        <v>109788</v>
      </c>
      <c r="D96" s="7"/>
      <c r="E96" s="7">
        <f>SUMIF('Total Electric Download'!A:A,A96,'Total Electric Download'!F:F)</f>
        <v>0</v>
      </c>
      <c r="F96" s="6">
        <f>C96*$C$129</f>
        <v>72102.17</v>
      </c>
      <c r="G96" s="181">
        <f>E96+F96</f>
        <v>72102.17</v>
      </c>
      <c r="H96" s="7"/>
      <c r="I96" s="6">
        <f>SUMIF('Total Electric Download'!A:A,A96,'Total Electric Download'!E:E)</f>
        <v>0</v>
      </c>
      <c r="J96" s="6">
        <f>C96*$E$129</f>
        <v>37685.83</v>
      </c>
      <c r="K96" s="81"/>
      <c r="L96" s="181">
        <f>I96+J96+K96</f>
        <v>37685.83</v>
      </c>
      <c r="M96" s="7"/>
    </row>
    <row r="97" spans="1:13">
      <c r="A97" s="2" t="s">
        <v>7</v>
      </c>
      <c r="B97" s="42">
        <f t="shared" ref="B97:J97" si="26">SUM(B93:B96)</f>
        <v>6158753</v>
      </c>
      <c r="C97" s="42">
        <f>SUM(C93:C96)</f>
        <v>3985843</v>
      </c>
      <c r="D97" s="112"/>
      <c r="E97" s="42">
        <f t="shared" si="26"/>
        <v>1804170</v>
      </c>
      <c r="F97" s="42">
        <f t="shared" si="26"/>
        <v>2617662.5299999998</v>
      </c>
      <c r="G97" s="182">
        <f t="shared" si="26"/>
        <v>4421832.53</v>
      </c>
      <c r="H97" s="42"/>
      <c r="I97" s="42">
        <f t="shared" si="26"/>
        <v>368740</v>
      </c>
      <c r="J97" s="42">
        <f t="shared" si="26"/>
        <v>1368180.47</v>
      </c>
      <c r="K97" s="82"/>
      <c r="L97" s="182">
        <f>SUM(L93:L96)</f>
        <v>1736920.47</v>
      </c>
      <c r="M97" s="7"/>
    </row>
    <row r="98" spans="1:13">
      <c r="B98" s="7"/>
      <c r="C98" s="6"/>
      <c r="D98" s="7"/>
      <c r="E98" s="6"/>
      <c r="F98" s="6"/>
      <c r="G98" s="181"/>
      <c r="H98" s="7"/>
      <c r="I98" s="6"/>
      <c r="J98" s="6"/>
      <c r="K98" s="81"/>
      <c r="L98" s="181"/>
      <c r="M98" s="7"/>
    </row>
    <row r="99" spans="1:13">
      <c r="A99" s="2" t="s">
        <v>8</v>
      </c>
      <c r="B99" s="7"/>
      <c r="C99" s="6"/>
      <c r="D99" s="7"/>
      <c r="E99" s="6"/>
      <c r="F99" s="6"/>
      <c r="G99" s="181"/>
      <c r="H99" s="7"/>
      <c r="I99" s="6"/>
      <c r="J99" s="6"/>
      <c r="K99" s="81"/>
      <c r="L99" s="181"/>
      <c r="M99" s="7"/>
    </row>
    <row r="100" spans="1:13">
      <c r="A100" s="1">
        <v>908</v>
      </c>
      <c r="B100" s="7">
        <f>'Total Electric Download'!G74</f>
        <v>402521</v>
      </c>
      <c r="C100" s="7">
        <f>SUMIF('Total Electric Download'!A:A,A100,'Total Electric Download'!D:D)</f>
        <v>212194</v>
      </c>
      <c r="D100" s="7"/>
      <c r="E100" s="7">
        <f>SUMIF('Total Electric Download'!A:A,A100,'Total Electric Download'!F:F)</f>
        <v>139732</v>
      </c>
      <c r="F100" s="6">
        <f>C100*$C$129</f>
        <v>139356.29</v>
      </c>
      <c r="G100" s="181">
        <f>E100+F100</f>
        <v>279088.28999999998</v>
      </c>
      <c r="H100" s="7"/>
      <c r="I100" s="6">
        <f>SUMIF('Total Electric Download'!A:A,A100,'Total Electric Download'!E:E)</f>
        <v>50595</v>
      </c>
      <c r="J100" s="6">
        <f>C100*$E$129</f>
        <v>72837.710000000006</v>
      </c>
      <c r="K100" s="81"/>
      <c r="L100" s="181">
        <f>I100+J100+K100</f>
        <v>123432.71</v>
      </c>
      <c r="M100" s="7"/>
    </row>
    <row r="101" spans="1:13">
      <c r="A101" s="1">
        <v>909</v>
      </c>
      <c r="B101" s="7">
        <f>'Total Electric Download'!G75</f>
        <v>194357</v>
      </c>
      <c r="C101" s="7">
        <f>SUMIF('Total Electric Download'!A:A,A101,'Total Electric Download'!D:D)</f>
        <v>194357</v>
      </c>
      <c r="D101" s="7"/>
      <c r="E101" s="7">
        <f>SUMIF('Total Electric Download'!A:A,A101,'Total Electric Download'!F:F)</f>
        <v>0</v>
      </c>
      <c r="F101" s="6">
        <f>C101*$C$129</f>
        <v>127642.02</v>
      </c>
      <c r="G101" s="181">
        <f>E101+F101</f>
        <v>127642.02</v>
      </c>
      <c r="H101" s="7"/>
      <c r="I101" s="6">
        <f>SUMIF('Total Electric Download'!A:A,A101,'Total Electric Download'!E:E)</f>
        <v>0</v>
      </c>
      <c r="J101" s="6">
        <f>C101*$E$129</f>
        <v>66714.98</v>
      </c>
      <c r="K101" s="81"/>
      <c r="L101" s="181">
        <f>I101+J101+K101</f>
        <v>66714.98</v>
      </c>
      <c r="M101" s="7"/>
    </row>
    <row r="102" spans="1:13">
      <c r="A102" s="1">
        <v>910</v>
      </c>
      <c r="B102" s="7">
        <f>'Total Electric Download'!G76</f>
        <v>-402</v>
      </c>
      <c r="C102" s="7">
        <f>SUMIF('Total Electric Download'!A:A,A102,'Total Electric Download'!D:D)</f>
        <v>-402</v>
      </c>
      <c r="D102" s="7"/>
      <c r="E102" s="7">
        <f>SUMIF('Total Electric Download'!A:A,A102,'Total Electric Download'!F:F)</f>
        <v>0</v>
      </c>
      <c r="F102" s="6">
        <f>C102*$C$129</f>
        <v>-264.01</v>
      </c>
      <c r="G102" s="181">
        <f>E102+F102</f>
        <v>-264.01</v>
      </c>
      <c r="H102" s="7"/>
      <c r="I102" s="6">
        <f>SUMIF('Total Electric Download'!A:A,A102,'Total Electric Download'!E:E)</f>
        <v>0</v>
      </c>
      <c r="J102" s="6">
        <f>C102*$E$129</f>
        <v>-137.99</v>
      </c>
      <c r="K102" s="81"/>
      <c r="L102" s="181">
        <f>I102+J102+K102</f>
        <v>-137.99</v>
      </c>
      <c r="M102" s="7"/>
    </row>
    <row r="103" spans="1:13">
      <c r="A103" s="2" t="s">
        <v>9</v>
      </c>
      <c r="B103" s="42">
        <f>SUM(B100:B102)</f>
        <v>596476</v>
      </c>
      <c r="C103" s="42">
        <f>SUM(C100:C102)</f>
        <v>406149</v>
      </c>
      <c r="D103" s="112"/>
      <c r="E103" s="42">
        <f>SUM(E100:E102)</f>
        <v>139732</v>
      </c>
      <c r="F103" s="42">
        <f>SUM(F100:F102)</f>
        <v>266734.3</v>
      </c>
      <c r="G103" s="182">
        <f>SUM(G100:G102)</f>
        <v>406466.3</v>
      </c>
      <c r="H103" s="42"/>
      <c r="I103" s="42">
        <f>SUM(I100:I102)</f>
        <v>50595</v>
      </c>
      <c r="J103" s="42">
        <f>SUM(J100:J102)</f>
        <v>139414.70000000001</v>
      </c>
      <c r="K103" s="82"/>
      <c r="L103" s="182">
        <f>SUM(L100:L102)</f>
        <v>190009.7</v>
      </c>
      <c r="M103" s="7"/>
    </row>
    <row r="104" spans="1:13">
      <c r="B104" s="7"/>
      <c r="C104" s="6"/>
      <c r="D104" s="7"/>
      <c r="E104" s="6"/>
      <c r="F104" s="6"/>
      <c r="G104" s="181"/>
      <c r="H104" s="7"/>
      <c r="I104" s="6"/>
      <c r="J104" s="6"/>
      <c r="K104" s="81"/>
      <c r="L104" s="181"/>
      <c r="M104" s="7"/>
    </row>
    <row r="105" spans="1:13">
      <c r="A105" s="2" t="s">
        <v>10</v>
      </c>
      <c r="B105" s="7"/>
      <c r="C105" s="6"/>
      <c r="D105" s="7"/>
      <c r="E105" s="6"/>
      <c r="F105" s="6"/>
      <c r="G105" s="181"/>
      <c r="H105" s="7"/>
      <c r="I105" s="6"/>
      <c r="J105" s="6"/>
      <c r="K105" s="81"/>
      <c r="L105" s="181"/>
      <c r="M105" s="7"/>
    </row>
    <row r="106" spans="1:13">
      <c r="A106" s="1">
        <v>911</v>
      </c>
      <c r="B106" s="7">
        <f>SUMIF('Total Electric Download'!A:A,A106,'Total Electric Download'!G:G)</f>
        <v>0</v>
      </c>
      <c r="C106" s="7">
        <f>SUMIF('Total Electric Download'!A:A,A106,'Total Electric Download'!D:D)</f>
        <v>0</v>
      </c>
      <c r="D106" s="7"/>
      <c r="E106" s="7">
        <f>SUMIF('Total Electric Download'!A:A,A106,'Total Electric Download'!F:F)</f>
        <v>0</v>
      </c>
      <c r="F106" s="6">
        <f>C106*$C$129</f>
        <v>0</v>
      </c>
      <c r="G106" s="181">
        <f>E106+F106</f>
        <v>0</v>
      </c>
      <c r="H106" s="7"/>
      <c r="I106" s="6">
        <f>SUMIF('Total Electric Download'!A:A,A106,'Total Electric Download'!E:E)</f>
        <v>0</v>
      </c>
      <c r="J106" s="6">
        <f>C106*$E$129</f>
        <v>0</v>
      </c>
      <c r="K106" s="81"/>
      <c r="L106" s="181">
        <f>I106+J106+K106</f>
        <v>0</v>
      </c>
      <c r="M106" s="7"/>
    </row>
    <row r="107" spans="1:13">
      <c r="A107" s="1">
        <v>912</v>
      </c>
      <c r="B107" s="7">
        <f>SUMIF('Total Electric Download'!A:A,A107,'Total Electric Download'!G:G)</f>
        <v>0</v>
      </c>
      <c r="C107" s="7">
        <f>SUMIF('Total Electric Download'!A:A,A107,'Total Electric Download'!D:D)</f>
        <v>0</v>
      </c>
      <c r="D107" s="7"/>
      <c r="E107" s="7">
        <f>SUMIF('Total Electric Download'!A:A,A107,'Total Electric Download'!F:F)</f>
        <v>0</v>
      </c>
      <c r="F107" s="6">
        <f>C107*$C$129</f>
        <v>0</v>
      </c>
      <c r="G107" s="181">
        <f>E107+F107</f>
        <v>0</v>
      </c>
      <c r="H107" s="7"/>
      <c r="I107" s="6">
        <f>SUMIF('Total Electric Download'!A:A,A107,'Total Electric Download'!E:E)</f>
        <v>0</v>
      </c>
      <c r="J107" s="6">
        <f>C107*$E$129</f>
        <v>0</v>
      </c>
      <c r="K107" s="81"/>
      <c r="L107" s="181">
        <f>I107+J107+K107</f>
        <v>0</v>
      </c>
      <c r="M107" s="7"/>
    </row>
    <row r="108" spans="1:13">
      <c r="A108" s="1">
        <v>913</v>
      </c>
      <c r="B108" s="7">
        <f>SUMIF('Total Electric Download'!A:A,A108,'Total Electric Download'!G:G)</f>
        <v>0</v>
      </c>
      <c r="C108" s="7">
        <f>SUMIF('Total Electric Download'!A:A,A108,'Total Electric Download'!D:D)</f>
        <v>0</v>
      </c>
      <c r="D108" s="7"/>
      <c r="E108" s="7">
        <f>SUMIF('Total Electric Download'!A:A,A108,'Total Electric Download'!F:F)</f>
        <v>0</v>
      </c>
      <c r="F108" s="6">
        <f>C108*$C$129</f>
        <v>0</v>
      </c>
      <c r="G108" s="181">
        <f>E108+F108</f>
        <v>0</v>
      </c>
      <c r="H108" s="7"/>
      <c r="I108" s="6">
        <f>SUMIF('Total Electric Download'!A:A,A108,'Total Electric Download'!E:E)</f>
        <v>0</v>
      </c>
      <c r="J108" s="6">
        <f>C108*$E$129</f>
        <v>0</v>
      </c>
      <c r="K108" s="81"/>
      <c r="L108" s="181">
        <f>I108+J108+K108</f>
        <v>0</v>
      </c>
      <c r="M108" s="7"/>
    </row>
    <row r="109" spans="1:13">
      <c r="A109" s="1">
        <v>916</v>
      </c>
      <c r="B109" s="7">
        <f>SUMIF('Total Electric Download'!A:A,A109,'Total Electric Download'!G:G)</f>
        <v>0</v>
      </c>
      <c r="C109" s="7">
        <f>SUMIF('Total Electric Download'!A:A,A109,'Total Electric Download'!D:D)</f>
        <v>0</v>
      </c>
      <c r="D109" s="7"/>
      <c r="E109" s="7">
        <f>SUMIF('Total Electric Download'!A:A,A109,'Total Electric Download'!F:F)</f>
        <v>0</v>
      </c>
      <c r="F109" s="6">
        <f>C109*$C$129</f>
        <v>0</v>
      </c>
      <c r="G109" s="181">
        <f>E109+F109</f>
        <v>0</v>
      </c>
      <c r="H109" s="7"/>
      <c r="I109" s="6">
        <f>SUMIF('Total Electric Download'!A:A,A109,'Total Electric Download'!E:E)</f>
        <v>0</v>
      </c>
      <c r="J109" s="6">
        <f>C109*$E$129</f>
        <v>0</v>
      </c>
      <c r="K109" s="81"/>
      <c r="L109" s="181">
        <f>I109+J109+K109</f>
        <v>0</v>
      </c>
      <c r="M109" s="7"/>
    </row>
    <row r="110" spans="1:13">
      <c r="A110" s="2" t="s">
        <v>11</v>
      </c>
      <c r="B110" s="42">
        <f t="shared" ref="B110:J110" si="27">SUM(B106:B109)</f>
        <v>0</v>
      </c>
      <c r="C110" s="42">
        <f>SUMIF('Total Electric Download'!A:A,A110,'Total Electric Download'!D:D)</f>
        <v>0</v>
      </c>
      <c r="D110" s="112"/>
      <c r="E110" s="42">
        <f t="shared" si="27"/>
        <v>0</v>
      </c>
      <c r="F110" s="42">
        <f t="shared" si="27"/>
        <v>0</v>
      </c>
      <c r="G110" s="182">
        <f t="shared" si="27"/>
        <v>0</v>
      </c>
      <c r="H110" s="42"/>
      <c r="I110" s="42">
        <f t="shared" si="27"/>
        <v>0</v>
      </c>
      <c r="J110" s="42">
        <f t="shared" si="27"/>
        <v>0</v>
      </c>
      <c r="K110" s="42"/>
      <c r="L110" s="182">
        <f>SUM(L106:L109)</f>
        <v>0</v>
      </c>
      <c r="M110" s="7"/>
    </row>
    <row r="111" spans="1:13">
      <c r="B111" s="7"/>
      <c r="C111" s="6"/>
      <c r="D111" s="7"/>
      <c r="E111" s="6"/>
      <c r="F111" s="6"/>
      <c r="G111" s="181"/>
      <c r="H111" s="7"/>
      <c r="I111" s="6"/>
      <c r="J111" s="6"/>
      <c r="K111" s="81"/>
      <c r="L111" s="181"/>
      <c r="M111" s="7"/>
    </row>
    <row r="112" spans="1:13">
      <c r="A112" s="2" t="s">
        <v>12</v>
      </c>
      <c r="B112" s="7"/>
      <c r="C112" s="6"/>
      <c r="D112" s="7"/>
      <c r="E112" s="6"/>
      <c r="F112" s="6"/>
      <c r="G112" s="181"/>
      <c r="H112" s="7"/>
      <c r="I112" s="6"/>
      <c r="J112" s="6"/>
      <c r="K112" s="81"/>
      <c r="L112" s="181"/>
      <c r="M112" s="7"/>
    </row>
    <row r="113" spans="1:13">
      <c r="A113" s="1">
        <v>920</v>
      </c>
      <c r="B113" s="7">
        <f>'Total Electric Download'!G77</f>
        <v>14500967</v>
      </c>
      <c r="C113" s="7">
        <f>SUMIF('Total Electric Download'!A:A,A113,'Total Electric Download'!D:D)</f>
        <v>14245951</v>
      </c>
      <c r="D113" s="7"/>
      <c r="E113" s="7">
        <f>SUMIF('Total Electric Download'!A:A,A113,'Total Electric Download'!F:F)</f>
        <v>171225</v>
      </c>
      <c r="F113" s="6">
        <f t="shared" ref="F113:F118" si="28">C113*$C$131</f>
        <v>9673000.7300000004</v>
      </c>
      <c r="G113" s="181">
        <f t="shared" ref="G113:G121" si="29">E113+F113</f>
        <v>9844225.7300000004</v>
      </c>
      <c r="H113" s="7"/>
      <c r="I113" s="6">
        <f>SUMIF('Total Electric Download'!A:A,A113,'Total Electric Download'!E:E)</f>
        <v>83791</v>
      </c>
      <c r="J113" s="6">
        <f t="shared" ref="J113:J118" si="30">C113*$E$131</f>
        <v>4572950.2699999996</v>
      </c>
      <c r="K113" s="81"/>
      <c r="L113" s="181">
        <f t="shared" ref="L113:L121" si="31">I113+J113+K113</f>
        <v>4656741.2699999996</v>
      </c>
      <c r="M113" s="7"/>
    </row>
    <row r="114" spans="1:13">
      <c r="A114" s="1">
        <v>921</v>
      </c>
      <c r="B114" s="7">
        <f>'Total Electric Download'!G78</f>
        <v>144471</v>
      </c>
      <c r="C114" s="7">
        <f>SUMIF('Total Electric Download'!A:A,A114,'Total Electric Download'!D:D)</f>
        <v>128730</v>
      </c>
      <c r="D114" s="7"/>
      <c r="E114" s="7">
        <f>SUMIF('Total Electric Download'!A:A,A114,'Total Electric Download'!F:F)</f>
        <v>15741</v>
      </c>
      <c r="F114" s="6">
        <f t="shared" si="28"/>
        <v>87407.67</v>
      </c>
      <c r="G114" s="181">
        <f t="shared" si="29"/>
        <v>103148.67</v>
      </c>
      <c r="H114" s="7"/>
      <c r="I114" s="6">
        <f>SUMIF('Total Electric Download'!A:A,A114,'Total Electric Download'!E:E)</f>
        <v>0</v>
      </c>
      <c r="J114" s="6">
        <f t="shared" si="30"/>
        <v>41322.33</v>
      </c>
      <c r="K114" s="81"/>
      <c r="L114" s="181">
        <f t="shared" si="31"/>
        <v>41322.33</v>
      </c>
      <c r="M114" s="7"/>
    </row>
    <row r="115" spans="1:13">
      <c r="A115" s="1">
        <v>923</v>
      </c>
      <c r="B115" s="7">
        <f>'Total Electric Download'!G79</f>
        <v>21859</v>
      </c>
      <c r="C115" s="7">
        <f>SUMIF('Total Electric Download'!A:A,A115,'Total Electric Download'!D:D)</f>
        <v>21859</v>
      </c>
      <c r="D115" s="7"/>
      <c r="E115" s="7">
        <f>SUMIF('Total Electric Download'!A:A,A115,'Total Electric Download'!F:F)</f>
        <v>0</v>
      </c>
      <c r="F115" s="6">
        <f t="shared" si="28"/>
        <v>14842.26</v>
      </c>
      <c r="G115" s="181">
        <f t="shared" si="29"/>
        <v>14842.26</v>
      </c>
      <c r="H115" s="7"/>
      <c r="I115" s="6">
        <f>SUMIF('Total Electric Download'!A:A,A115,'Total Electric Download'!E:E)</f>
        <v>0</v>
      </c>
      <c r="J115" s="6">
        <f t="shared" si="30"/>
        <v>7016.74</v>
      </c>
      <c r="K115" s="81"/>
      <c r="L115" s="181">
        <f t="shared" si="31"/>
        <v>7016.74</v>
      </c>
      <c r="M115" s="7"/>
    </row>
    <row r="116" spans="1:13">
      <c r="A116" s="1">
        <v>925</v>
      </c>
      <c r="B116" s="7">
        <f>'Total Electric Download'!G80</f>
        <v>0</v>
      </c>
      <c r="C116" s="7">
        <f>SUMIF('Total Electric Download'!A:A,A116,'Total Electric Download'!D:D)</f>
        <v>0</v>
      </c>
      <c r="D116" s="7"/>
      <c r="E116" s="7">
        <f>SUMIF('Total Electric Download'!A:A,A116,'Total Electric Download'!F:F)</f>
        <v>0</v>
      </c>
      <c r="F116" s="6">
        <f t="shared" si="28"/>
        <v>0</v>
      </c>
      <c r="G116" s="181">
        <f t="shared" si="29"/>
        <v>0</v>
      </c>
      <c r="H116" s="7"/>
      <c r="I116" s="6">
        <f>SUMIF('Total Electric Download'!A:A,A116,'Total Electric Download'!E:E)</f>
        <v>0</v>
      </c>
      <c r="J116" s="6">
        <f t="shared" si="30"/>
        <v>0</v>
      </c>
      <c r="K116" s="81"/>
      <c r="L116" s="181">
        <f t="shared" si="31"/>
        <v>0</v>
      </c>
      <c r="M116" s="7"/>
    </row>
    <row r="117" spans="1:13">
      <c r="A117" s="1">
        <v>926</v>
      </c>
      <c r="B117" s="7">
        <v>0</v>
      </c>
      <c r="C117" s="7">
        <f>SUMIF('Total Electric Download'!A:A,A117,'Total Electric Download'!D:D)</f>
        <v>0</v>
      </c>
      <c r="D117" s="7"/>
      <c r="E117" s="7">
        <f>SUMIF('Total Electric Download'!A:A,A117,'Total Electric Download'!F:F)</f>
        <v>0</v>
      </c>
      <c r="F117" s="6">
        <f t="shared" si="28"/>
        <v>0</v>
      </c>
      <c r="G117" s="181">
        <f t="shared" si="29"/>
        <v>0</v>
      </c>
      <c r="H117" s="7"/>
      <c r="I117" s="6">
        <f>SUMIF('Total Electric Download'!A:A,A117,'Total Electric Download'!E:E)</f>
        <v>0</v>
      </c>
      <c r="J117" s="6">
        <f t="shared" si="30"/>
        <v>0</v>
      </c>
      <c r="K117" s="81"/>
      <c r="L117" s="181">
        <f t="shared" si="31"/>
        <v>0</v>
      </c>
      <c r="M117" s="7"/>
    </row>
    <row r="118" spans="1:13">
      <c r="A118" s="1">
        <v>927</v>
      </c>
      <c r="B118" s="7">
        <v>0</v>
      </c>
      <c r="C118" s="7">
        <f>SUMIF('Total Electric Download'!A:A,A118,'Total Electric Download'!D:D)</f>
        <v>0</v>
      </c>
      <c r="D118" s="7"/>
      <c r="E118" s="7">
        <f>SUMIF('Total Electric Download'!A:A,A118,'Total Electric Download'!F:F)</f>
        <v>0</v>
      </c>
      <c r="F118" s="6">
        <f t="shared" si="28"/>
        <v>0</v>
      </c>
      <c r="G118" s="181">
        <f t="shared" si="29"/>
        <v>0</v>
      </c>
      <c r="H118" s="7"/>
      <c r="I118" s="6">
        <f>SUMIF('Total Electric Download'!A:A,A118,'Total Electric Download'!E:E)</f>
        <v>0</v>
      </c>
      <c r="J118" s="6">
        <f t="shared" si="30"/>
        <v>0</v>
      </c>
      <c r="K118" s="81"/>
      <c r="L118" s="181">
        <f t="shared" si="31"/>
        <v>0</v>
      </c>
      <c r="M118" s="7"/>
    </row>
    <row r="119" spans="1:13">
      <c r="A119" s="1">
        <v>928</v>
      </c>
      <c r="B119" s="7">
        <f>'Total Electric Download'!G81</f>
        <v>1136676</v>
      </c>
      <c r="C119" s="7">
        <f>SUMIF('Total Electric Download'!A:A,A119,'Total Electric Download'!D:D)</f>
        <v>429570</v>
      </c>
      <c r="D119" s="7"/>
      <c r="E119" s="7">
        <f>SUMIF('Total Electric Download'!A:A,A119,'Total Electric Download'!F:F)</f>
        <v>568190</v>
      </c>
      <c r="F119" s="6">
        <f>C119*$C$128</f>
        <v>277974.75</v>
      </c>
      <c r="G119" s="181">
        <f t="shared" si="29"/>
        <v>846164.75</v>
      </c>
      <c r="H119" s="7"/>
      <c r="I119" s="6">
        <f>SUMIF('Total Electric Download'!A:A,A119,'Total Electric Download'!E:E)</f>
        <v>138916</v>
      </c>
      <c r="J119" s="6">
        <f>C119*$E$128</f>
        <v>151595.25</v>
      </c>
      <c r="K119" s="81"/>
      <c r="L119" s="181">
        <f t="shared" si="31"/>
        <v>290511.25</v>
      </c>
      <c r="M119" s="7"/>
    </row>
    <row r="120" spans="1:13">
      <c r="A120" s="1">
        <v>930</v>
      </c>
      <c r="B120" s="7">
        <f>'Total Electric Download'!G82</f>
        <v>216747</v>
      </c>
      <c r="C120" s="7">
        <f>SUMIF('Total Electric Download'!A:A,A120,'Total Electric Download'!D:D)</f>
        <v>201140</v>
      </c>
      <c r="D120" s="7"/>
      <c r="E120" s="7">
        <f>SUMIF('Total Electric Download'!A:A,A120,'Total Electric Download'!F:F)</f>
        <v>5502</v>
      </c>
      <c r="F120" s="6">
        <f>C120*$C$131</f>
        <v>136574.06</v>
      </c>
      <c r="G120" s="181">
        <f t="shared" si="29"/>
        <v>142076.06</v>
      </c>
      <c r="H120" s="7"/>
      <c r="I120" s="6">
        <f>SUMIF('Total Electric Download'!A:A,A120,'Total Electric Download'!E:E)</f>
        <v>10105</v>
      </c>
      <c r="J120" s="6">
        <f>C120*$E$131</f>
        <v>64565.94</v>
      </c>
      <c r="K120" s="81"/>
      <c r="L120" s="181">
        <f t="shared" si="31"/>
        <v>74670.94</v>
      </c>
      <c r="M120" s="7"/>
    </row>
    <row r="121" spans="1:13">
      <c r="A121" s="1">
        <v>935</v>
      </c>
      <c r="B121" s="7">
        <f>'Total Electric Download'!G83</f>
        <v>1424642</v>
      </c>
      <c r="C121" s="7">
        <f>SUMIF('Total Electric Download'!A:A,A121,'Total Electric Download'!D:D)</f>
        <v>1358165</v>
      </c>
      <c r="D121" s="7"/>
      <c r="E121" s="7">
        <f>SUMIF('Total Electric Download'!A:A,A121,'Total Electric Download'!F:F)</f>
        <v>18411</v>
      </c>
      <c r="F121" s="6">
        <f>C121*$C$131</f>
        <v>922194.04</v>
      </c>
      <c r="G121" s="181">
        <f t="shared" si="29"/>
        <v>940605.04</v>
      </c>
      <c r="H121" s="7"/>
      <c r="I121" s="6">
        <f>SUMIF('Total Electric Download'!A:A,A121,'Total Electric Download'!E:E)</f>
        <v>48066</v>
      </c>
      <c r="J121" s="6">
        <f>C121*$E$131</f>
        <v>435970.97</v>
      </c>
      <c r="K121" s="81"/>
      <c r="L121" s="181">
        <f t="shared" si="31"/>
        <v>484036.97</v>
      </c>
      <c r="M121" s="7"/>
    </row>
    <row r="122" spans="1:13">
      <c r="A122" s="2" t="s">
        <v>107</v>
      </c>
      <c r="B122" s="112">
        <f>SUM(B113:B121)</f>
        <v>17445362</v>
      </c>
      <c r="C122" s="112">
        <f>SUM(C113:C121)</f>
        <v>16385415</v>
      </c>
      <c r="D122" s="112"/>
      <c r="E122" s="112">
        <f>SUM(E113:E121)</f>
        <v>779069</v>
      </c>
      <c r="F122" s="112">
        <f>SUM(F113:F121)</f>
        <v>11111993.51</v>
      </c>
      <c r="G122" s="182">
        <f>SUM(G113:G121)</f>
        <v>11891062.51</v>
      </c>
      <c r="H122" s="112"/>
      <c r="I122" s="112">
        <f>SUM(I113:I121)</f>
        <v>280878</v>
      </c>
      <c r="J122" s="112">
        <f>SUM(J113:J121)</f>
        <v>5273421.5</v>
      </c>
      <c r="K122" s="115"/>
      <c r="L122" s="182">
        <f>SUM(L113:L121)</f>
        <v>5554299.5</v>
      </c>
      <c r="M122" s="78"/>
    </row>
    <row r="123" spans="1:13">
      <c r="B123" s="78"/>
      <c r="C123" s="63"/>
      <c r="D123" s="78"/>
      <c r="E123" s="63"/>
      <c r="F123" s="63"/>
      <c r="G123" s="181"/>
      <c r="H123" s="78"/>
      <c r="I123" s="63"/>
      <c r="J123" s="63"/>
      <c r="K123" s="116"/>
      <c r="L123" s="181"/>
      <c r="M123" s="78"/>
    </row>
    <row r="124" spans="1:13" ht="13.5" thickBot="1">
      <c r="A124" s="2" t="s">
        <v>98</v>
      </c>
      <c r="B124" s="112">
        <f>B52+B68+B90+B97+B103+B110+B122</f>
        <v>58775444</v>
      </c>
      <c r="C124" s="112">
        <f>C52+C68+C90+C97+C103+C110+C122</f>
        <v>45788436</v>
      </c>
      <c r="D124" s="112"/>
      <c r="E124" s="112">
        <f>E52+E68+E90+E97+E103+E110+E122</f>
        <v>9209518</v>
      </c>
      <c r="F124" s="112">
        <f>F52+F68+F90+F97+F103+F110+F122</f>
        <v>30274120.640000001</v>
      </c>
      <c r="G124" s="183">
        <f>G52+G68+G90+G97+G103+G110+G122</f>
        <v>39483638.640000001</v>
      </c>
      <c r="H124" s="156"/>
      <c r="I124" s="112">
        <f>I52+I68+I90+I97+I103+I110+I122</f>
        <v>3777490</v>
      </c>
      <c r="J124" s="112">
        <f>J52+J68+J90+J97+J103+J110+J122</f>
        <v>15514315.369999999</v>
      </c>
      <c r="K124" s="115"/>
      <c r="L124" s="183">
        <f>L52+L68+L90+L97+L103+L110+L122</f>
        <v>19291805.370000001</v>
      </c>
      <c r="M124" s="78"/>
    </row>
    <row r="125" spans="1:13">
      <c r="B125" s="133">
        <f>'Total Electric Download'!G84</f>
        <v>58775444</v>
      </c>
      <c r="C125" s="133">
        <f>'Total Electric Download'!B84+'Total Electric Download'!C84</f>
        <v>45788436</v>
      </c>
      <c r="D125" s="133"/>
      <c r="E125" s="133">
        <f>'Total Electric Download'!F84</f>
        <v>9209518</v>
      </c>
      <c r="F125" s="133"/>
      <c r="G125" s="177"/>
      <c r="I125" s="133">
        <f>'Total Electric Download'!E84</f>
        <v>3777490</v>
      </c>
      <c r="J125" s="110"/>
      <c r="K125" s="111"/>
      <c r="L125" s="177"/>
    </row>
    <row r="126" spans="1:13">
      <c r="B126" s="71"/>
      <c r="C126" s="31"/>
      <c r="D126" s="71"/>
      <c r="E126" s="31"/>
      <c r="F126" s="31"/>
    </row>
    <row r="127" spans="1:13" ht="13.5" thickBot="1">
      <c r="A127" s="90" t="s">
        <v>174</v>
      </c>
      <c r="B127" s="92" t="s">
        <v>15</v>
      </c>
      <c r="C127" s="93" t="s">
        <v>104</v>
      </c>
      <c r="D127" s="130"/>
      <c r="E127" s="93" t="s">
        <v>105</v>
      </c>
      <c r="F127" s="93" t="s">
        <v>17</v>
      </c>
      <c r="J127" s="31"/>
      <c r="K127" s="2"/>
      <c r="M127" s="2"/>
    </row>
    <row r="128" spans="1:13">
      <c r="A128" s="91"/>
      <c r="B128" s="71">
        <v>1</v>
      </c>
      <c r="C128" s="94">
        <v>0.64710000000000001</v>
      </c>
      <c r="D128" s="134"/>
      <c r="E128" s="94">
        <v>0.35289999999999999</v>
      </c>
      <c r="F128" s="95">
        <f>C128+E128</f>
        <v>1</v>
      </c>
      <c r="J128" s="31"/>
      <c r="K128" s="2"/>
      <c r="M128" s="2"/>
    </row>
    <row r="129" spans="1:13">
      <c r="A129" s="31" t="s">
        <v>106</v>
      </c>
      <c r="B129" s="71">
        <v>2</v>
      </c>
      <c r="C129" s="94">
        <v>0.65673999999999999</v>
      </c>
      <c r="D129" s="134"/>
      <c r="E129" s="94">
        <v>0.34326000000000001</v>
      </c>
      <c r="F129" s="95">
        <f>C129+E129</f>
        <v>1</v>
      </c>
      <c r="J129" s="31"/>
      <c r="K129" s="2"/>
      <c r="M129" s="2"/>
    </row>
    <row r="130" spans="1:13">
      <c r="A130" s="31" t="s">
        <v>18</v>
      </c>
      <c r="B130" s="71">
        <v>3</v>
      </c>
      <c r="C130" s="94">
        <v>0.66673000000000004</v>
      </c>
      <c r="D130" s="134"/>
      <c r="E130" s="94">
        <v>0.33327000000000001</v>
      </c>
      <c r="F130" s="95">
        <f>C130+E130</f>
        <v>1</v>
      </c>
      <c r="J130" s="31"/>
      <c r="K130" s="2"/>
      <c r="M130" s="2"/>
    </row>
    <row r="131" spans="1:13">
      <c r="A131" s="31" t="s">
        <v>19</v>
      </c>
      <c r="B131" s="71">
        <v>4</v>
      </c>
      <c r="C131" s="94">
        <v>0.67900000000000005</v>
      </c>
      <c r="D131" s="134"/>
      <c r="E131" s="94">
        <v>0.32100000000000001</v>
      </c>
      <c r="F131" s="95">
        <f>C131+E131</f>
        <v>1</v>
      </c>
      <c r="J131" s="31"/>
      <c r="K131" s="2"/>
      <c r="M131" s="2"/>
    </row>
    <row r="132" spans="1:13">
      <c r="A132" s="31" t="s">
        <v>20</v>
      </c>
      <c r="C132" s="31"/>
      <c r="D132" s="135"/>
      <c r="E132" s="31"/>
      <c r="F132" s="41"/>
    </row>
    <row r="133" spans="1:13">
      <c r="C133" s="41"/>
      <c r="D133" s="135"/>
      <c r="E133" s="41"/>
      <c r="F133" s="41"/>
    </row>
    <row r="134" spans="1:13">
      <c r="A134" s="56" t="s">
        <v>121</v>
      </c>
    </row>
    <row r="135" spans="1:13">
      <c r="B135" s="7">
        <f>B124-B125</f>
        <v>0</v>
      </c>
    </row>
    <row r="136" spans="1:13" ht="13.5" thickBot="1">
      <c r="A136" s="80" t="s">
        <v>175</v>
      </c>
      <c r="C136" s="6"/>
      <c r="D136" s="7"/>
      <c r="E136" s="6"/>
    </row>
    <row r="137" spans="1:13">
      <c r="A137" s="2" t="s">
        <v>21</v>
      </c>
      <c r="G137"/>
      <c r="I137"/>
      <c r="L137"/>
    </row>
    <row r="138" spans="1:13">
      <c r="B138" s="7">
        <f>G124+L124</f>
        <v>58775444.009999998</v>
      </c>
      <c r="H138" s="63"/>
    </row>
    <row r="139" spans="1:13">
      <c r="A139" s="2" t="s">
        <v>22</v>
      </c>
      <c r="B139" s="7"/>
    </row>
    <row r="140" spans="1:13">
      <c r="B140" s="136">
        <f>'Total Electric Download'!G84</f>
        <v>58775444</v>
      </c>
      <c r="C140" s="83"/>
      <c r="D140" s="136"/>
      <c r="E140" s="83"/>
      <c r="G140" s="83"/>
      <c r="I140" s="83"/>
      <c r="L140" s="83"/>
    </row>
    <row r="141" spans="1:13">
      <c r="A141" s="2" t="s">
        <v>176</v>
      </c>
      <c r="B141" s="136">
        <f>B140-B124</f>
        <v>0</v>
      </c>
      <c r="C141" s="83"/>
      <c r="D141" s="136"/>
      <c r="E141" s="83"/>
      <c r="G141" s="83"/>
      <c r="I141" s="83"/>
      <c r="L141" s="83"/>
    </row>
    <row r="142" spans="1:13">
      <c r="A142" s="2" t="s">
        <v>177</v>
      </c>
    </row>
  </sheetData>
  <phoneticPr fontId="0" type="noConversion"/>
  <pageMargins left="0.11" right="0.5" top="0.5" bottom="0.75" header="0" footer="0"/>
  <pageSetup scale="70" orientation="landscape" r:id="rId1"/>
  <headerFooter scaleWithDoc="0" alignWithMargins="0">
    <oddHeader>&amp;CBench Request 10.1 - Attachment A&amp;RAdjustment No. 3.02 (Electric) and 
3.00 (Natural Gas)</oddHeader>
    <oddFooter>&amp;RPage &amp;P of &amp;N</oddFooter>
  </headerFooter>
  <rowBreaks count="2" manualBreakCount="2">
    <brk id="53" max="16383" man="1"/>
    <brk id="9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Q116"/>
  <sheetViews>
    <sheetView tabSelected="1" zoomScaleNormal="100" workbookViewId="0">
      <pane ySplit="8" topLeftCell="A9" activePane="bottomLeft" state="frozen"/>
      <selection activeCell="I46" sqref="I46"/>
      <selection pane="bottomLeft" activeCell="I46" sqref="I46"/>
    </sheetView>
  </sheetViews>
  <sheetFormatPr defaultColWidth="13.33203125" defaultRowHeight="12.75"/>
  <cols>
    <col min="1" max="1" width="24.1640625" style="14" customWidth="1"/>
    <col min="2" max="2" width="17.5" style="14" bestFit="1" customWidth="1"/>
    <col min="3" max="3" width="16.83203125" style="79" bestFit="1" customWidth="1"/>
    <col min="4" max="4" width="16.1640625" style="14" bestFit="1" customWidth="1"/>
    <col min="5" max="5" width="16" style="14" bestFit="1" customWidth="1"/>
    <col min="6" max="6" width="13.33203125" style="14" customWidth="1"/>
    <col min="7" max="7" width="16.1640625" style="14" bestFit="1" customWidth="1"/>
    <col min="8" max="8" width="17" style="14" bestFit="1" customWidth="1"/>
    <col min="9" max="9" width="13.6640625" style="14" customWidth="1"/>
    <col min="10" max="10" width="1.83203125" style="11" customWidth="1"/>
    <col min="11" max="11" width="6.5" style="14" customWidth="1"/>
    <col min="12" max="12" width="23.6640625" style="14" customWidth="1"/>
    <col min="13" max="13" width="6.33203125" style="14" customWidth="1"/>
    <col min="14" max="15" width="9.5" style="14" bestFit="1" customWidth="1"/>
    <col min="16" max="16" width="10.33203125" style="14" bestFit="1" customWidth="1"/>
    <col min="17" max="16384" width="13.33203125" style="14"/>
  </cols>
  <sheetData>
    <row r="1" spans="1:17">
      <c r="A1" s="13" t="str">
        <f>'AN Electric'!A1</f>
        <v>AVISTA UTILITIES</v>
      </c>
    </row>
    <row r="2" spans="1:17">
      <c r="A2" s="15" t="s">
        <v>115</v>
      </c>
    </row>
    <row r="3" spans="1:17">
      <c r="A3" s="15" t="s">
        <v>25</v>
      </c>
    </row>
    <row r="4" spans="1:17">
      <c r="A4" s="15" t="str">
        <f>'AN Electric'!A4</f>
        <v>12 Months Ending 09/30/15</v>
      </c>
    </row>
    <row r="6" spans="1:17" ht="13.5" thickBot="1"/>
    <row r="7" spans="1:17">
      <c r="A7" s="16"/>
      <c r="B7" s="16"/>
      <c r="C7" s="98"/>
      <c r="D7" s="16" t="s">
        <v>14</v>
      </c>
      <c r="E7" s="16" t="s">
        <v>15</v>
      </c>
      <c r="F7" s="170" t="s">
        <v>0</v>
      </c>
      <c r="G7" s="16" t="s">
        <v>14</v>
      </c>
      <c r="H7" s="16" t="s">
        <v>15</v>
      </c>
      <c r="I7" s="170" t="s">
        <v>0</v>
      </c>
      <c r="J7" s="12"/>
      <c r="K7" s="16"/>
      <c r="Q7" s="16"/>
    </row>
    <row r="8" spans="1:17">
      <c r="A8" s="16"/>
      <c r="B8" s="45" t="s">
        <v>0</v>
      </c>
      <c r="C8" s="241" t="s">
        <v>16</v>
      </c>
      <c r="D8" s="45" t="s">
        <v>102</v>
      </c>
      <c r="E8" s="45" t="s">
        <v>102</v>
      </c>
      <c r="F8" s="171" t="s">
        <v>102</v>
      </c>
      <c r="G8" s="45" t="s">
        <v>103</v>
      </c>
      <c r="H8" s="45" t="s">
        <v>103</v>
      </c>
      <c r="I8" s="171" t="s">
        <v>103</v>
      </c>
      <c r="J8" s="12"/>
      <c r="K8" s="16"/>
    </row>
    <row r="9" spans="1:17">
      <c r="A9" s="14" t="s">
        <v>32</v>
      </c>
      <c r="F9" s="172"/>
      <c r="I9" s="172"/>
    </row>
    <row r="10" spans="1:17">
      <c r="A10" s="15">
        <v>807</v>
      </c>
      <c r="B10" s="54">
        <f>SUMIF('Gas North Download'!A:A,A10,'Gas North Download'!F:F)</f>
        <v>0</v>
      </c>
      <c r="C10" s="242">
        <f>SUMIF('Gas North Download'!A:A,A10,'Gas North Download'!C:C)+SUMIF('Gas North Download'!A:A,A10,'Gas North Download'!B:B)</f>
        <v>0</v>
      </c>
      <c r="D10" s="40">
        <f>SUMIF('Gas North Download'!A:A,A10,'Gas North Download'!E:E)</f>
        <v>0</v>
      </c>
      <c r="E10" s="47">
        <f>C10*$C$85</f>
        <v>0</v>
      </c>
      <c r="F10" s="173">
        <f>D10+E10</f>
        <v>0</v>
      </c>
      <c r="G10" s="40">
        <f>SUMIF('Gas North Download'!A:A,A10,'Gas North Download'!D:D)</f>
        <v>0</v>
      </c>
      <c r="H10" s="47">
        <f>$C10*$D$85</f>
        <v>0</v>
      </c>
      <c r="I10" s="173">
        <f>G10+H10</f>
        <v>0</v>
      </c>
      <c r="L10" s="1"/>
    </row>
    <row r="11" spans="1:17">
      <c r="A11" s="55" t="s">
        <v>126</v>
      </c>
      <c r="B11" s="54">
        <f>SUMIF('Gas North Download'!A:A,A11,'Gas North Download'!F:F)</f>
        <v>0</v>
      </c>
      <c r="C11" s="242">
        <f>SUMIF('Gas North Download'!A:A,A11,'Gas North Download'!C:C)+SUMIF('Gas North Download'!A:A,A11,'Gas North Download'!B:B)</f>
        <v>0</v>
      </c>
      <c r="D11" s="40">
        <f>SUMIF('Gas North Download'!A:A,A11,'Gas North Download'!E:E)</f>
        <v>0</v>
      </c>
      <c r="E11" s="47">
        <f>C11*$C$81</f>
        <v>0</v>
      </c>
      <c r="F11" s="173">
        <f>D11+E11</f>
        <v>0</v>
      </c>
      <c r="G11" s="40">
        <f>SUMIF('Gas North Download'!A:A,A11,'Gas North Download'!D:D)</f>
        <v>0</v>
      </c>
      <c r="H11" s="47">
        <f>$C11*$D$81</f>
        <v>0</v>
      </c>
      <c r="I11" s="173">
        <f>G11+H11</f>
        <v>0</v>
      </c>
      <c r="L11" s="1"/>
    </row>
    <row r="12" spans="1:17">
      <c r="A12" s="15">
        <v>813</v>
      </c>
      <c r="B12" s="54">
        <f>SUMIF('Gas North Download'!A:A,A12,'Gas North Download'!F:F)</f>
        <v>566510</v>
      </c>
      <c r="C12" s="242">
        <f>SUMIF('Gas North Download'!A:A,A12,'Gas North Download'!C:C)+SUMIF('Gas North Download'!A:A,A12,'Gas North Download'!B:B)</f>
        <v>566510</v>
      </c>
      <c r="D12" s="40">
        <f>SUMIF('Gas North Download'!A:A,A12,'Gas North Download'!E:E)</f>
        <v>0</v>
      </c>
      <c r="E12" s="47">
        <f>C12*$C$85</f>
        <v>389974.15</v>
      </c>
      <c r="F12" s="173">
        <f>D12+E12</f>
        <v>389974.15</v>
      </c>
      <c r="G12" s="40">
        <f>SUMIF('Gas North Download'!A:A,A12,'Gas North Download'!D:D)</f>
        <v>0</v>
      </c>
      <c r="H12" s="47">
        <f>$C12*$D$85</f>
        <v>176535.85</v>
      </c>
      <c r="I12" s="173">
        <f>G12+H12</f>
        <v>176535.85</v>
      </c>
      <c r="L12" s="1"/>
    </row>
    <row r="13" spans="1:17">
      <c r="A13" s="14" t="s">
        <v>29</v>
      </c>
      <c r="B13" s="48">
        <f>SUM(B9:B12)</f>
        <v>566510</v>
      </c>
      <c r="C13" s="72">
        <f>SUM(C9:C12)</f>
        <v>566510</v>
      </c>
      <c r="D13" s="48">
        <f>SUM(D9:D12)</f>
        <v>0</v>
      </c>
      <c r="E13" s="48">
        <f t="shared" ref="E13:I13" si="0">SUM(E9:E12)</f>
        <v>389974.15</v>
      </c>
      <c r="F13" s="174">
        <f t="shared" si="0"/>
        <v>389974.15</v>
      </c>
      <c r="G13" s="48">
        <f>SUM(G9:G12)</f>
        <v>0</v>
      </c>
      <c r="H13" s="48">
        <f t="shared" si="0"/>
        <v>176535.85</v>
      </c>
      <c r="I13" s="174">
        <f t="shared" si="0"/>
        <v>176535.85</v>
      </c>
      <c r="J13" s="7"/>
    </row>
    <row r="14" spans="1:17">
      <c r="B14" s="47"/>
      <c r="C14" s="243"/>
      <c r="D14" s="47"/>
      <c r="E14" s="47"/>
      <c r="F14" s="173"/>
      <c r="G14" s="47"/>
      <c r="H14" s="47"/>
      <c r="I14" s="173"/>
      <c r="J14" s="7"/>
    </row>
    <row r="15" spans="1:17">
      <c r="A15" s="14" t="s">
        <v>109</v>
      </c>
      <c r="B15" s="47"/>
      <c r="C15" s="243"/>
      <c r="D15" s="47"/>
      <c r="E15" s="47"/>
      <c r="F15" s="173"/>
      <c r="G15" s="47"/>
      <c r="H15" s="47"/>
      <c r="I15" s="173"/>
      <c r="J15" s="7"/>
    </row>
    <row r="16" spans="1:17">
      <c r="A16" s="15">
        <v>814</v>
      </c>
      <c r="B16" s="54">
        <f>SUMIF('Gas North Download'!A:A,A16,'Gas North Download'!F:F)</f>
        <v>5194</v>
      </c>
      <c r="C16" s="242">
        <f>SUMIF('Gas North Download'!A:A,A16,'Gas North Download'!C:C)+SUMIF('Gas North Download'!A:A,A16,'Gas North Download'!B:B)</f>
        <v>5194</v>
      </c>
      <c r="D16" s="40">
        <f>SUMIF('Gas North Download'!A:A,A16,'Gas North Download'!E:E)</f>
        <v>0</v>
      </c>
      <c r="E16" s="47">
        <f>C16*$C$86</f>
        <v>3679.43</v>
      </c>
      <c r="F16" s="173">
        <f>D16+E16</f>
        <v>3679.43</v>
      </c>
      <c r="G16" s="40">
        <f>SUMIF('Gas North Download'!A:A,A16,'Gas North Download'!D:D)</f>
        <v>0</v>
      </c>
      <c r="H16" s="47">
        <f>$C16*$D$86</f>
        <v>1514.57</v>
      </c>
      <c r="I16" s="173">
        <f>G16+H16</f>
        <v>1514.57</v>
      </c>
      <c r="J16" s="7"/>
      <c r="L16" s="1"/>
    </row>
    <row r="17" spans="1:16">
      <c r="A17" s="15">
        <v>820</v>
      </c>
      <c r="B17" s="54">
        <f>SUMIF('Gas North Download'!A:A,A17,'Gas North Download'!F:F)</f>
        <v>0</v>
      </c>
      <c r="C17" s="242">
        <f>SUMIF('Gas North Download'!A:A,A17,'Gas North Download'!C:C)+SUMIF('Gas North Download'!A:A,A17,'Gas North Download'!B:B)</f>
        <v>0</v>
      </c>
      <c r="D17" s="40">
        <f>SUMIF('Gas North Download'!A:A,A17,'Gas North Download'!E:E)</f>
        <v>0</v>
      </c>
      <c r="E17" s="47">
        <f>C17*$C$86</f>
        <v>0</v>
      </c>
      <c r="F17" s="173">
        <f>D17+E17</f>
        <v>0</v>
      </c>
      <c r="G17" s="40">
        <f>SUMIF('Gas North Download'!A:A,A17,'Gas North Download'!D:D)</f>
        <v>0</v>
      </c>
      <c r="H17" s="47">
        <f>$C17*$D$86</f>
        <v>0</v>
      </c>
      <c r="I17" s="173">
        <f>G17+H17</f>
        <v>0</v>
      </c>
      <c r="J17" s="7"/>
      <c r="L17" s="1"/>
      <c r="N17" s="46"/>
      <c r="O17" s="46"/>
      <c r="P17" s="46"/>
    </row>
    <row r="18" spans="1:16">
      <c r="A18" s="69" t="s">
        <v>30</v>
      </c>
      <c r="B18" s="48">
        <f>SUM(B15:B17)</f>
        <v>5194</v>
      </c>
      <c r="C18" s="72">
        <f t="shared" ref="C18:I18" si="1">SUM(C15:C17)</f>
        <v>5194</v>
      </c>
      <c r="D18" s="48">
        <f>SUM(D16:D17)</f>
        <v>0</v>
      </c>
      <c r="E18" s="48">
        <f t="shared" si="1"/>
        <v>3679.43</v>
      </c>
      <c r="F18" s="174">
        <f t="shared" si="1"/>
        <v>3679.43</v>
      </c>
      <c r="G18" s="48">
        <f t="shared" si="1"/>
        <v>0</v>
      </c>
      <c r="H18" s="48">
        <f t="shared" si="1"/>
        <v>1514.57</v>
      </c>
      <c r="I18" s="174">
        <f t="shared" si="1"/>
        <v>1514.57</v>
      </c>
      <c r="J18" s="7"/>
      <c r="L18" s="15"/>
      <c r="N18" s="46"/>
      <c r="O18" s="46"/>
      <c r="P18" s="46"/>
    </row>
    <row r="19" spans="1:16">
      <c r="B19" s="47"/>
      <c r="C19" s="243"/>
      <c r="D19" s="47"/>
      <c r="E19" s="47"/>
      <c r="F19" s="173"/>
      <c r="G19" s="47"/>
      <c r="H19" s="47"/>
      <c r="I19" s="173"/>
      <c r="J19" s="7"/>
    </row>
    <row r="20" spans="1:16">
      <c r="A20" s="14" t="s">
        <v>4</v>
      </c>
      <c r="B20" s="47"/>
      <c r="C20" s="243"/>
      <c r="D20" s="47"/>
      <c r="E20" s="47"/>
      <c r="F20" s="173"/>
      <c r="G20" s="47"/>
      <c r="H20" s="47"/>
      <c r="I20" s="173"/>
      <c r="J20" s="7"/>
    </row>
    <row r="21" spans="1:16">
      <c r="A21" s="15">
        <v>870</v>
      </c>
      <c r="B21" s="54">
        <f>SUMIF('Gas North Download'!A:A,A21,'Gas North Download'!F:F)</f>
        <v>841569</v>
      </c>
      <c r="C21" s="242">
        <f>SUMIF('Gas North Download'!A:A,A21,'Gas North Download'!C:C)+SUMIF('Gas North Download'!A:A,A21,'Gas North Download'!B:B)</f>
        <v>596496</v>
      </c>
      <c r="D21" s="40">
        <f>SUMIF('Gas North Download'!A:A,A21,'Gas North Download'!E:E)</f>
        <v>206566</v>
      </c>
      <c r="E21" s="47">
        <f>C21*$C$83</f>
        <v>422068.64</v>
      </c>
      <c r="F21" s="173">
        <f>D21+E21</f>
        <v>628634.64</v>
      </c>
      <c r="G21" s="40">
        <f>SUMIF('Gas North Download'!A:A,A21,'Gas North Download'!D:D)</f>
        <v>38507</v>
      </c>
      <c r="H21" s="47">
        <f>ROUND(C21*$D$83,2)</f>
        <v>174427.36</v>
      </c>
      <c r="I21" s="173">
        <f>G21+H21</f>
        <v>212934.36</v>
      </c>
      <c r="J21" s="7"/>
      <c r="L21" s="1"/>
    </row>
    <row r="22" spans="1:16">
      <c r="A22" s="15">
        <v>871</v>
      </c>
      <c r="B22" s="54">
        <f>SUMIF('Gas North Download'!A:A,A22,'Gas North Download'!F:F)</f>
        <v>0</v>
      </c>
      <c r="C22" s="242">
        <f>SUMIF('Gas North Download'!A:A,A22,'Gas North Download'!C:C)+SUMIF('Gas North Download'!A:A,A22,'Gas North Download'!B:B)</f>
        <v>0</v>
      </c>
      <c r="D22" s="40">
        <f>SUMIF('Gas North Download'!A:A,A22,'Gas North Download'!E:E)</f>
        <v>0</v>
      </c>
      <c r="E22" s="47">
        <f t="shared" ref="E22:E41" si="2">C22*$C$82</f>
        <v>0</v>
      </c>
      <c r="F22" s="173">
        <f t="shared" ref="F22:F41" si="3">D22+E22</f>
        <v>0</v>
      </c>
      <c r="G22" s="40">
        <f>SUMIF('Gas North Download'!A:A,A22,'Gas North Download'!D:D)</f>
        <v>0</v>
      </c>
      <c r="H22" s="47">
        <f t="shared" ref="H22:H41" si="4">ROUND(C22*$D$82,2)</f>
        <v>0</v>
      </c>
      <c r="I22" s="173">
        <f t="shared" ref="I22:I41" si="5">G22+H22</f>
        <v>0</v>
      </c>
      <c r="J22" s="7"/>
      <c r="L22" s="15"/>
    </row>
    <row r="23" spans="1:16">
      <c r="A23" s="15">
        <v>872</v>
      </c>
      <c r="B23" s="54">
        <f>SUMIF('Gas North Download'!A:A,A23,'Gas North Download'!F:F)</f>
        <v>0</v>
      </c>
      <c r="C23" s="242">
        <f>SUMIF('Gas North Download'!A:A,A23,'Gas North Download'!C:C)+SUMIF('Gas North Download'!A:A,A23,'Gas North Download'!B:B)</f>
        <v>0</v>
      </c>
      <c r="D23" s="40">
        <f>SUMIF('Gas North Download'!A:A,A23,'Gas North Download'!E:E)</f>
        <v>0</v>
      </c>
      <c r="E23" s="47">
        <f t="shared" si="2"/>
        <v>0</v>
      </c>
      <c r="F23" s="173">
        <f t="shared" si="3"/>
        <v>0</v>
      </c>
      <c r="G23" s="40">
        <f>SUMIF('Gas North Download'!A:A,A23,'Gas North Download'!D:D)</f>
        <v>0</v>
      </c>
      <c r="H23" s="47">
        <f t="shared" si="4"/>
        <v>0</v>
      </c>
      <c r="I23" s="173">
        <f t="shared" si="5"/>
        <v>0</v>
      </c>
      <c r="J23" s="7"/>
      <c r="L23" s="15"/>
    </row>
    <row r="24" spans="1:16">
      <c r="A24" s="15">
        <v>874</v>
      </c>
      <c r="B24" s="54">
        <f>SUMIF('Gas North Download'!A:A,A24,'Gas North Download'!F:F)</f>
        <v>1408760</v>
      </c>
      <c r="C24" s="242">
        <f>SUMIF('Gas North Download'!A:A,A24,'Gas North Download'!C:C)+SUMIF('Gas North Download'!A:A,A24,'Gas North Download'!B:B)</f>
        <v>511041</v>
      </c>
      <c r="D24" s="40">
        <f>SUMIF('Gas North Download'!A:A,A24,'Gas North Download'!E:E)</f>
        <v>752043</v>
      </c>
      <c r="E24" s="47">
        <f t="shared" si="2"/>
        <v>344308.76</v>
      </c>
      <c r="F24" s="173">
        <f t="shared" si="3"/>
        <v>1096351.76</v>
      </c>
      <c r="G24" s="40">
        <f>SUMIF('Gas North Download'!A:A,A24,'Gas North Download'!D:D)</f>
        <v>145676</v>
      </c>
      <c r="H24" s="47">
        <f t="shared" si="4"/>
        <v>166732.24</v>
      </c>
      <c r="I24" s="173">
        <f t="shared" si="5"/>
        <v>312408.24</v>
      </c>
      <c r="J24" s="7"/>
      <c r="L24" s="1"/>
    </row>
    <row r="25" spans="1:16">
      <c r="A25" s="15">
        <v>875</v>
      </c>
      <c r="B25" s="54">
        <f>SUMIF('Gas North Download'!A:A,A25,'Gas North Download'!F:F)</f>
        <v>48749</v>
      </c>
      <c r="C25" s="242">
        <f>SUMIF('Gas North Download'!A:A,A25,'Gas North Download'!C:C)+SUMIF('Gas North Download'!A:A,A25,'Gas North Download'!B:B)</f>
        <v>0</v>
      </c>
      <c r="D25" s="40">
        <f>SUMIF('Gas North Download'!A:A,A25,'Gas North Download'!E:E)</f>
        <v>34791</v>
      </c>
      <c r="E25" s="47">
        <f t="shared" si="2"/>
        <v>0</v>
      </c>
      <c r="F25" s="173">
        <f t="shared" si="3"/>
        <v>34791</v>
      </c>
      <c r="G25" s="40">
        <f>SUMIF('Gas North Download'!A:A,A25,'Gas North Download'!D:D)</f>
        <v>13958</v>
      </c>
      <c r="H25" s="47">
        <f t="shared" si="4"/>
        <v>0</v>
      </c>
      <c r="I25" s="173">
        <f t="shared" si="5"/>
        <v>13958</v>
      </c>
      <c r="J25" s="7"/>
      <c r="L25" s="1"/>
    </row>
    <row r="26" spans="1:16">
      <c r="A26" s="15">
        <v>876</v>
      </c>
      <c r="B26" s="54">
        <f>SUMIF('Gas North Download'!A:A,A26,'Gas North Download'!F:F)</f>
        <v>1012</v>
      </c>
      <c r="C26" s="242">
        <f>SUMIF('Gas North Download'!A:A,A26,'Gas North Download'!C:C)+SUMIF('Gas North Download'!A:A,A26,'Gas North Download'!B:B)</f>
        <v>0</v>
      </c>
      <c r="D26" s="40">
        <f>SUMIF('Gas North Download'!A:A,A26,'Gas North Download'!E:E)</f>
        <v>587</v>
      </c>
      <c r="E26" s="47">
        <f t="shared" si="2"/>
        <v>0</v>
      </c>
      <c r="F26" s="173">
        <f t="shared" si="3"/>
        <v>587</v>
      </c>
      <c r="G26" s="40">
        <f>SUMIF('Gas North Download'!A:A,A26,'Gas North Download'!D:D)</f>
        <v>425</v>
      </c>
      <c r="H26" s="47">
        <f t="shared" si="4"/>
        <v>0</v>
      </c>
      <c r="I26" s="173">
        <f t="shared" si="5"/>
        <v>425</v>
      </c>
      <c r="J26" s="7"/>
      <c r="L26" s="1"/>
    </row>
    <row r="27" spans="1:16">
      <c r="A27" s="15">
        <v>877</v>
      </c>
      <c r="B27" s="54">
        <f>SUMIF('Gas North Download'!A:A,A27,'Gas North Download'!F:F)</f>
        <v>59023</v>
      </c>
      <c r="C27" s="242">
        <f>SUMIF('Gas North Download'!A:A,A27,'Gas North Download'!C:C)+SUMIF('Gas North Download'!A:A,A27,'Gas North Download'!B:B)</f>
        <v>0</v>
      </c>
      <c r="D27" s="40">
        <f>SUMIF('Gas North Download'!A:A,A27,'Gas North Download'!E:E)</f>
        <v>32019</v>
      </c>
      <c r="E27" s="47">
        <f t="shared" si="2"/>
        <v>0</v>
      </c>
      <c r="F27" s="173">
        <f t="shared" si="3"/>
        <v>32019</v>
      </c>
      <c r="G27" s="40">
        <f>SUMIF('Gas North Download'!A:A,A27,'Gas North Download'!D:D)</f>
        <v>27004</v>
      </c>
      <c r="H27" s="47">
        <f t="shared" si="4"/>
        <v>0</v>
      </c>
      <c r="I27" s="173">
        <f t="shared" si="5"/>
        <v>27004</v>
      </c>
      <c r="J27" s="7"/>
      <c r="L27" s="1"/>
    </row>
    <row r="28" spans="1:16">
      <c r="A28" s="15">
        <v>878</v>
      </c>
      <c r="B28" s="54">
        <f>SUMIF('Gas North Download'!A:A,A28,'Gas North Download'!F:F)</f>
        <v>101950</v>
      </c>
      <c r="C28" s="242">
        <f>SUMIF('Gas North Download'!A:A,A28,'Gas North Download'!C:C)+SUMIF('Gas North Download'!A:A,A28,'Gas North Download'!B:B)</f>
        <v>36568</v>
      </c>
      <c r="D28" s="40">
        <f>SUMIF('Gas North Download'!A:A,A28,'Gas North Download'!E:E)</f>
        <v>53225</v>
      </c>
      <c r="E28" s="47">
        <f t="shared" si="2"/>
        <v>24637.32</v>
      </c>
      <c r="F28" s="173">
        <f t="shared" si="3"/>
        <v>77862.320000000007</v>
      </c>
      <c r="G28" s="40">
        <f>SUMIF('Gas North Download'!A:A,A28,'Gas North Download'!D:D)</f>
        <v>12157</v>
      </c>
      <c r="H28" s="47">
        <f t="shared" si="4"/>
        <v>11930.68</v>
      </c>
      <c r="I28" s="173">
        <f t="shared" si="5"/>
        <v>24087.68</v>
      </c>
      <c r="J28" s="7"/>
      <c r="L28" s="1"/>
    </row>
    <row r="29" spans="1:16">
      <c r="A29" s="15">
        <v>879</v>
      </c>
      <c r="B29" s="54">
        <f>SUMIF('Gas North Download'!A:A,A29,'Gas North Download'!F:F)</f>
        <v>1214513</v>
      </c>
      <c r="C29" s="242">
        <f>SUMIF('Gas North Download'!A:A,A29,'Gas North Download'!C:C)+SUMIF('Gas North Download'!A:A,A29,'Gas North Download'!B:B)</f>
        <v>88744</v>
      </c>
      <c r="D29" s="40">
        <f>SUMIF('Gas North Download'!A:A,A29,'Gas North Download'!E:E)</f>
        <v>664065</v>
      </c>
      <c r="E29" s="47">
        <f t="shared" si="2"/>
        <v>59790.38</v>
      </c>
      <c r="F29" s="173">
        <f t="shared" si="3"/>
        <v>723855.38</v>
      </c>
      <c r="G29" s="40">
        <f>SUMIF('Gas North Download'!A:A,A29,'Gas North Download'!D:D)</f>
        <v>461704</v>
      </c>
      <c r="H29" s="47">
        <f t="shared" si="4"/>
        <v>28953.62</v>
      </c>
      <c r="I29" s="173">
        <f t="shared" si="5"/>
        <v>490657.62</v>
      </c>
      <c r="J29" s="7"/>
      <c r="L29" s="1"/>
    </row>
    <row r="30" spans="1:16">
      <c r="A30" s="15">
        <v>880</v>
      </c>
      <c r="B30" s="54">
        <f>SUMIF('Gas North Download'!A:A,A30,'Gas North Download'!F:F)</f>
        <v>1072745</v>
      </c>
      <c r="C30" s="242">
        <f>SUMIF('Gas North Download'!A:A,A30,'Gas North Download'!C:C)+SUMIF('Gas North Download'!A:A,A30,'Gas North Download'!B:B)</f>
        <v>370161</v>
      </c>
      <c r="D30" s="40">
        <f>SUMIF('Gas North Download'!A:A,A30,'Gas North Download'!E:E)</f>
        <v>511946</v>
      </c>
      <c r="E30" s="47">
        <f t="shared" si="2"/>
        <v>249392.27</v>
      </c>
      <c r="F30" s="173">
        <f t="shared" si="3"/>
        <v>761338.27</v>
      </c>
      <c r="G30" s="40">
        <f>SUMIF('Gas North Download'!A:A,A30,'Gas North Download'!D:D)</f>
        <v>190638</v>
      </c>
      <c r="H30" s="47">
        <f t="shared" si="4"/>
        <v>120768.73</v>
      </c>
      <c r="I30" s="173">
        <f t="shared" si="5"/>
        <v>311406.73</v>
      </c>
      <c r="J30" s="7"/>
      <c r="L30" s="1"/>
    </row>
    <row r="31" spans="1:16">
      <c r="A31" s="15">
        <v>881</v>
      </c>
      <c r="B31" s="54">
        <f>SUMIF('Gas North Download'!A:A,A31,'Gas North Download'!F:F)</f>
        <v>7749</v>
      </c>
      <c r="C31" s="242">
        <f>SUMIF('Gas North Download'!A:A,A31,'Gas North Download'!C:C)+SUMIF('Gas North Download'!A:A,A31,'Gas North Download'!B:B)</f>
        <v>4600</v>
      </c>
      <c r="D31" s="40">
        <f>SUMIF('Gas North Download'!A:A,A31,'Gas North Download'!E:E)</f>
        <v>3149</v>
      </c>
      <c r="E31" s="47">
        <f t="shared" si="2"/>
        <v>3099.2</v>
      </c>
      <c r="F31" s="173">
        <f t="shared" si="3"/>
        <v>6248.2</v>
      </c>
      <c r="G31" s="40">
        <f>SUMIF('Gas North Download'!A:A,A31,'Gas North Download'!D:D)</f>
        <v>0</v>
      </c>
      <c r="H31" s="47">
        <f t="shared" si="4"/>
        <v>1500.8</v>
      </c>
      <c r="I31" s="173">
        <f t="shared" si="5"/>
        <v>1500.8</v>
      </c>
      <c r="J31" s="7"/>
      <c r="L31" s="1"/>
    </row>
    <row r="32" spans="1:16">
      <c r="A32" s="15">
        <v>885</v>
      </c>
      <c r="B32" s="54">
        <f>SUMIF('Gas North Download'!A:A,A32,'Gas North Download'!F:F)</f>
        <v>54159</v>
      </c>
      <c r="C32" s="242">
        <f>SUMIF('Gas North Download'!A:A,A32,'Gas North Download'!C:C)+SUMIF('Gas North Download'!A:A,A32,'Gas North Download'!B:B)</f>
        <v>0</v>
      </c>
      <c r="D32" s="40">
        <f>SUMIF('Gas North Download'!A:A,A32,'Gas North Download'!E:E)</f>
        <v>24852</v>
      </c>
      <c r="E32" s="47">
        <f t="shared" si="2"/>
        <v>0</v>
      </c>
      <c r="F32" s="173">
        <f t="shared" si="3"/>
        <v>24852</v>
      </c>
      <c r="G32" s="40">
        <f>SUMIF('Gas North Download'!A:A,A32,'Gas North Download'!D:D)</f>
        <v>29307</v>
      </c>
      <c r="H32" s="47">
        <f t="shared" si="4"/>
        <v>0</v>
      </c>
      <c r="I32" s="173">
        <f t="shared" si="5"/>
        <v>29307</v>
      </c>
      <c r="J32" s="7"/>
      <c r="L32" s="1"/>
    </row>
    <row r="33" spans="1:12">
      <c r="A33" s="15">
        <v>886</v>
      </c>
      <c r="B33" s="54">
        <f>SUMIF('Gas North Download'!A:A,A33,'Gas North Download'!F:F)</f>
        <v>0</v>
      </c>
      <c r="C33" s="242">
        <f>SUMIF('Gas North Download'!A:A,A33,'Gas North Download'!C:C)+SUMIF('Gas North Download'!A:A,A33,'Gas North Download'!B:B)</f>
        <v>0</v>
      </c>
      <c r="D33" s="40">
        <f>SUMIF('Gas North Download'!A:A,A33,'Gas North Download'!E:E)</f>
        <v>0</v>
      </c>
      <c r="E33" s="47">
        <f t="shared" si="2"/>
        <v>0</v>
      </c>
      <c r="F33" s="173">
        <f t="shared" si="3"/>
        <v>0</v>
      </c>
      <c r="G33" s="40">
        <f>SUMIF('Gas North Download'!A:A,A33,'Gas North Download'!D:D)</f>
        <v>0</v>
      </c>
      <c r="H33" s="47">
        <f t="shared" si="4"/>
        <v>0</v>
      </c>
      <c r="I33" s="173">
        <f t="shared" si="5"/>
        <v>0</v>
      </c>
      <c r="J33" s="7"/>
      <c r="L33" s="1"/>
    </row>
    <row r="34" spans="1:12">
      <c r="A34" s="15">
        <v>887</v>
      </c>
      <c r="B34" s="54">
        <f>SUMIF('Gas North Download'!A:A,A34,'Gas North Download'!F:F)</f>
        <v>685245</v>
      </c>
      <c r="C34" s="242">
        <f>SUMIF('Gas North Download'!A:A,A34,'Gas North Download'!C:C)+SUMIF('Gas North Download'!A:A,A34,'Gas North Download'!B:B)</f>
        <v>130</v>
      </c>
      <c r="D34" s="40">
        <f>SUMIF('Gas North Download'!A:A,A34,'Gas North Download'!E:E)</f>
        <v>473752</v>
      </c>
      <c r="E34" s="47">
        <f t="shared" si="2"/>
        <v>87.59</v>
      </c>
      <c r="F34" s="173">
        <f t="shared" si="3"/>
        <v>473839.59</v>
      </c>
      <c r="G34" s="40">
        <f>SUMIF('Gas North Download'!A:A,A34,'Gas North Download'!D:D)</f>
        <v>211363</v>
      </c>
      <c r="H34" s="47">
        <f t="shared" si="4"/>
        <v>42.41</v>
      </c>
      <c r="I34" s="173">
        <f t="shared" si="5"/>
        <v>211405.41</v>
      </c>
      <c r="J34" s="7"/>
      <c r="L34" s="1"/>
    </row>
    <row r="35" spans="1:12">
      <c r="A35" s="15">
        <v>888</v>
      </c>
      <c r="B35" s="54">
        <f>SUMIF('Gas North Download'!A:A,A35,'Gas North Download'!F:F)</f>
        <v>0</v>
      </c>
      <c r="C35" s="242">
        <f>SUMIF('Gas North Download'!A:A,A35,'Gas North Download'!C:C)+SUMIF('Gas North Download'!A:A,A35,'Gas North Download'!B:B)</f>
        <v>0</v>
      </c>
      <c r="D35" s="40">
        <f>SUMIF('Gas North Download'!A:A,A35,'Gas North Download'!E:E)</f>
        <v>0</v>
      </c>
      <c r="E35" s="47">
        <f t="shared" si="2"/>
        <v>0</v>
      </c>
      <c r="F35" s="173">
        <f t="shared" si="3"/>
        <v>0</v>
      </c>
      <c r="G35" s="40">
        <f>SUMIF('Gas North Download'!A:A,A35,'Gas North Download'!D:D)</f>
        <v>0</v>
      </c>
      <c r="H35" s="47">
        <f t="shared" si="4"/>
        <v>0</v>
      </c>
      <c r="I35" s="173">
        <f t="shared" si="5"/>
        <v>0</v>
      </c>
      <c r="J35" s="7"/>
      <c r="L35" s="1"/>
    </row>
    <row r="36" spans="1:12">
      <c r="A36" s="15">
        <v>889</v>
      </c>
      <c r="B36" s="54">
        <f>SUMIF('Gas North Download'!A:A,A36,'Gas North Download'!F:F)</f>
        <v>107190</v>
      </c>
      <c r="C36" s="242">
        <f>SUMIF('Gas North Download'!A:A,A36,'Gas North Download'!C:C)+SUMIF('Gas North Download'!A:A,A36,'Gas North Download'!B:B)</f>
        <v>0</v>
      </c>
      <c r="D36" s="40">
        <f>SUMIF('Gas North Download'!A:A,A36,'Gas North Download'!E:E)</f>
        <v>84005</v>
      </c>
      <c r="E36" s="47">
        <f t="shared" si="2"/>
        <v>0</v>
      </c>
      <c r="F36" s="173">
        <f t="shared" si="3"/>
        <v>84005</v>
      </c>
      <c r="G36" s="40">
        <f>SUMIF('Gas North Download'!A:A,A36,'Gas North Download'!D:D)</f>
        <v>23185</v>
      </c>
      <c r="H36" s="47">
        <f t="shared" si="4"/>
        <v>0</v>
      </c>
      <c r="I36" s="173">
        <f t="shared" si="5"/>
        <v>23185</v>
      </c>
      <c r="J36" s="7"/>
      <c r="L36" s="1"/>
    </row>
    <row r="37" spans="1:12">
      <c r="A37" s="15">
        <v>890</v>
      </c>
      <c r="B37" s="54">
        <f>SUMIF('Gas North Download'!A:A,A37,'Gas North Download'!F:F)</f>
        <v>32923</v>
      </c>
      <c r="C37" s="242">
        <f>SUMIF('Gas North Download'!A:A,A37,'Gas North Download'!C:C)+SUMIF('Gas North Download'!A:A,A37,'Gas North Download'!B:B)</f>
        <v>0</v>
      </c>
      <c r="D37" s="40">
        <f>SUMIF('Gas North Download'!A:A,A37,'Gas North Download'!E:E)</f>
        <v>10892</v>
      </c>
      <c r="E37" s="47">
        <f t="shared" si="2"/>
        <v>0</v>
      </c>
      <c r="F37" s="173">
        <f t="shared" si="3"/>
        <v>10892</v>
      </c>
      <c r="G37" s="40">
        <f>SUMIF('Gas North Download'!A:A,A37,'Gas North Download'!D:D)</f>
        <v>22031</v>
      </c>
      <c r="H37" s="47">
        <f t="shared" si="4"/>
        <v>0</v>
      </c>
      <c r="I37" s="173">
        <f t="shared" si="5"/>
        <v>22031</v>
      </c>
      <c r="J37" s="7"/>
      <c r="L37" s="1"/>
    </row>
    <row r="38" spans="1:12">
      <c r="A38" s="15">
        <v>891</v>
      </c>
      <c r="B38" s="54">
        <f>SUMIF('Gas North Download'!A:A,A38,'Gas North Download'!F:F)</f>
        <v>28496</v>
      </c>
      <c r="C38" s="242">
        <f>SUMIF('Gas North Download'!A:A,A38,'Gas North Download'!C:C)+SUMIF('Gas North Download'!A:A,A38,'Gas North Download'!B:B)</f>
        <v>0</v>
      </c>
      <c r="D38" s="40">
        <f>SUMIF('Gas North Download'!A:A,A38,'Gas North Download'!E:E)</f>
        <v>12604</v>
      </c>
      <c r="E38" s="47">
        <f t="shared" si="2"/>
        <v>0</v>
      </c>
      <c r="F38" s="173">
        <f t="shared" si="3"/>
        <v>12604</v>
      </c>
      <c r="G38" s="40">
        <f>SUMIF('Gas North Download'!A:A,A38,'Gas North Download'!D:D)</f>
        <v>15892</v>
      </c>
      <c r="H38" s="47">
        <f t="shared" si="4"/>
        <v>0</v>
      </c>
      <c r="I38" s="173">
        <f t="shared" si="5"/>
        <v>15892</v>
      </c>
      <c r="J38" s="7"/>
      <c r="L38" s="1"/>
    </row>
    <row r="39" spans="1:12">
      <c r="A39" s="15">
        <v>892</v>
      </c>
      <c r="B39" s="54">
        <f>SUMIF('Gas North Download'!A:A,A39,'Gas North Download'!F:F)</f>
        <v>709342</v>
      </c>
      <c r="C39" s="242">
        <f>SUMIF('Gas North Download'!A:A,A39,'Gas North Download'!C:C)+SUMIF('Gas North Download'!A:A,A39,'Gas North Download'!B:B)</f>
        <v>3609</v>
      </c>
      <c r="D39" s="40">
        <f>SUMIF('Gas North Download'!A:A,A39,'Gas North Download'!E:E)</f>
        <v>430399</v>
      </c>
      <c r="E39" s="47">
        <f t="shared" si="2"/>
        <v>2431.5300000000002</v>
      </c>
      <c r="F39" s="173">
        <f t="shared" si="3"/>
        <v>432830.53</v>
      </c>
      <c r="G39" s="40">
        <f>SUMIF('Gas North Download'!A:A,A39,'Gas North Download'!D:D)</f>
        <v>275334</v>
      </c>
      <c r="H39" s="47">
        <f t="shared" si="4"/>
        <v>1177.47</v>
      </c>
      <c r="I39" s="173">
        <f t="shared" si="5"/>
        <v>276511.46999999997</v>
      </c>
      <c r="J39" s="7"/>
      <c r="L39" s="1"/>
    </row>
    <row r="40" spans="1:12">
      <c r="A40" s="15">
        <v>893</v>
      </c>
      <c r="B40" s="54">
        <f>SUMIF('Gas North Download'!A:A,A40,'Gas North Download'!F:F)</f>
        <v>991296</v>
      </c>
      <c r="C40" s="242">
        <f>SUMIF('Gas North Download'!A:A,A40,'Gas North Download'!C:C)+SUMIF('Gas North Download'!A:A,A40,'Gas North Download'!B:B)</f>
        <v>334753</v>
      </c>
      <c r="D40" s="40">
        <f>SUMIF('Gas North Download'!A:A,A40,'Gas North Download'!E:E)</f>
        <v>440607</v>
      </c>
      <c r="E40" s="47">
        <f t="shared" si="2"/>
        <v>225536.49</v>
      </c>
      <c r="F40" s="173">
        <f t="shared" si="3"/>
        <v>666143.49</v>
      </c>
      <c r="G40" s="40">
        <f>SUMIF('Gas North Download'!A:A,A40,'Gas North Download'!D:D)</f>
        <v>215936</v>
      </c>
      <c r="H40" s="47">
        <f t="shared" si="4"/>
        <v>109216.51</v>
      </c>
      <c r="I40" s="173">
        <f t="shared" si="5"/>
        <v>325152.51</v>
      </c>
      <c r="J40" s="7"/>
      <c r="L40" s="1"/>
    </row>
    <row r="41" spans="1:12">
      <c r="A41" s="15">
        <v>894</v>
      </c>
      <c r="B41" s="54">
        <f>SUMIF('Gas North Download'!A:A,A41,'Gas North Download'!F:F)</f>
        <v>87219</v>
      </c>
      <c r="C41" s="242">
        <f>SUMIF('Gas North Download'!A:A,A41,'Gas North Download'!C:C)+SUMIF('Gas North Download'!A:A,A41,'Gas North Download'!B:B)</f>
        <v>87141</v>
      </c>
      <c r="D41" s="40">
        <f>SUMIF('Gas North Download'!A:A,A41,'Gas North Download'!E:E)</f>
        <v>-33</v>
      </c>
      <c r="E41" s="47">
        <f t="shared" si="2"/>
        <v>58710.38</v>
      </c>
      <c r="F41" s="173">
        <f t="shared" si="3"/>
        <v>58677.38</v>
      </c>
      <c r="G41" s="40">
        <f>SUMIF('Gas North Download'!A:A,A41,'Gas North Download'!D:D)</f>
        <v>111</v>
      </c>
      <c r="H41" s="47">
        <f t="shared" si="4"/>
        <v>28430.62</v>
      </c>
      <c r="I41" s="173">
        <f t="shared" si="5"/>
        <v>28541.62</v>
      </c>
      <c r="J41" s="7"/>
      <c r="L41" s="1"/>
    </row>
    <row r="42" spans="1:12">
      <c r="A42" s="14" t="s">
        <v>5</v>
      </c>
      <c r="B42" s="48">
        <f>SUM(B21:B41)</f>
        <v>7451940</v>
      </c>
      <c r="C42" s="72">
        <f t="shared" ref="C42:I42" si="6">SUM(C21:C41)</f>
        <v>2033243</v>
      </c>
      <c r="D42" s="48">
        <f t="shared" si="6"/>
        <v>3735469</v>
      </c>
      <c r="E42" s="48">
        <f t="shared" si="6"/>
        <v>1390062.56</v>
      </c>
      <c r="F42" s="174">
        <f t="shared" si="6"/>
        <v>5125531.5599999996</v>
      </c>
      <c r="G42" s="48">
        <f t="shared" si="6"/>
        <v>1683228</v>
      </c>
      <c r="H42" s="48">
        <f t="shared" si="6"/>
        <v>643180.43999999994</v>
      </c>
      <c r="I42" s="174">
        <f t="shared" si="6"/>
        <v>2326408.44</v>
      </c>
      <c r="J42" s="7"/>
      <c r="L42" s="1"/>
    </row>
    <row r="43" spans="1:12">
      <c r="B43" s="47"/>
      <c r="C43" s="243"/>
      <c r="D43" s="47"/>
      <c r="E43" s="47"/>
      <c r="F43" s="173"/>
      <c r="G43" s="47"/>
      <c r="H43" s="47"/>
      <c r="I43" s="173"/>
      <c r="J43" s="7"/>
      <c r="L43" s="1"/>
    </row>
    <row r="44" spans="1:12">
      <c r="A44" s="14" t="s">
        <v>6</v>
      </c>
      <c r="B44" s="47"/>
      <c r="C44" s="243"/>
      <c r="D44" s="47"/>
      <c r="E44" s="47"/>
      <c r="F44" s="173"/>
      <c r="G44" s="47"/>
      <c r="H44" s="47"/>
      <c r="I44" s="173"/>
      <c r="J44" s="7"/>
      <c r="L44" s="1"/>
    </row>
    <row r="45" spans="1:12">
      <c r="A45" s="15">
        <v>901</v>
      </c>
      <c r="B45" s="54">
        <f>SUMIF('Gas North Download'!A:A,A45,'Gas North Download'!F:F)</f>
        <v>130687</v>
      </c>
      <c r="C45" s="242">
        <f>SUMIF('Gas North Download'!A:A,A45,'Gas North Download'!C:C)+SUMIF('Gas North Download'!A:A,A45,'Gas North Download'!B:B)</f>
        <v>130687</v>
      </c>
      <c r="D45" s="40">
        <f>SUMIF('Gas North Download'!A:A,A45,'Gas North Download'!E:E)</f>
        <v>0</v>
      </c>
      <c r="E45" s="47">
        <f>C45*$C$81</f>
        <v>86655.94</v>
      </c>
      <c r="F45" s="173">
        <f>D45+E45</f>
        <v>86655.94</v>
      </c>
      <c r="G45" s="40">
        <f>SUMIF('Gas North Download'!A:A,A45,'Gas North Download'!D:D)</f>
        <v>0</v>
      </c>
      <c r="H45" s="47">
        <f>C45*$D$81</f>
        <v>44031.06</v>
      </c>
      <c r="I45" s="173">
        <f>G45+H45</f>
        <v>44031.06</v>
      </c>
      <c r="J45" s="7"/>
      <c r="L45" s="1"/>
    </row>
    <row r="46" spans="1:12">
      <c r="A46" s="15">
        <v>902</v>
      </c>
      <c r="B46" s="54">
        <f>SUMIF('Gas North Download'!A:A,A46,'Gas North Download'!F:F)</f>
        <v>1015926</v>
      </c>
      <c r="C46" s="242">
        <f>SUMIF('Gas North Download'!A:A,A46,'Gas North Download'!C:C)+SUMIF('Gas North Download'!A:A,A46,'Gas North Download'!B:B)</f>
        <v>67115</v>
      </c>
      <c r="D46" s="40">
        <f>SUMIF('Gas North Download'!A:A,A46,'Gas North Download'!E:E)</f>
        <v>860498</v>
      </c>
      <c r="E46" s="47">
        <f>C46*$C$81</f>
        <v>44502.61</v>
      </c>
      <c r="F46" s="173">
        <f>D46+E46</f>
        <v>905000.61</v>
      </c>
      <c r="G46" s="40">
        <f>SUMIF('Gas North Download'!A:A,A46,'Gas North Download'!D:D)</f>
        <v>88313</v>
      </c>
      <c r="H46" s="47">
        <f>C46*$D$81</f>
        <v>22612.39</v>
      </c>
      <c r="I46" s="173">
        <f>G46+H46</f>
        <v>110925.39</v>
      </c>
      <c r="J46" s="7"/>
      <c r="L46" s="1"/>
    </row>
    <row r="47" spans="1:12">
      <c r="A47" s="15">
        <v>903</v>
      </c>
      <c r="B47" s="54">
        <f>SUMIF('Gas North Download'!A:A,A47,'Gas North Download'!F:F)</f>
        <v>2582659</v>
      </c>
      <c r="C47" s="242">
        <f>SUMIF('Gas North Download'!A:A,A47,'Gas North Download'!C:C)+SUMIF('Gas North Download'!A:A,A47,'Gas North Download'!B:B)</f>
        <v>2222618</v>
      </c>
      <c r="D47" s="40">
        <f>SUMIF('Gas North Download'!A:A,A47,'Gas North Download'!E:E)</f>
        <v>248648</v>
      </c>
      <c r="E47" s="47">
        <f>C47*$C$81</f>
        <v>1473773.54</v>
      </c>
      <c r="F47" s="173">
        <f>D47+E47</f>
        <v>1722421.54</v>
      </c>
      <c r="G47" s="40">
        <f>SUMIF('Gas North Download'!A:A,A47,'Gas North Download'!D:D)</f>
        <v>111393</v>
      </c>
      <c r="H47" s="47">
        <f>C47*$D$81</f>
        <v>748844.46</v>
      </c>
      <c r="I47" s="173">
        <f>G47+H47</f>
        <v>860237.46</v>
      </c>
      <c r="J47" s="7"/>
      <c r="L47" s="1"/>
    </row>
    <row r="48" spans="1:12">
      <c r="A48" s="15">
        <v>905</v>
      </c>
      <c r="B48" s="54">
        <f>SUMIF('Gas North Download'!A:A,A48,'Gas North Download'!F:F)</f>
        <v>68639</v>
      </c>
      <c r="C48" s="242">
        <f>SUMIF('Gas North Download'!A:A,A48,'Gas North Download'!C:C)+SUMIF('Gas North Download'!A:A,A48,'Gas North Download'!B:B)</f>
        <v>68639</v>
      </c>
      <c r="D48" s="40">
        <f>SUMIF('Gas North Download'!A:A,A48,'Gas North Download'!E:E)</f>
        <v>0</v>
      </c>
      <c r="E48" s="47">
        <f>C48*$C$81</f>
        <v>45513.15</v>
      </c>
      <c r="F48" s="173">
        <f>D48+E48</f>
        <v>45513.15</v>
      </c>
      <c r="G48" s="40">
        <f>SUMIF('Gas North Download'!A:A,A48,'Gas North Download'!D:D)</f>
        <v>0</v>
      </c>
      <c r="H48" s="47">
        <f>C48*$D$81</f>
        <v>23125.85</v>
      </c>
      <c r="I48" s="173">
        <f>G48+H48</f>
        <v>23125.85</v>
      </c>
      <c r="J48" s="7"/>
      <c r="L48" s="1"/>
    </row>
    <row r="49" spans="1:12">
      <c r="A49" s="14" t="s">
        <v>7</v>
      </c>
      <c r="B49" s="48">
        <f>SUM(B45:B48)</f>
        <v>3797911</v>
      </c>
      <c r="C49" s="72">
        <f t="shared" ref="C49:I49" si="7">SUM(C45:C48)</f>
        <v>2489059</v>
      </c>
      <c r="D49" s="48">
        <f t="shared" si="7"/>
        <v>1109146</v>
      </c>
      <c r="E49" s="48">
        <f t="shared" si="7"/>
        <v>1650445.24</v>
      </c>
      <c r="F49" s="174">
        <f t="shared" si="7"/>
        <v>2759591.24</v>
      </c>
      <c r="G49" s="48">
        <f t="shared" si="7"/>
        <v>199706</v>
      </c>
      <c r="H49" s="48">
        <f t="shared" si="7"/>
        <v>838613.76</v>
      </c>
      <c r="I49" s="174">
        <f t="shared" si="7"/>
        <v>1038319.76</v>
      </c>
      <c r="J49" s="7"/>
    </row>
    <row r="50" spans="1:12">
      <c r="B50" s="47"/>
      <c r="C50" s="243"/>
      <c r="D50" s="47"/>
      <c r="E50" s="47"/>
      <c r="F50" s="173"/>
      <c r="G50" s="47"/>
      <c r="H50" s="47"/>
      <c r="I50" s="173"/>
      <c r="J50" s="7"/>
    </row>
    <row r="51" spans="1:12">
      <c r="A51" s="14" t="s">
        <v>8</v>
      </c>
      <c r="B51" s="47"/>
      <c r="C51" s="243"/>
      <c r="D51" s="47"/>
      <c r="E51" s="47"/>
      <c r="F51" s="173"/>
      <c r="G51" s="47"/>
      <c r="H51" s="47"/>
      <c r="I51" s="173"/>
      <c r="J51" s="7"/>
    </row>
    <row r="52" spans="1:12">
      <c r="A52" s="15">
        <v>908</v>
      </c>
      <c r="B52" s="54">
        <f>SUMIF('Gas North Download'!A:A,A52,'Gas North Download'!F:F)</f>
        <v>195785</v>
      </c>
      <c r="C52" s="242">
        <f>SUMIF('Gas North Download'!A:A,A52,'Gas North Download'!C:C)+SUMIF('Gas North Download'!A:A,A52,'Gas North Download'!B:B)</f>
        <v>76830</v>
      </c>
      <c r="D52" s="40">
        <f>SUMIF('Gas North Download'!A:A,A52,'Gas North Download'!E:E)</f>
        <v>87328</v>
      </c>
      <c r="E52" s="47">
        <f>C52*$C$81</f>
        <v>50944.44</v>
      </c>
      <c r="F52" s="173">
        <f>D52+E52</f>
        <v>138272.44</v>
      </c>
      <c r="G52" s="40">
        <f>SUMIF('Gas North Download'!A:A,A52,'Gas North Download'!D:D)</f>
        <v>31627</v>
      </c>
      <c r="H52" s="47">
        <f>C52*$D$81</f>
        <v>25885.56</v>
      </c>
      <c r="I52" s="173">
        <f>G52+H52</f>
        <v>57512.56</v>
      </c>
      <c r="J52" s="7"/>
      <c r="L52" s="1"/>
    </row>
    <row r="53" spans="1:12">
      <c r="A53" s="15">
        <v>909</v>
      </c>
      <c r="B53" s="54">
        <f>SUMIF('Gas North Download'!A:A,A53,'Gas North Download'!F:F)</f>
        <v>121469</v>
      </c>
      <c r="C53" s="242">
        <f>SUMIF('Gas North Download'!A:A,A53,'Gas North Download'!C:C)+SUMIF('Gas North Download'!A:A,A53,'Gas North Download'!B:B)</f>
        <v>121469</v>
      </c>
      <c r="D53" s="40">
        <f>SUMIF('Gas North Download'!A:A,A53,'Gas North Download'!E:E)</f>
        <v>0</v>
      </c>
      <c r="E53" s="47">
        <f>C53*$C$81</f>
        <v>80543.66</v>
      </c>
      <c r="F53" s="173">
        <f>D53+E53</f>
        <v>80543.66</v>
      </c>
      <c r="G53" s="40">
        <f>SUMIF('Gas North Download'!A:A,A53,'Gas North Download'!D:D)</f>
        <v>0</v>
      </c>
      <c r="H53" s="47">
        <f>C53*$D$81</f>
        <v>40925.339999999997</v>
      </c>
      <c r="I53" s="173">
        <f>G53+H53</f>
        <v>40925.339999999997</v>
      </c>
      <c r="J53" s="7"/>
      <c r="L53" s="1"/>
    </row>
    <row r="54" spans="1:12">
      <c r="A54" s="15">
        <v>910</v>
      </c>
      <c r="B54" s="54">
        <f>SUMIF('Gas North Download'!A:A,A54,'Gas North Download'!F:F)</f>
        <v>-251</v>
      </c>
      <c r="C54" s="242">
        <f>SUMIF('Gas North Download'!A:A,A54,'Gas North Download'!C:C)+SUMIF('Gas North Download'!A:A,A54,'Gas North Download'!B:B)</f>
        <v>-251</v>
      </c>
      <c r="D54" s="40">
        <f>SUMIF('Gas North Download'!A:A,A54,'Gas North Download'!E:E)</f>
        <v>0</v>
      </c>
      <c r="E54" s="47">
        <f>C54*$C$81</f>
        <v>-166.43</v>
      </c>
      <c r="F54" s="173">
        <f>D54+E54</f>
        <v>-166.43</v>
      </c>
      <c r="G54" s="40">
        <f>SUMIF('Gas North Download'!A:A,A54,'Gas North Download'!D:D)</f>
        <v>0</v>
      </c>
      <c r="H54" s="47">
        <f>C54*$D$81</f>
        <v>-84.57</v>
      </c>
      <c r="I54" s="173">
        <f>G54+H54</f>
        <v>-84.57</v>
      </c>
      <c r="J54" s="7"/>
      <c r="L54" s="1"/>
    </row>
    <row r="55" spans="1:12">
      <c r="A55" s="14" t="s">
        <v>9</v>
      </c>
      <c r="B55" s="48">
        <f t="shared" ref="B55:I55" si="8">SUM(B52:B54)</f>
        <v>317003</v>
      </c>
      <c r="C55" s="72">
        <f t="shared" si="8"/>
        <v>198048</v>
      </c>
      <c r="D55" s="48">
        <f t="shared" si="8"/>
        <v>87328</v>
      </c>
      <c r="E55" s="48">
        <f t="shared" si="8"/>
        <v>131321.67000000001</v>
      </c>
      <c r="F55" s="174">
        <f t="shared" si="8"/>
        <v>218649.67</v>
      </c>
      <c r="G55" s="48">
        <f t="shared" si="8"/>
        <v>31627</v>
      </c>
      <c r="H55" s="48">
        <f t="shared" si="8"/>
        <v>66726.33</v>
      </c>
      <c r="I55" s="174">
        <f t="shared" si="8"/>
        <v>98353.33</v>
      </c>
      <c r="J55" s="7"/>
    </row>
    <row r="56" spans="1:12">
      <c r="B56" s="47"/>
      <c r="C56" s="243"/>
      <c r="D56" s="47"/>
      <c r="E56" s="47"/>
      <c r="F56" s="173"/>
      <c r="G56" s="47"/>
      <c r="H56" s="47"/>
      <c r="I56" s="173"/>
      <c r="J56" s="7"/>
    </row>
    <row r="57" spans="1:12">
      <c r="A57" s="14" t="s">
        <v>10</v>
      </c>
      <c r="B57" s="47"/>
      <c r="C57" s="243"/>
      <c r="D57" s="47"/>
      <c r="E57" s="47"/>
      <c r="F57" s="173"/>
      <c r="G57" s="47"/>
      <c r="H57" s="47"/>
      <c r="I57" s="173"/>
      <c r="J57" s="7"/>
    </row>
    <row r="58" spans="1:12">
      <c r="A58" s="15">
        <v>911</v>
      </c>
      <c r="B58" s="54">
        <f>SUMIF('Gas North Download'!A:A,A58,'Gas North Download'!F:F)</f>
        <v>0</v>
      </c>
      <c r="C58" s="242">
        <f>SUMIF('Gas North Download'!A:A,A58,'Gas North Download'!C:C)+SUMIF('Gas North Download'!A:A,A58,'Gas North Download'!B:B)</f>
        <v>0</v>
      </c>
      <c r="D58" s="40">
        <f>SUMIF('Gas North Download'!A:A,A58,'Gas North Download'!E:E)</f>
        <v>0</v>
      </c>
      <c r="E58" s="47">
        <f>C58*$C$81</f>
        <v>0</v>
      </c>
      <c r="F58" s="173">
        <f>D58+E58</f>
        <v>0</v>
      </c>
      <c r="G58" s="40">
        <f>SUMIF('Gas North Download'!A:A,A58,'Gas North Download'!D:D)</f>
        <v>0</v>
      </c>
      <c r="H58" s="47">
        <f>C58*$D$81</f>
        <v>0</v>
      </c>
      <c r="I58" s="173">
        <f>G58+H58</f>
        <v>0</v>
      </c>
      <c r="J58" s="7"/>
      <c r="L58" s="1"/>
    </row>
    <row r="59" spans="1:12">
      <c r="A59" s="15">
        <v>912</v>
      </c>
      <c r="B59" s="54">
        <f>SUMIF('Gas North Download'!A:A,A59,'Gas North Download'!F:F)</f>
        <v>0</v>
      </c>
      <c r="C59" s="242">
        <f>SUMIF('Gas North Download'!A:A,A59,'Gas North Download'!C:C)+SUMIF('Gas North Download'!A:A,A59,'Gas North Download'!B:B)</f>
        <v>0</v>
      </c>
      <c r="D59" s="40">
        <f>SUMIF('Gas North Download'!A:A,A59,'Gas North Download'!E:E)</f>
        <v>0</v>
      </c>
      <c r="E59" s="47">
        <f>C59*$C$81</f>
        <v>0</v>
      </c>
      <c r="F59" s="173">
        <f>D59+E59</f>
        <v>0</v>
      </c>
      <c r="G59" s="40">
        <f>SUMIF('Gas North Download'!A:A,A59,'Gas North Download'!D:D)</f>
        <v>0</v>
      </c>
      <c r="H59" s="47">
        <f>C59*$D$81</f>
        <v>0</v>
      </c>
      <c r="I59" s="173">
        <f>G59+H59</f>
        <v>0</v>
      </c>
      <c r="J59" s="7"/>
      <c r="L59" s="1"/>
    </row>
    <row r="60" spans="1:12">
      <c r="A60" s="15">
        <v>913</v>
      </c>
      <c r="B60" s="54">
        <f>SUMIF('Gas North Download'!A:A,A60,'Gas North Download'!F:F)</f>
        <v>0</v>
      </c>
      <c r="C60" s="242">
        <f>SUMIF('Gas North Download'!A:A,A60,'Gas North Download'!C:C)+SUMIF('Gas North Download'!A:A,A60,'Gas North Download'!B:B)</f>
        <v>0</v>
      </c>
      <c r="D60" s="40">
        <f>SUMIF('Gas North Download'!A:A,A60,'Gas North Download'!E:E)</f>
        <v>0</v>
      </c>
      <c r="E60" s="47">
        <f>C60*$C$81</f>
        <v>0</v>
      </c>
      <c r="F60" s="173">
        <f>D60+E60</f>
        <v>0</v>
      </c>
      <c r="G60" s="40">
        <f>SUMIF('Gas North Download'!A:A,A60,'Gas North Download'!D:D)</f>
        <v>0</v>
      </c>
      <c r="H60" s="47">
        <f>C60*$D$81</f>
        <v>0</v>
      </c>
      <c r="I60" s="173">
        <f>G60+H60</f>
        <v>0</v>
      </c>
      <c r="J60" s="7"/>
      <c r="L60" s="1"/>
    </row>
    <row r="61" spans="1:12">
      <c r="A61" s="15">
        <v>916</v>
      </c>
      <c r="B61" s="54">
        <f>SUMIF('Gas North Download'!A:A,A61,'Gas North Download'!F:F)</f>
        <v>0</v>
      </c>
      <c r="C61" s="242">
        <f>SUMIF('Gas North Download'!A:A,A61,'Gas North Download'!C:C)+SUMIF('Gas North Download'!A:A,A61,'Gas North Download'!B:B)</f>
        <v>0</v>
      </c>
      <c r="D61" s="40">
        <f>SUMIF('Gas North Download'!A:A,A61,'Gas North Download'!E:E)</f>
        <v>0</v>
      </c>
      <c r="E61" s="47">
        <f>C61*$C$81</f>
        <v>0</v>
      </c>
      <c r="F61" s="173">
        <f>D61+E61</f>
        <v>0</v>
      </c>
      <c r="G61" s="40">
        <f>SUMIF('Gas North Download'!A:A,A61,'Gas North Download'!D:D)</f>
        <v>0</v>
      </c>
      <c r="H61" s="47">
        <f>C61*$D$81</f>
        <v>0</v>
      </c>
      <c r="I61" s="173">
        <f>G61+H61</f>
        <v>0</v>
      </c>
      <c r="J61" s="7"/>
      <c r="L61" s="1"/>
    </row>
    <row r="62" spans="1:12">
      <c r="A62" s="14" t="s">
        <v>11</v>
      </c>
      <c r="B62" s="48">
        <f>SUM(B58:B61)</f>
        <v>0</v>
      </c>
      <c r="C62" s="72">
        <f t="shared" ref="C62:I62" si="9">SUM(C58:C61)</f>
        <v>0</v>
      </c>
      <c r="D62" s="48">
        <f t="shared" si="9"/>
        <v>0</v>
      </c>
      <c r="E62" s="48">
        <f t="shared" si="9"/>
        <v>0</v>
      </c>
      <c r="F62" s="174">
        <f t="shared" si="9"/>
        <v>0</v>
      </c>
      <c r="G62" s="48">
        <f t="shared" si="9"/>
        <v>0</v>
      </c>
      <c r="H62" s="48">
        <f t="shared" si="9"/>
        <v>0</v>
      </c>
      <c r="I62" s="174">
        <f t="shared" si="9"/>
        <v>0</v>
      </c>
      <c r="J62" s="7"/>
    </row>
    <row r="63" spans="1:12">
      <c r="B63" s="47"/>
      <c r="C63" s="243"/>
      <c r="D63" s="47"/>
      <c r="E63" s="47"/>
      <c r="F63" s="173"/>
      <c r="G63" s="47"/>
      <c r="H63" s="47"/>
      <c r="I63" s="173"/>
      <c r="J63" s="48"/>
    </row>
    <row r="64" spans="1:12">
      <c r="A64" s="14" t="s">
        <v>12</v>
      </c>
      <c r="B64" s="47"/>
      <c r="C64" s="243"/>
      <c r="D64" s="47"/>
      <c r="E64" s="47"/>
      <c r="F64" s="173"/>
      <c r="G64" s="47"/>
      <c r="H64" s="47"/>
      <c r="I64" s="173"/>
      <c r="J64" s="7"/>
    </row>
    <row r="65" spans="1:12">
      <c r="A65" s="15">
        <v>920</v>
      </c>
      <c r="B65" s="54">
        <f>SUMIF('Gas North Download'!A:A,A65,'Gas North Download'!F:F)</f>
        <v>3830212</v>
      </c>
      <c r="C65" s="242">
        <f>SUMIF('Gas North Download'!A:A,A65,'Gas North Download'!C:C)+SUMIF('Gas North Download'!A:A,A65,'Gas North Download'!B:B)</f>
        <v>3763296</v>
      </c>
      <c r="D65" s="40">
        <f>SUMIF('Gas North Download'!A:A,A65,'Gas North Download'!E:E)</f>
        <v>44258</v>
      </c>
      <c r="E65" s="47">
        <f t="shared" ref="E65:E73" si="10">C65*$C$83</f>
        <v>2662832.98</v>
      </c>
      <c r="F65" s="173">
        <f t="shared" ref="F65:F73" si="11">D65+E65</f>
        <v>2707090.98</v>
      </c>
      <c r="G65" s="40">
        <f>SUMIF('Gas North Download'!A:A,A65,'Gas North Download'!D:D)</f>
        <v>22658</v>
      </c>
      <c r="H65" s="47">
        <f t="shared" ref="H65:H73" si="12">ROUND(C65*$D$83,2)</f>
        <v>1100463.02</v>
      </c>
      <c r="I65" s="173">
        <f t="shared" ref="I65:I73" si="13">G65+H65</f>
        <v>1123121.02</v>
      </c>
      <c r="J65" s="7"/>
      <c r="L65" s="1"/>
    </row>
    <row r="66" spans="1:12">
      <c r="A66" s="15">
        <v>921</v>
      </c>
      <c r="B66" s="54">
        <f>SUMIF('Gas North Download'!A:A,A66,'Gas North Download'!F:F)</f>
        <v>36007</v>
      </c>
      <c r="C66" s="242">
        <f>SUMIF('Gas North Download'!A:A,A66,'Gas North Download'!C:C)+SUMIF('Gas North Download'!A:A,A66,'Gas North Download'!B:B)</f>
        <v>35007</v>
      </c>
      <c r="D66" s="40">
        <f>SUMIF('Gas North Download'!A:A,A66,'Gas North Download'!E:E)</f>
        <v>1000</v>
      </c>
      <c r="E66" s="47">
        <f t="shared" si="10"/>
        <v>24770.25</v>
      </c>
      <c r="F66" s="173">
        <f t="shared" si="11"/>
        <v>25770.25</v>
      </c>
      <c r="G66" s="40">
        <f>SUMIF('Gas North Download'!A:A,A66,'Gas North Download'!D:D)</f>
        <v>0</v>
      </c>
      <c r="H66" s="47">
        <f t="shared" si="12"/>
        <v>10236.75</v>
      </c>
      <c r="I66" s="173">
        <f t="shared" si="13"/>
        <v>10236.75</v>
      </c>
      <c r="J66" s="7"/>
      <c r="L66" s="1"/>
    </row>
    <row r="67" spans="1:12">
      <c r="A67" s="15">
        <v>922</v>
      </c>
      <c r="B67" s="54">
        <f>SUMIF('Gas North Download'!A:A,A67,'Gas North Download'!F:F)</f>
        <v>0</v>
      </c>
      <c r="C67" s="242">
        <f>SUMIF('Gas North Download'!A:A,A67,'Gas North Download'!C:C)+SUMIF('Gas North Download'!A:A,A67,'Gas North Download'!B:B)</f>
        <v>0</v>
      </c>
      <c r="D67" s="40">
        <f>SUMIF('Gas North Download'!A:A,A67,'Gas North Download'!E:E)</f>
        <v>0</v>
      </c>
      <c r="E67" s="47">
        <f t="shared" si="10"/>
        <v>0</v>
      </c>
      <c r="F67" s="173">
        <f>D67+E67</f>
        <v>0</v>
      </c>
      <c r="G67" s="40">
        <f>SUMIF('Gas North Download'!A:A,A67,'Gas North Download'!D:D)</f>
        <v>0</v>
      </c>
      <c r="H67" s="47">
        <f t="shared" si="12"/>
        <v>0</v>
      </c>
      <c r="I67" s="173">
        <f>G67+H67</f>
        <v>0</v>
      </c>
      <c r="J67" s="7"/>
      <c r="L67" s="1"/>
    </row>
    <row r="68" spans="1:12">
      <c r="A68" s="15">
        <v>923</v>
      </c>
      <c r="B68" s="54">
        <f>SUMIF('Gas North Download'!A:A,A68,'Gas North Download'!F:F)</f>
        <v>4055</v>
      </c>
      <c r="C68" s="242">
        <f>SUMIF('Gas North Download'!A:A,A68,'Gas North Download'!C:C)+SUMIF('Gas North Download'!A:A,A68,'Gas North Download'!B:B)</f>
        <v>4055</v>
      </c>
      <c r="D68" s="40">
        <f>SUMIF('Gas North Download'!A:A,A68,'Gas North Download'!E:E)</f>
        <v>0</v>
      </c>
      <c r="E68" s="47">
        <f t="shared" si="10"/>
        <v>2869.24</v>
      </c>
      <c r="F68" s="173">
        <f t="shared" si="11"/>
        <v>2869.24</v>
      </c>
      <c r="G68" s="40">
        <f>SUMIF('Gas North Download'!A:A,A68,'Gas North Download'!D:D)</f>
        <v>0</v>
      </c>
      <c r="H68" s="47">
        <f t="shared" si="12"/>
        <v>1185.76</v>
      </c>
      <c r="I68" s="173">
        <f t="shared" si="13"/>
        <v>1185.76</v>
      </c>
      <c r="J68" s="7"/>
      <c r="L68" s="1"/>
    </row>
    <row r="69" spans="1:12" ht="12" customHeight="1">
      <c r="A69" s="15">
        <v>924</v>
      </c>
      <c r="B69" s="54">
        <f>SUMIF('Gas North Download'!A:A,A69,'Gas North Download'!F:F)</f>
        <v>0</v>
      </c>
      <c r="C69" s="242">
        <f>SUMIF('Gas North Download'!A:A,A69,'Gas North Download'!C:C)+SUMIF('Gas North Download'!A:A,A69,'Gas North Download'!B:B)</f>
        <v>0</v>
      </c>
      <c r="D69" s="40">
        <f>SUMIF('Gas North Download'!A:A,A69,'Gas North Download'!E:E)</f>
        <v>0</v>
      </c>
      <c r="E69" s="47">
        <f t="shared" si="10"/>
        <v>0</v>
      </c>
      <c r="F69" s="173">
        <f t="shared" si="11"/>
        <v>0</v>
      </c>
      <c r="G69" s="40">
        <f>SUMIF('Gas North Download'!A:A,A69,'Gas North Download'!D:D)</f>
        <v>0</v>
      </c>
      <c r="H69" s="47">
        <f t="shared" si="12"/>
        <v>0</v>
      </c>
      <c r="I69" s="173">
        <f t="shared" si="13"/>
        <v>0</v>
      </c>
      <c r="J69" s="7"/>
      <c r="L69" s="1"/>
    </row>
    <row r="70" spans="1:12">
      <c r="A70" s="15">
        <v>925</v>
      </c>
      <c r="B70" s="54">
        <f>SUMIF('Gas North Download'!A:A,A70,'Gas North Download'!F:F)</f>
        <v>0</v>
      </c>
      <c r="C70" s="242">
        <f>SUMIF('Gas North Download'!A:A,A70,'Gas North Download'!C:C)+SUMIF('Gas North Download'!A:A,A70,'Gas North Download'!B:B)</f>
        <v>0</v>
      </c>
      <c r="D70" s="40">
        <f>SUMIF('Gas North Download'!A:A,A70,'Gas North Download'!E:E)</f>
        <v>0</v>
      </c>
      <c r="E70" s="47">
        <f t="shared" si="10"/>
        <v>0</v>
      </c>
      <c r="F70" s="173">
        <f t="shared" si="11"/>
        <v>0</v>
      </c>
      <c r="G70" s="40">
        <f>SUMIF('Gas North Download'!A:A,A70,'Gas North Download'!D:D)</f>
        <v>0</v>
      </c>
      <c r="H70" s="47">
        <f t="shared" si="12"/>
        <v>0</v>
      </c>
      <c r="I70" s="173">
        <f t="shared" si="13"/>
        <v>0</v>
      </c>
      <c r="J70" s="7"/>
      <c r="L70" s="1"/>
    </row>
    <row r="71" spans="1:12">
      <c r="A71" s="15">
        <v>928</v>
      </c>
      <c r="B71" s="54">
        <f>SUMIF('Gas North Download'!A:A,A71,'Gas North Download'!F:F)</f>
        <v>295159</v>
      </c>
      <c r="C71" s="242">
        <f>SUMIF('Gas North Download'!A:A,A71,'Gas North Download'!C:C)+SUMIF('Gas North Download'!A:A,A71,'Gas North Download'!B:B)</f>
        <v>106935</v>
      </c>
      <c r="D71" s="40">
        <f>SUMIF('Gas North Download'!A:A,A71,'Gas North Download'!E:E)</f>
        <v>145690</v>
      </c>
      <c r="E71" s="47">
        <f t="shared" si="10"/>
        <v>75665.070000000007</v>
      </c>
      <c r="F71" s="173">
        <f t="shared" si="11"/>
        <v>221355.07</v>
      </c>
      <c r="G71" s="40">
        <f>SUMIF('Gas North Download'!A:A,A71,'Gas North Download'!D:D)</f>
        <v>42534</v>
      </c>
      <c r="H71" s="47">
        <f t="shared" si="12"/>
        <v>31269.93</v>
      </c>
      <c r="I71" s="173">
        <f t="shared" si="13"/>
        <v>73803.929999999993</v>
      </c>
      <c r="J71" s="7"/>
      <c r="L71" s="1"/>
    </row>
    <row r="72" spans="1:12" s="79" customFormat="1">
      <c r="A72" s="15">
        <v>930</v>
      </c>
      <c r="B72" s="54">
        <f>SUMIF('Gas North Download'!A:A,A72,'Gas North Download'!F:F)</f>
        <v>81145</v>
      </c>
      <c r="C72" s="242">
        <f>SUMIF('Gas North Download'!A:A,A72,'Gas North Download'!C:C)+SUMIF('Gas North Download'!A:A,A72,'Gas North Download'!B:B)</f>
        <v>76920</v>
      </c>
      <c r="D72" s="40">
        <f>SUMIF('Gas North Download'!A:A,A72,'Gas North Download'!E:E)</f>
        <v>1492</v>
      </c>
      <c r="E72" s="47">
        <f t="shared" si="10"/>
        <v>54427.05</v>
      </c>
      <c r="F72" s="173">
        <f t="shared" si="11"/>
        <v>55919.05</v>
      </c>
      <c r="G72" s="40">
        <f>SUMIF('Gas North Download'!A:A,A72,'Gas North Download'!D:D)</f>
        <v>2733</v>
      </c>
      <c r="H72" s="47">
        <f t="shared" si="12"/>
        <v>22492.95</v>
      </c>
      <c r="I72" s="173">
        <f t="shared" si="13"/>
        <v>25225.95</v>
      </c>
      <c r="J72" s="78"/>
      <c r="L72" s="1"/>
    </row>
    <row r="73" spans="1:12">
      <c r="A73" s="15">
        <v>935</v>
      </c>
      <c r="B73" s="54">
        <f>SUMIF('Gas North Download'!A:A,A73,'Gas North Download'!F:F)</f>
        <v>340660</v>
      </c>
      <c r="C73" s="242">
        <f>SUMIF('Gas North Download'!A:A,A73,'Gas North Download'!C:C)+SUMIF('Gas North Download'!A:A,A73,'Gas North Download'!B:B)</f>
        <v>287127</v>
      </c>
      <c r="D73" s="40">
        <f>SUMIF('Gas North Download'!A:A,A73,'Gas North Download'!E:E)</f>
        <v>34191</v>
      </c>
      <c r="E73" s="47">
        <f t="shared" si="10"/>
        <v>203165.32</v>
      </c>
      <c r="F73" s="173">
        <f t="shared" si="11"/>
        <v>237356.32</v>
      </c>
      <c r="G73" s="40">
        <f>SUMIF('Gas North Download'!A:A,A73,'Gas North Download'!D:D)</f>
        <v>19342</v>
      </c>
      <c r="H73" s="47">
        <f t="shared" si="12"/>
        <v>83961.68</v>
      </c>
      <c r="I73" s="173">
        <f t="shared" si="13"/>
        <v>103303.67999999999</v>
      </c>
      <c r="J73" s="7"/>
      <c r="L73" s="1"/>
    </row>
    <row r="74" spans="1:12">
      <c r="A74" s="14" t="s">
        <v>13</v>
      </c>
      <c r="B74" s="48">
        <f t="shared" ref="B74:I74" si="14">SUM(B65:B73)</f>
        <v>4587238</v>
      </c>
      <c r="C74" s="72">
        <f t="shared" si="14"/>
        <v>4273340</v>
      </c>
      <c r="D74" s="48">
        <f t="shared" si="14"/>
        <v>226631</v>
      </c>
      <c r="E74" s="48">
        <f t="shared" si="14"/>
        <v>3023729.91</v>
      </c>
      <c r="F74" s="174">
        <f t="shared" si="14"/>
        <v>3250360.91</v>
      </c>
      <c r="G74" s="48">
        <f t="shared" si="14"/>
        <v>87267</v>
      </c>
      <c r="H74" s="48">
        <f t="shared" si="14"/>
        <v>1249610.0900000001</v>
      </c>
      <c r="I74" s="174">
        <f t="shared" si="14"/>
        <v>1336877.0900000001</v>
      </c>
      <c r="J74" s="7"/>
    </row>
    <row r="75" spans="1:12">
      <c r="B75" s="47"/>
      <c r="C75" s="243"/>
      <c r="D75" s="47"/>
      <c r="E75" s="47"/>
      <c r="F75" s="173"/>
      <c r="G75" s="47"/>
      <c r="H75" s="47"/>
      <c r="I75" s="173"/>
      <c r="J75" s="7"/>
    </row>
    <row r="76" spans="1:12" ht="13.5" thickBot="1">
      <c r="A76" s="14" t="s">
        <v>116</v>
      </c>
      <c r="B76" s="57">
        <f t="shared" ref="B76:I76" si="15">B13+B18+B42+B49+B55+B62+B74</f>
        <v>16725796</v>
      </c>
      <c r="C76" s="72">
        <f t="shared" si="15"/>
        <v>9565394</v>
      </c>
      <c r="D76" s="57">
        <f t="shared" si="15"/>
        <v>5158574</v>
      </c>
      <c r="E76" s="48">
        <f t="shared" si="15"/>
        <v>6589212.96</v>
      </c>
      <c r="F76" s="175">
        <f t="shared" si="15"/>
        <v>11747786.960000001</v>
      </c>
      <c r="G76" s="58">
        <f t="shared" si="15"/>
        <v>2001828</v>
      </c>
      <c r="H76" s="48">
        <f t="shared" si="15"/>
        <v>2976181.04</v>
      </c>
      <c r="I76" s="175">
        <f t="shared" si="15"/>
        <v>4978009.04</v>
      </c>
      <c r="J76" s="7"/>
    </row>
    <row r="77" spans="1:12">
      <c r="B77" s="101">
        <f>'Gas North Download'!F41</f>
        <v>16725796</v>
      </c>
      <c r="C77" s="101">
        <f>'Gas North Download'!C43</f>
        <v>9565394</v>
      </c>
      <c r="D77" s="77">
        <f>'Gas North Download'!E41</f>
        <v>5158574</v>
      </c>
      <c r="G77" s="77">
        <f>'Gas North Download'!D41</f>
        <v>2001828</v>
      </c>
      <c r="J77" s="7"/>
    </row>
    <row r="78" spans="1:12">
      <c r="J78" s="7"/>
    </row>
    <row r="79" spans="1:12" ht="13.5" thickBot="1">
      <c r="A79" s="96" t="s">
        <v>173</v>
      </c>
      <c r="B79" s="97"/>
      <c r="C79" s="97"/>
      <c r="D79" s="97"/>
      <c r="E79" s="97"/>
      <c r="F79" s="89" t="s">
        <v>122</v>
      </c>
      <c r="G79" s="88"/>
      <c r="J79" s="7"/>
    </row>
    <row r="80" spans="1:12">
      <c r="A80" s="98"/>
      <c r="B80" s="92" t="s">
        <v>15</v>
      </c>
      <c r="C80" s="92" t="s">
        <v>104</v>
      </c>
      <c r="D80" s="92" t="s">
        <v>105</v>
      </c>
      <c r="E80" s="92" t="s">
        <v>17</v>
      </c>
      <c r="J80" s="7"/>
    </row>
    <row r="81" spans="1:10">
      <c r="A81" s="79" t="s">
        <v>18</v>
      </c>
      <c r="B81" s="79">
        <v>2</v>
      </c>
      <c r="C81" s="99">
        <v>0.66308</v>
      </c>
      <c r="D81" s="99">
        <v>0.33692</v>
      </c>
      <c r="E81" s="76">
        <f t="shared" ref="E81:E86" si="16">C81+D81</f>
        <v>1</v>
      </c>
      <c r="J81" s="7"/>
    </row>
    <row r="82" spans="1:10">
      <c r="A82" s="79" t="s">
        <v>19</v>
      </c>
      <c r="B82" s="79">
        <v>3</v>
      </c>
      <c r="C82" s="99">
        <v>0.67374000000000001</v>
      </c>
      <c r="D82" s="99">
        <v>0.32625999999999999</v>
      </c>
      <c r="E82" s="76">
        <f t="shared" si="16"/>
        <v>1</v>
      </c>
      <c r="J82" s="7"/>
    </row>
    <row r="83" spans="1:10">
      <c r="A83" s="79" t="s">
        <v>111</v>
      </c>
      <c r="B83" s="79">
        <v>4</v>
      </c>
      <c r="C83" s="99">
        <v>0.70757999999999999</v>
      </c>
      <c r="D83" s="99">
        <v>0.29242000000000001</v>
      </c>
      <c r="E83" s="76">
        <f t="shared" si="16"/>
        <v>1</v>
      </c>
    </row>
    <row r="84" spans="1:10">
      <c r="A84" s="79" t="s">
        <v>112</v>
      </c>
      <c r="B84" s="79">
        <v>6</v>
      </c>
      <c r="C84" s="99">
        <v>0.68522000000000005</v>
      </c>
      <c r="D84" s="99">
        <v>0.31478</v>
      </c>
      <c r="E84" s="76">
        <f t="shared" si="16"/>
        <v>1</v>
      </c>
      <c r="J84" s="7"/>
    </row>
    <row r="85" spans="1:10">
      <c r="A85" s="79" t="s">
        <v>26</v>
      </c>
      <c r="B85" s="79">
        <v>10</v>
      </c>
      <c r="C85" s="99">
        <v>0.68837999999999999</v>
      </c>
      <c r="D85" s="99">
        <v>0.31162000000000001</v>
      </c>
      <c r="E85" s="76">
        <f t="shared" si="16"/>
        <v>1</v>
      </c>
      <c r="J85" s="7"/>
    </row>
    <row r="86" spans="1:10">
      <c r="A86" s="79" t="s">
        <v>113</v>
      </c>
      <c r="B86" s="79">
        <v>1</v>
      </c>
      <c r="C86" s="99">
        <v>0.70840000000000003</v>
      </c>
      <c r="D86" s="99">
        <v>0.29160000000000003</v>
      </c>
      <c r="E86" s="76">
        <f t="shared" si="16"/>
        <v>1</v>
      </c>
    </row>
    <row r="87" spans="1:10" ht="14.25" customHeight="1">
      <c r="A87" s="79"/>
      <c r="B87" s="78"/>
      <c r="C87" s="31"/>
      <c r="D87" s="79"/>
      <c r="E87" s="76"/>
      <c r="F87" s="76"/>
      <c r="G87" s="46"/>
    </row>
    <row r="88" spans="1:10">
      <c r="B88" s="7"/>
      <c r="C88" s="31"/>
      <c r="E88" s="46"/>
      <c r="F88" s="46"/>
      <c r="G88" s="46"/>
    </row>
    <row r="89" spans="1:10">
      <c r="B89" s="7"/>
      <c r="C89" s="31"/>
      <c r="E89" s="46"/>
    </row>
    <row r="90" spans="1:10">
      <c r="B90" s="7"/>
      <c r="C90" s="31"/>
      <c r="E90" s="46"/>
    </row>
    <row r="91" spans="1:10">
      <c r="B91" s="7"/>
      <c r="C91" s="31"/>
      <c r="E91" s="46"/>
    </row>
    <row r="92" spans="1:10">
      <c r="B92" s="7"/>
      <c r="C92" s="31"/>
      <c r="E92" s="46"/>
      <c r="J92" s="7"/>
    </row>
    <row r="93" spans="1:10">
      <c r="B93" s="7"/>
      <c r="C93" s="31"/>
      <c r="E93" s="46"/>
      <c r="J93" s="7"/>
    </row>
    <row r="94" spans="1:10">
      <c r="B94" s="7"/>
      <c r="C94" s="31"/>
      <c r="E94" s="46"/>
      <c r="J94" s="7"/>
    </row>
    <row r="95" spans="1:10">
      <c r="B95" s="7"/>
      <c r="C95" s="31"/>
      <c r="E95" s="46"/>
      <c r="G95" s="77"/>
      <c r="J95" s="7"/>
    </row>
    <row r="96" spans="1:10">
      <c r="B96" s="7"/>
      <c r="C96" s="31"/>
      <c r="E96" s="46"/>
      <c r="G96" s="77"/>
      <c r="J96" s="7"/>
    </row>
    <row r="97" spans="2:10">
      <c r="B97" s="7"/>
      <c r="C97" s="31"/>
      <c r="E97" s="46"/>
      <c r="J97" s="7"/>
    </row>
    <row r="98" spans="2:10">
      <c r="B98" s="7"/>
      <c r="C98" s="31"/>
      <c r="E98" s="46"/>
      <c r="J98" s="7"/>
    </row>
    <row r="99" spans="2:10">
      <c r="J99" s="7"/>
    </row>
    <row r="100" spans="2:10">
      <c r="J100" s="7"/>
    </row>
    <row r="101" spans="2:10">
      <c r="J101" s="7"/>
    </row>
    <row r="102" spans="2:10">
      <c r="J102" s="7"/>
    </row>
    <row r="103" spans="2:10">
      <c r="J103" s="7"/>
    </row>
    <row r="104" spans="2:10">
      <c r="J104" s="7"/>
    </row>
    <row r="105" spans="2:10">
      <c r="J105" s="7"/>
    </row>
    <row r="106" spans="2:10">
      <c r="J106" s="7"/>
    </row>
    <row r="107" spans="2:10">
      <c r="J107" s="7"/>
    </row>
    <row r="108" spans="2:10">
      <c r="J108" s="7"/>
    </row>
    <row r="109" spans="2:10">
      <c r="J109" s="7"/>
    </row>
    <row r="110" spans="2:10">
      <c r="J110" s="7"/>
    </row>
    <row r="111" spans="2:10">
      <c r="J111" s="7"/>
    </row>
    <row r="112" spans="2:10">
      <c r="J112" s="7"/>
    </row>
    <row r="113" spans="10:10">
      <c r="J113" s="7"/>
    </row>
    <row r="114" spans="10:10">
      <c r="J114" s="7"/>
    </row>
    <row r="115" spans="10:10">
      <c r="J115" s="7"/>
    </row>
    <row r="116" spans="10:10">
      <c r="J116" s="7"/>
    </row>
  </sheetData>
  <phoneticPr fontId="0" type="noConversion"/>
  <pageMargins left="0.61" right="0.75" top="1" bottom="1" header="0.5" footer="0.5"/>
  <pageSetup scale="70" fitToHeight="0" orientation="landscape" r:id="rId1"/>
  <headerFooter scaleWithDoc="0" alignWithMargins="0">
    <oddHeader>&amp;CBench Request 10.1 - Attachment A&amp;RAdjustment No. 3.02 (Electric) and 
3.00 (Natural Gas)</oddHeader>
    <oddFooter>&amp;RPage &amp;P of &amp;N</oddFooter>
  </headerFooter>
  <rowBreaks count="1" manualBreakCount="1">
    <brk id="49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B135"/>
  <sheetViews>
    <sheetView tabSelected="1" zoomScaleNormal="100" zoomScaleSheetLayoutView="85" workbookViewId="0">
      <pane xSplit="3" ySplit="6" topLeftCell="D7" activePane="bottomRight" state="frozen"/>
      <selection activeCell="I46" sqref="I46"/>
      <selection pane="topRight" activeCell="I46" sqref="I46"/>
      <selection pane="bottomLeft" activeCell="I46" sqref="I46"/>
      <selection pane="bottomRight" activeCell="I46" sqref="I46"/>
    </sheetView>
  </sheetViews>
  <sheetFormatPr defaultColWidth="9.33203125" defaultRowHeight="12.75"/>
  <cols>
    <col min="1" max="2" width="3.83203125" style="2" customWidth="1"/>
    <col min="3" max="3" width="20.83203125" style="2" customWidth="1"/>
    <col min="4" max="4" width="24.33203125" style="2" customWidth="1"/>
    <col min="5" max="5" width="18.1640625" style="151" bestFit="1" customWidth="1"/>
    <col min="6" max="6" width="17.33203125" style="84" customWidth="1"/>
    <col min="7" max="7" width="14.6640625" style="2" bestFit="1" customWidth="1"/>
    <col min="8" max="8" width="2.83203125" style="11" customWidth="1"/>
    <col min="9" max="12" width="20.33203125" style="2" bestFit="1" customWidth="1"/>
    <col min="13" max="13" width="7.5" style="11" customWidth="1"/>
    <col min="14" max="14" width="18" style="2" customWidth="1"/>
    <col min="15" max="15" width="20.33203125" style="2" bestFit="1" customWidth="1"/>
    <col min="16" max="16" width="5.1640625" style="11" customWidth="1"/>
    <col min="17" max="17" width="17.83203125" style="2" customWidth="1"/>
    <col min="18" max="18" width="2.5" style="11" customWidth="1"/>
    <col min="19" max="19" width="18" style="2" customWidth="1"/>
    <col min="20" max="20" width="20.33203125" style="2" bestFit="1" customWidth="1"/>
    <col min="21" max="21" width="3" style="11" customWidth="1"/>
    <col min="22" max="22" width="18" style="2" customWidth="1"/>
    <col min="23" max="23" width="5.6640625" style="2" customWidth="1"/>
    <col min="24" max="26" width="9.33203125" style="2"/>
    <col min="27" max="27" width="11.33203125" style="2" customWidth="1"/>
    <col min="28" max="16384" width="9.33203125" style="2"/>
  </cols>
  <sheetData>
    <row r="1" spans="2:28">
      <c r="C1" s="34" t="str">
        <f>'AN Electric'!A1</f>
        <v>AVISTA UTILITIES</v>
      </c>
      <c r="D1" s="1"/>
    </row>
    <row r="2" spans="2:28">
      <c r="C2" s="1" t="s">
        <v>188</v>
      </c>
      <c r="D2" s="1"/>
    </row>
    <row r="3" spans="2:28" ht="13.5" thickBot="1">
      <c r="C3" s="1" t="str">
        <f>Adjustment!A3</f>
        <v>12 Months Ending 09/30/15</v>
      </c>
      <c r="D3" s="1"/>
      <c r="I3" s="103"/>
      <c r="J3" s="103"/>
      <c r="K3" s="103"/>
      <c r="L3" s="103"/>
      <c r="M3" s="164"/>
      <c r="N3" s="103"/>
      <c r="O3" s="103"/>
      <c r="P3" s="164"/>
      <c r="Q3" s="103"/>
      <c r="R3" s="164"/>
      <c r="S3" s="103"/>
      <c r="T3" s="103"/>
      <c r="U3" s="164"/>
      <c r="V3" s="103"/>
    </row>
    <row r="4" spans="2:28" s="3" customFormat="1">
      <c r="E4" s="152"/>
      <c r="F4" s="51"/>
      <c r="H4" s="25"/>
      <c r="I4" s="67">
        <v>2015</v>
      </c>
      <c r="J4" s="67">
        <v>2016</v>
      </c>
      <c r="K4" s="166" t="s">
        <v>205</v>
      </c>
      <c r="L4" s="67" t="s">
        <v>0</v>
      </c>
      <c r="M4" s="159"/>
      <c r="N4" s="67">
        <v>2017</v>
      </c>
      <c r="O4" s="166" t="s">
        <v>205</v>
      </c>
      <c r="P4" s="159"/>
      <c r="Q4" s="67" t="s">
        <v>0</v>
      </c>
      <c r="R4" s="159"/>
      <c r="S4" s="67">
        <v>2018</v>
      </c>
      <c r="T4" s="166" t="s">
        <v>205</v>
      </c>
      <c r="U4" s="159"/>
      <c r="V4" s="67" t="s">
        <v>0</v>
      </c>
    </row>
    <row r="5" spans="2:28" s="3" customFormat="1">
      <c r="E5" s="152"/>
      <c r="F5" s="51"/>
      <c r="G5" s="3" t="s">
        <v>1</v>
      </c>
      <c r="H5" s="25"/>
      <c r="I5" s="121">
        <f>'Pro-Forma Increases'!D26</f>
        <v>1.242E-2</v>
      </c>
      <c r="J5" s="121">
        <f>'Pro-Forma Increases'!D28</f>
        <v>2.8000000000000001E-2</v>
      </c>
      <c r="K5" s="184" t="s">
        <v>202</v>
      </c>
      <c r="L5" s="121" t="s">
        <v>204</v>
      </c>
      <c r="M5" s="160"/>
      <c r="N5" s="121">
        <f>'Pro-Forma Increases'!D32</f>
        <v>2.5139999999999999E-2</v>
      </c>
      <c r="O5" s="184" t="s">
        <v>202</v>
      </c>
      <c r="P5" s="160"/>
      <c r="Q5" s="121" t="s">
        <v>204</v>
      </c>
      <c r="R5" s="160"/>
      <c r="S5" s="121">
        <f>AB24+AB20</f>
        <v>1.84E-2</v>
      </c>
      <c r="T5" s="184" t="s">
        <v>202</v>
      </c>
      <c r="U5" s="160"/>
      <c r="V5" s="121" t="s">
        <v>204</v>
      </c>
    </row>
    <row r="6" spans="2:28" s="4" customFormat="1">
      <c r="E6" s="5" t="s">
        <v>31</v>
      </c>
      <c r="F6" s="149"/>
      <c r="G6" s="5" t="s">
        <v>31</v>
      </c>
      <c r="H6" s="5"/>
      <c r="I6" s="120">
        <f>'Pro-Forma Increases'!D11</f>
        <v>1.455E-2</v>
      </c>
      <c r="J6" s="120">
        <f>'Pro-Forma Increases'!D13</f>
        <v>3.1E-2</v>
      </c>
      <c r="K6" s="185" t="s">
        <v>225</v>
      </c>
      <c r="L6" s="250" t="s">
        <v>226</v>
      </c>
      <c r="M6" s="168"/>
      <c r="N6" s="120">
        <f>'Pro-Forma Increases'!D17</f>
        <v>2.2919999999999999E-2</v>
      </c>
      <c r="O6" s="185" t="s">
        <v>224</v>
      </c>
      <c r="P6" s="161"/>
      <c r="Q6" s="250" t="s">
        <v>227</v>
      </c>
      <c r="R6" s="161"/>
      <c r="S6" s="250">
        <f>AB20+AB24</f>
        <v>1.84E-2</v>
      </c>
      <c r="T6" s="185" t="s">
        <v>246</v>
      </c>
      <c r="U6" s="161"/>
      <c r="V6" s="250" t="s">
        <v>232</v>
      </c>
    </row>
    <row r="7" spans="2:28">
      <c r="C7" s="2" t="s">
        <v>32</v>
      </c>
      <c r="K7" s="180"/>
      <c r="O7" s="180"/>
      <c r="T7" s="180"/>
    </row>
    <row r="8" spans="2:28">
      <c r="C8" s="2" t="s">
        <v>33</v>
      </c>
      <c r="E8" s="35"/>
      <c r="F8" s="157"/>
      <c r="G8" s="35"/>
      <c r="H8" s="162"/>
      <c r="K8" s="180"/>
      <c r="O8" s="180"/>
      <c r="T8" s="180"/>
    </row>
    <row r="9" spans="2:28">
      <c r="B9" s="2" t="s">
        <v>27</v>
      </c>
      <c r="C9" s="1">
        <v>500</v>
      </c>
      <c r="D9" s="1" t="s">
        <v>34</v>
      </c>
      <c r="E9" s="100">
        <f>'AN Electric'!G11</f>
        <v>80889</v>
      </c>
      <c r="F9" s="49"/>
      <c r="G9" s="17">
        <f t="shared" ref="G9:G19" si="0">F9+E9</f>
        <v>80889</v>
      </c>
      <c r="H9" s="18"/>
      <c r="I9" s="19">
        <f>ROUND(IF($B9="a",G9*I$5,G9*I$6),0)</f>
        <v>1005</v>
      </c>
      <c r="J9" s="19">
        <f>ROUND(IF($B9="a",(G9+I9)*J$5,(G9+I9)*J$6),0)</f>
        <v>2293</v>
      </c>
      <c r="K9" s="186">
        <f>SUM(I9:J9)</f>
        <v>3298</v>
      </c>
      <c r="L9" s="19">
        <f>G9+K9</f>
        <v>84187</v>
      </c>
      <c r="M9" s="44"/>
      <c r="N9" s="19">
        <f t="shared" ref="N9:N19" si="1">ROUND(IF($B9="a",(G9+I9+J9)*N$5,(G9+I9+J9)*N$6),0)</f>
        <v>2116</v>
      </c>
      <c r="O9" s="186">
        <f>N9</f>
        <v>2116</v>
      </c>
      <c r="P9" s="44"/>
      <c r="Q9" s="19">
        <f>L9+O9</f>
        <v>86303</v>
      </c>
      <c r="R9" s="44"/>
      <c r="S9" s="19">
        <f>ROUND(IF($B9="a",Q9*S$5,Q9*S$6),0)</f>
        <v>1588</v>
      </c>
      <c r="T9" s="186">
        <f>S9</f>
        <v>1588</v>
      </c>
      <c r="U9" s="44"/>
      <c r="V9" s="19">
        <f>Q9+T9</f>
        <v>87891</v>
      </c>
      <c r="W9" s="273"/>
      <c r="X9" s="274" t="s">
        <v>233</v>
      </c>
      <c r="Y9" s="275"/>
      <c r="Z9" s="275"/>
      <c r="AA9" s="275" t="s">
        <v>230</v>
      </c>
      <c r="AB9" s="276"/>
    </row>
    <row r="10" spans="2:28">
      <c r="C10" s="1">
        <v>501</v>
      </c>
      <c r="D10" s="1" t="s">
        <v>35</v>
      </c>
      <c r="E10" s="100">
        <f>'AN Electric'!G12</f>
        <v>513799</v>
      </c>
      <c r="F10" s="49"/>
      <c r="G10" s="17">
        <f t="shared" si="0"/>
        <v>513799</v>
      </c>
      <c r="H10" s="18"/>
      <c r="I10" s="20">
        <f t="shared" ref="I10:I19" si="2">ROUND(IF($B10="a",G10*I$5,G10*I$6),0)</f>
        <v>7476</v>
      </c>
      <c r="J10" s="20">
        <f>ROUND(IF($B10="a",(G10+I10)*J$5,(G10+I10)*J$6),0)</f>
        <v>16160</v>
      </c>
      <c r="K10" s="187">
        <f t="shared" ref="K10:K73" si="3">SUM(I10:J10)</f>
        <v>23636</v>
      </c>
      <c r="L10" s="20">
        <f t="shared" ref="L10:L73" si="4">G10+K10</f>
        <v>537435</v>
      </c>
      <c r="M10" s="43"/>
      <c r="N10" s="239">
        <f t="shared" si="1"/>
        <v>12318</v>
      </c>
      <c r="O10" s="187">
        <f t="shared" ref="O10:O73" si="5">N10</f>
        <v>12318</v>
      </c>
      <c r="P10" s="43"/>
      <c r="Q10" s="20">
        <f t="shared" ref="Q10:Q73" si="6">L10+O10</f>
        <v>549753</v>
      </c>
      <c r="R10" s="43"/>
      <c r="S10" s="20">
        <f t="shared" ref="S10:S73" si="7">ROUND(IF($B10="a",Q10*S$5,Q10*S$6),0)</f>
        <v>10115</v>
      </c>
      <c r="T10" s="187">
        <f t="shared" ref="T10:T20" si="8">S10</f>
        <v>10115</v>
      </c>
      <c r="U10" s="43"/>
      <c r="V10" s="20">
        <f t="shared" ref="V10:V20" si="9">Q10+T10</f>
        <v>559868</v>
      </c>
      <c r="W10" s="273"/>
      <c r="X10" s="277"/>
      <c r="Y10" s="11"/>
      <c r="Z10" s="11"/>
      <c r="AA10" s="11"/>
      <c r="AB10" s="278"/>
    </row>
    <row r="11" spans="2:28">
      <c r="C11" s="1">
        <v>502</v>
      </c>
      <c r="D11" s="1" t="s">
        <v>36</v>
      </c>
      <c r="E11" s="100">
        <f>'AN Electric'!G13</f>
        <v>310902</v>
      </c>
      <c r="F11" s="49"/>
      <c r="G11" s="17">
        <f t="shared" si="0"/>
        <v>310902</v>
      </c>
      <c r="H11" s="18"/>
      <c r="I11" s="20">
        <f t="shared" si="2"/>
        <v>4524</v>
      </c>
      <c r="J11" s="20">
        <f t="shared" ref="J11:J19" si="10">ROUND(IF($B11="a",(G11+I11)*J$5,(G11+I11)*J$6),0)</f>
        <v>9778</v>
      </c>
      <c r="K11" s="187">
        <f t="shared" si="3"/>
        <v>14302</v>
      </c>
      <c r="L11" s="20">
        <f t="shared" si="4"/>
        <v>325204</v>
      </c>
      <c r="M11" s="43"/>
      <c r="N11" s="239">
        <f t="shared" si="1"/>
        <v>7454</v>
      </c>
      <c r="O11" s="187">
        <f t="shared" si="5"/>
        <v>7454</v>
      </c>
      <c r="P11" s="43"/>
      <c r="Q11" s="20">
        <f t="shared" si="6"/>
        <v>332658</v>
      </c>
      <c r="R11" s="43"/>
      <c r="S11" s="20">
        <f t="shared" si="7"/>
        <v>6121</v>
      </c>
      <c r="T11" s="187">
        <f t="shared" si="8"/>
        <v>6121</v>
      </c>
      <c r="U11" s="43"/>
      <c r="V11" s="20">
        <f t="shared" si="9"/>
        <v>338779</v>
      </c>
      <c r="W11" s="273"/>
      <c r="X11" s="316" t="s">
        <v>234</v>
      </c>
      <c r="Y11" s="317"/>
      <c r="Z11" s="317"/>
      <c r="AA11" s="317"/>
      <c r="AB11" s="318">
        <v>7.6E-3</v>
      </c>
    </row>
    <row r="12" spans="2:28">
      <c r="C12" s="1">
        <v>505</v>
      </c>
      <c r="D12" s="1" t="s">
        <v>37</v>
      </c>
      <c r="E12" s="100">
        <f>'AN Electric'!G14</f>
        <v>300992</v>
      </c>
      <c r="F12" s="49"/>
      <c r="G12" s="17">
        <f t="shared" si="0"/>
        <v>300992</v>
      </c>
      <c r="H12" s="18"/>
      <c r="I12" s="20">
        <f t="shared" si="2"/>
        <v>4379</v>
      </c>
      <c r="J12" s="20">
        <f t="shared" si="10"/>
        <v>9467</v>
      </c>
      <c r="K12" s="187">
        <f t="shared" si="3"/>
        <v>13846</v>
      </c>
      <c r="L12" s="20">
        <f t="shared" si="4"/>
        <v>314838</v>
      </c>
      <c r="M12" s="43"/>
      <c r="N12" s="239">
        <f t="shared" si="1"/>
        <v>7216</v>
      </c>
      <c r="O12" s="187">
        <f t="shared" si="5"/>
        <v>7216</v>
      </c>
      <c r="P12" s="43"/>
      <c r="Q12" s="20">
        <f t="shared" si="6"/>
        <v>322054</v>
      </c>
      <c r="R12" s="43"/>
      <c r="S12" s="20">
        <f t="shared" si="7"/>
        <v>5926</v>
      </c>
      <c r="T12" s="187">
        <f t="shared" si="8"/>
        <v>5926</v>
      </c>
      <c r="U12" s="43"/>
      <c r="V12" s="20">
        <f t="shared" si="9"/>
        <v>327980</v>
      </c>
      <c r="W12" s="273"/>
      <c r="X12" s="277"/>
      <c r="Y12" s="11"/>
      <c r="Z12" s="11"/>
      <c r="AA12" s="11"/>
      <c r="AB12" s="278"/>
    </row>
    <row r="13" spans="2:28">
      <c r="C13" s="1">
        <v>506</v>
      </c>
      <c r="D13" s="1" t="s">
        <v>38</v>
      </c>
      <c r="E13" s="100">
        <f>'AN Electric'!G15</f>
        <v>121919</v>
      </c>
      <c r="F13" s="49"/>
      <c r="G13" s="17">
        <f t="shared" si="0"/>
        <v>121919</v>
      </c>
      <c r="H13" s="18"/>
      <c r="I13" s="20">
        <f t="shared" si="2"/>
        <v>1774</v>
      </c>
      <c r="J13" s="20">
        <f t="shared" si="10"/>
        <v>3834</v>
      </c>
      <c r="K13" s="187">
        <f t="shared" si="3"/>
        <v>5608</v>
      </c>
      <c r="L13" s="20">
        <f t="shared" si="4"/>
        <v>127527</v>
      </c>
      <c r="M13" s="43"/>
      <c r="N13" s="239">
        <f t="shared" si="1"/>
        <v>2923</v>
      </c>
      <c r="O13" s="187">
        <f t="shared" si="5"/>
        <v>2923</v>
      </c>
      <c r="P13" s="43"/>
      <c r="Q13" s="20">
        <f t="shared" si="6"/>
        <v>130450</v>
      </c>
      <c r="R13" s="43"/>
      <c r="S13" s="20">
        <f t="shared" si="7"/>
        <v>2400</v>
      </c>
      <c r="T13" s="187">
        <f t="shared" si="8"/>
        <v>2400</v>
      </c>
      <c r="U13" s="43"/>
      <c r="V13" s="20">
        <f t="shared" si="9"/>
        <v>132850</v>
      </c>
      <c r="W13" s="273"/>
      <c r="X13" s="279" t="s">
        <v>237</v>
      </c>
      <c r="Y13" s="25"/>
      <c r="Z13" s="25"/>
      <c r="AA13" s="25"/>
      <c r="AB13" s="280">
        <v>0.03</v>
      </c>
    </row>
    <row r="14" spans="2:28">
      <c r="C14" s="1">
        <v>507</v>
      </c>
      <c r="D14" s="1"/>
      <c r="E14" s="100">
        <f>'AN Electric'!G16</f>
        <v>-11658</v>
      </c>
      <c r="F14" s="49"/>
      <c r="G14" s="17">
        <f t="shared" si="0"/>
        <v>-11658</v>
      </c>
      <c r="H14" s="18"/>
      <c r="I14" s="20">
        <f t="shared" si="2"/>
        <v>-170</v>
      </c>
      <c r="J14" s="20">
        <f t="shared" si="10"/>
        <v>-367</v>
      </c>
      <c r="K14" s="187">
        <f t="shared" si="3"/>
        <v>-537</v>
      </c>
      <c r="L14" s="20">
        <f t="shared" si="4"/>
        <v>-12195</v>
      </c>
      <c r="M14" s="43"/>
      <c r="N14" s="239">
        <f t="shared" si="1"/>
        <v>-280</v>
      </c>
      <c r="O14" s="187">
        <f t="shared" si="5"/>
        <v>-280</v>
      </c>
      <c r="P14" s="43"/>
      <c r="Q14" s="20">
        <f t="shared" si="6"/>
        <v>-12475</v>
      </c>
      <c r="R14" s="43"/>
      <c r="S14" s="20">
        <f t="shared" si="7"/>
        <v>-230</v>
      </c>
      <c r="T14" s="187">
        <f t="shared" si="8"/>
        <v>-230</v>
      </c>
      <c r="U14" s="43"/>
      <c r="V14" s="20">
        <f t="shared" si="9"/>
        <v>-12705</v>
      </c>
      <c r="W14" s="273"/>
      <c r="X14" s="279"/>
      <c r="Y14" s="281" t="s">
        <v>238</v>
      </c>
      <c r="Z14" s="25"/>
      <c r="AA14" s="25"/>
      <c r="AB14" s="282">
        <f>ROUND(94/365,3)</f>
        <v>0.25800000000000001</v>
      </c>
    </row>
    <row r="15" spans="2:28" ht="13.5" thickBot="1">
      <c r="B15" s="2" t="s">
        <v>27</v>
      </c>
      <c r="C15" s="1">
        <v>510</v>
      </c>
      <c r="D15" s="1" t="s">
        <v>34</v>
      </c>
      <c r="E15" s="100">
        <f>'AN Electric'!G17</f>
        <v>80797</v>
      </c>
      <c r="F15" s="49"/>
      <c r="G15" s="17">
        <f t="shared" si="0"/>
        <v>80797</v>
      </c>
      <c r="H15" s="18"/>
      <c r="I15" s="19">
        <f t="shared" si="2"/>
        <v>1003</v>
      </c>
      <c r="J15" s="19">
        <f t="shared" si="10"/>
        <v>2290</v>
      </c>
      <c r="K15" s="186">
        <f t="shared" si="3"/>
        <v>3293</v>
      </c>
      <c r="L15" s="19">
        <f t="shared" si="4"/>
        <v>84090</v>
      </c>
      <c r="M15" s="44"/>
      <c r="N15" s="19">
        <f t="shared" si="1"/>
        <v>2114</v>
      </c>
      <c r="O15" s="186">
        <f t="shared" si="5"/>
        <v>2114</v>
      </c>
      <c r="P15" s="44"/>
      <c r="Q15" s="19">
        <f t="shared" si="6"/>
        <v>86204</v>
      </c>
      <c r="R15" s="44"/>
      <c r="S15" s="19">
        <f t="shared" si="7"/>
        <v>1586</v>
      </c>
      <c r="T15" s="186">
        <f t="shared" si="8"/>
        <v>1586</v>
      </c>
      <c r="U15" s="44"/>
      <c r="V15" s="19">
        <f t="shared" si="9"/>
        <v>87790</v>
      </c>
      <c r="W15" s="273"/>
      <c r="X15" s="279" t="s">
        <v>218</v>
      </c>
      <c r="Y15" s="5"/>
      <c r="Z15" s="5"/>
      <c r="AA15" s="5"/>
      <c r="AB15" s="283">
        <f>AB13*AB14</f>
        <v>7.7400000000000004E-3</v>
      </c>
    </row>
    <row r="16" spans="2:28" ht="13.5" thickTop="1">
      <c r="C16" s="1">
        <v>511</v>
      </c>
      <c r="D16" s="1" t="s">
        <v>39</v>
      </c>
      <c r="E16" s="100">
        <f>'AN Electric'!G18</f>
        <v>3082</v>
      </c>
      <c r="F16" s="49"/>
      <c r="G16" s="17">
        <f t="shared" si="0"/>
        <v>3082</v>
      </c>
      <c r="H16" s="18"/>
      <c r="I16" s="20">
        <f t="shared" si="2"/>
        <v>45</v>
      </c>
      <c r="J16" s="20">
        <f t="shared" si="10"/>
        <v>97</v>
      </c>
      <c r="K16" s="187">
        <f t="shared" si="3"/>
        <v>142</v>
      </c>
      <c r="L16" s="20">
        <f t="shared" si="4"/>
        <v>3224</v>
      </c>
      <c r="M16" s="43"/>
      <c r="N16" s="239">
        <f t="shared" si="1"/>
        <v>74</v>
      </c>
      <c r="O16" s="187">
        <f t="shared" si="5"/>
        <v>74</v>
      </c>
      <c r="P16" s="43"/>
      <c r="Q16" s="20">
        <f t="shared" si="6"/>
        <v>3298</v>
      </c>
      <c r="R16" s="43"/>
      <c r="S16" s="20">
        <f t="shared" si="7"/>
        <v>61</v>
      </c>
      <c r="T16" s="187">
        <f t="shared" si="8"/>
        <v>61</v>
      </c>
      <c r="U16" s="43"/>
      <c r="V16" s="20">
        <f t="shared" si="9"/>
        <v>3359</v>
      </c>
      <c r="W16" s="273"/>
      <c r="X16" s="284"/>
      <c r="Y16" s="285"/>
      <c r="Z16" s="285"/>
      <c r="AA16" s="285"/>
      <c r="AB16" s="286"/>
    </row>
    <row r="17" spans="2:28">
      <c r="C17" s="1">
        <v>512</v>
      </c>
      <c r="D17" s="1" t="s">
        <v>40</v>
      </c>
      <c r="E17" s="100">
        <f>'AN Electric'!G19</f>
        <v>367330</v>
      </c>
      <c r="F17" s="49"/>
      <c r="G17" s="17">
        <f t="shared" si="0"/>
        <v>367330</v>
      </c>
      <c r="H17" s="18"/>
      <c r="I17" s="20">
        <f t="shared" si="2"/>
        <v>5345</v>
      </c>
      <c r="J17" s="20">
        <f t="shared" si="10"/>
        <v>11553</v>
      </c>
      <c r="K17" s="187">
        <f t="shared" si="3"/>
        <v>16898</v>
      </c>
      <c r="L17" s="20">
        <f t="shared" si="4"/>
        <v>384228</v>
      </c>
      <c r="M17" s="43"/>
      <c r="N17" s="239">
        <f t="shared" si="1"/>
        <v>8807</v>
      </c>
      <c r="O17" s="187">
        <f t="shared" si="5"/>
        <v>8807</v>
      </c>
      <c r="P17" s="43"/>
      <c r="Q17" s="20">
        <f t="shared" si="6"/>
        <v>393035</v>
      </c>
      <c r="R17" s="43"/>
      <c r="S17" s="20">
        <f t="shared" si="7"/>
        <v>7232</v>
      </c>
      <c r="T17" s="187">
        <f t="shared" si="8"/>
        <v>7232</v>
      </c>
      <c r="U17" s="43"/>
      <c r="V17" s="20">
        <f t="shared" si="9"/>
        <v>400267</v>
      </c>
      <c r="W17" s="273"/>
    </row>
    <row r="18" spans="2:28">
      <c r="C18" s="1">
        <v>513</v>
      </c>
      <c r="D18" s="1" t="s">
        <v>41</v>
      </c>
      <c r="E18" s="100">
        <f>'AN Electric'!G20</f>
        <v>37405</v>
      </c>
      <c r="F18" s="49"/>
      <c r="G18" s="17">
        <f t="shared" si="0"/>
        <v>37405</v>
      </c>
      <c r="H18" s="18"/>
      <c r="I18" s="20">
        <f t="shared" si="2"/>
        <v>544</v>
      </c>
      <c r="J18" s="20">
        <f t="shared" si="10"/>
        <v>1176</v>
      </c>
      <c r="K18" s="187">
        <f t="shared" si="3"/>
        <v>1720</v>
      </c>
      <c r="L18" s="20">
        <f t="shared" si="4"/>
        <v>39125</v>
      </c>
      <c r="M18" s="43"/>
      <c r="N18" s="239">
        <f t="shared" si="1"/>
        <v>897</v>
      </c>
      <c r="O18" s="187">
        <f t="shared" si="5"/>
        <v>897</v>
      </c>
      <c r="P18" s="43"/>
      <c r="Q18" s="20">
        <f t="shared" si="6"/>
        <v>40022</v>
      </c>
      <c r="R18" s="43"/>
      <c r="S18" s="20">
        <f t="shared" si="7"/>
        <v>736</v>
      </c>
      <c r="T18" s="187">
        <f t="shared" si="8"/>
        <v>736</v>
      </c>
      <c r="U18" s="43"/>
      <c r="V18" s="20">
        <f t="shared" si="9"/>
        <v>40758</v>
      </c>
      <c r="W18" s="273"/>
      <c r="X18" s="274" t="s">
        <v>233</v>
      </c>
      <c r="Y18" s="275"/>
      <c r="Z18" s="275"/>
      <c r="AA18" s="275" t="s">
        <v>231</v>
      </c>
      <c r="AB18" s="276"/>
    </row>
    <row r="19" spans="2:28">
      <c r="C19" s="1">
        <v>514</v>
      </c>
      <c r="D19" s="1" t="s">
        <v>42</v>
      </c>
      <c r="E19" s="100">
        <f>'AN Electric'!G21</f>
        <v>76866</v>
      </c>
      <c r="F19" s="49"/>
      <c r="G19" s="17">
        <f t="shared" si="0"/>
        <v>76866</v>
      </c>
      <c r="H19" s="18"/>
      <c r="I19" s="20">
        <f t="shared" si="2"/>
        <v>1118</v>
      </c>
      <c r="J19" s="20">
        <f t="shared" si="10"/>
        <v>2418</v>
      </c>
      <c r="K19" s="187">
        <f t="shared" si="3"/>
        <v>3536</v>
      </c>
      <c r="L19" s="20">
        <f t="shared" si="4"/>
        <v>80402</v>
      </c>
      <c r="M19" s="43"/>
      <c r="N19" s="239">
        <f t="shared" si="1"/>
        <v>1843</v>
      </c>
      <c r="O19" s="187">
        <f t="shared" si="5"/>
        <v>1843</v>
      </c>
      <c r="P19" s="43"/>
      <c r="Q19" s="20">
        <f t="shared" si="6"/>
        <v>82245</v>
      </c>
      <c r="R19" s="43"/>
      <c r="S19" s="20">
        <f t="shared" si="7"/>
        <v>1513</v>
      </c>
      <c r="T19" s="187">
        <f t="shared" si="8"/>
        <v>1513</v>
      </c>
      <c r="U19" s="43"/>
      <c r="V19" s="20">
        <f t="shared" si="9"/>
        <v>83758</v>
      </c>
      <c r="W19" s="273"/>
      <c r="X19" s="277"/>
      <c r="Y19" s="11"/>
      <c r="Z19" s="11"/>
      <c r="AA19" s="11"/>
      <c r="AB19" s="278"/>
    </row>
    <row r="20" spans="2:28">
      <c r="C20" s="2" t="s">
        <v>43</v>
      </c>
      <c r="E20" s="102">
        <f>SUM(E9:E19)</f>
        <v>1882323</v>
      </c>
      <c r="F20" s="158"/>
      <c r="G20" s="36">
        <f t="shared" ref="G20:N20" si="11">SUM(G9:G19)</f>
        <v>1882323</v>
      </c>
      <c r="H20" s="18"/>
      <c r="I20" s="36">
        <f t="shared" si="11"/>
        <v>27043</v>
      </c>
      <c r="J20" s="36">
        <f t="shared" si="11"/>
        <v>58699</v>
      </c>
      <c r="K20" s="188">
        <f>SUM(I20:J20)</f>
        <v>85742</v>
      </c>
      <c r="L20" s="36">
        <f t="shared" si="4"/>
        <v>1968065</v>
      </c>
      <c r="M20" s="18"/>
      <c r="N20" s="102">
        <f t="shared" si="11"/>
        <v>45482</v>
      </c>
      <c r="O20" s="188">
        <f t="shared" si="5"/>
        <v>45482</v>
      </c>
      <c r="P20" s="18"/>
      <c r="Q20" s="36">
        <f t="shared" si="6"/>
        <v>2013547</v>
      </c>
      <c r="R20" s="18"/>
      <c r="S20" s="36">
        <f t="shared" si="7"/>
        <v>37049</v>
      </c>
      <c r="T20" s="188">
        <f t="shared" si="8"/>
        <v>37049</v>
      </c>
      <c r="U20" s="18"/>
      <c r="V20" s="36">
        <f t="shared" si="9"/>
        <v>2050596</v>
      </c>
      <c r="W20" s="273"/>
      <c r="X20" s="316" t="s">
        <v>234</v>
      </c>
      <c r="Y20" s="317"/>
      <c r="Z20" s="317"/>
      <c r="AA20" s="317"/>
      <c r="AB20" s="318">
        <v>8.3800000000000003E-3</v>
      </c>
    </row>
    <row r="21" spans="2:28">
      <c r="E21" s="100"/>
      <c r="F21" s="49"/>
      <c r="G21" s="17"/>
      <c r="H21" s="18"/>
      <c r="I21" s="17"/>
      <c r="J21" s="17"/>
      <c r="K21" s="189"/>
      <c r="L21" s="17"/>
      <c r="M21" s="18"/>
      <c r="N21" s="100"/>
      <c r="O21" s="189"/>
      <c r="P21" s="18"/>
      <c r="Q21" s="17"/>
      <c r="R21" s="18"/>
      <c r="S21" s="17">
        <f t="shared" si="7"/>
        <v>0</v>
      </c>
      <c r="T21" s="189"/>
      <c r="U21" s="18"/>
      <c r="V21" s="17"/>
      <c r="W21" s="273"/>
      <c r="X21" s="277"/>
      <c r="Y21" s="11"/>
      <c r="Z21" s="11"/>
      <c r="AA21" s="11"/>
      <c r="AB21" s="278"/>
    </row>
    <row r="22" spans="2:28">
      <c r="C22" s="2" t="s">
        <v>44</v>
      </c>
      <c r="E22" s="100"/>
      <c r="F22" s="49"/>
      <c r="G22" s="17"/>
      <c r="H22" s="18"/>
      <c r="I22" s="17"/>
      <c r="J22" s="17"/>
      <c r="K22" s="189"/>
      <c r="L22" s="17"/>
      <c r="M22" s="18"/>
      <c r="N22" s="100"/>
      <c r="O22" s="189"/>
      <c r="P22" s="18"/>
      <c r="Q22" s="17"/>
      <c r="R22" s="18"/>
      <c r="S22" s="17">
        <f t="shared" si="7"/>
        <v>0</v>
      </c>
      <c r="T22" s="189"/>
      <c r="U22" s="18"/>
      <c r="V22" s="17"/>
      <c r="W22" s="273"/>
      <c r="X22" s="279" t="s">
        <v>235</v>
      </c>
      <c r="Y22" s="25"/>
      <c r="Z22" s="25"/>
      <c r="AA22" s="25"/>
      <c r="AB22" s="280">
        <v>0.03</v>
      </c>
    </row>
    <row r="23" spans="2:28">
      <c r="B23" s="2" t="s">
        <v>27</v>
      </c>
      <c r="C23" s="1">
        <v>535</v>
      </c>
      <c r="D23" s="1" t="s">
        <v>34</v>
      </c>
      <c r="E23" s="100">
        <f>'AN Electric'!G25</f>
        <v>721032</v>
      </c>
      <c r="F23" s="49"/>
      <c r="G23" s="17">
        <f t="shared" ref="G23:G32" si="12">F23+E23</f>
        <v>721032</v>
      </c>
      <c r="H23" s="18"/>
      <c r="I23" s="19">
        <f t="shared" ref="I23:I32" si="13">ROUND(IF($B23="a",G23*I$5,G23*I$6),0)</f>
        <v>8955</v>
      </c>
      <c r="J23" s="19">
        <f t="shared" ref="J23:J32" si="14">ROUND(IF($B23="a",(G23+I23)*J$5,(G23+I23)*J$6),0)</f>
        <v>20440</v>
      </c>
      <c r="K23" s="186">
        <f>SUM(I23:J23)</f>
        <v>29395</v>
      </c>
      <c r="L23" s="19">
        <f>G23+K23</f>
        <v>750427</v>
      </c>
      <c r="M23" s="44"/>
      <c r="N23" s="19">
        <f t="shared" ref="N23:N32" si="15">ROUND(IF($B23="a",(G23+I23+J23)*N$5,(G23+I23+J23)*N$6),0)</f>
        <v>18866</v>
      </c>
      <c r="O23" s="186">
        <f t="shared" si="5"/>
        <v>18866</v>
      </c>
      <c r="P23" s="44"/>
      <c r="Q23" s="19">
        <f t="shared" si="6"/>
        <v>769293</v>
      </c>
      <c r="R23" s="44"/>
      <c r="S23" s="19">
        <f t="shared" si="7"/>
        <v>14155</v>
      </c>
      <c r="T23" s="186">
        <f t="shared" ref="T23:T33" si="16">S23</f>
        <v>14155</v>
      </c>
      <c r="U23" s="44"/>
      <c r="V23" s="19">
        <f t="shared" ref="V23:V33" si="17">Q23+T23</f>
        <v>783448</v>
      </c>
      <c r="W23" s="273"/>
      <c r="X23" s="279"/>
      <c r="Y23" s="281" t="s">
        <v>236</v>
      </c>
      <c r="Z23" s="25"/>
      <c r="AA23" s="25"/>
      <c r="AB23" s="282">
        <f>ROUND(122/365,3)</f>
        <v>0.33400000000000002</v>
      </c>
    </row>
    <row r="24" spans="2:28" ht="13.5" thickBot="1">
      <c r="B24" s="2" t="s">
        <v>248</v>
      </c>
      <c r="C24" s="1">
        <v>536</v>
      </c>
      <c r="D24" s="1" t="s">
        <v>45</v>
      </c>
      <c r="E24" s="100">
        <f>'AN Electric'!G26</f>
        <v>25700</v>
      </c>
      <c r="F24" s="49"/>
      <c r="G24" s="17">
        <f t="shared" si="12"/>
        <v>25700</v>
      </c>
      <c r="H24" s="18"/>
      <c r="I24" s="20">
        <f>ROUND(IF($B24="a",G24*I$5,G24*I$6),0)</f>
        <v>374</v>
      </c>
      <c r="J24" s="20">
        <f>ROUND(IF($B24="a",(G24+I24)*J$5,(G24+I24)*J$6),0)</f>
        <v>808</v>
      </c>
      <c r="K24" s="187">
        <f>SUM(I24:J24)</f>
        <v>1182</v>
      </c>
      <c r="L24" s="20">
        <f t="shared" si="4"/>
        <v>26882</v>
      </c>
      <c r="M24" s="43"/>
      <c r="N24" s="239">
        <f t="shared" si="15"/>
        <v>616</v>
      </c>
      <c r="O24" s="187">
        <f t="shared" si="5"/>
        <v>616</v>
      </c>
      <c r="P24" s="43"/>
      <c r="Q24" s="20">
        <f t="shared" si="6"/>
        <v>27498</v>
      </c>
      <c r="R24" s="43"/>
      <c r="S24" s="20">
        <f t="shared" si="7"/>
        <v>506</v>
      </c>
      <c r="T24" s="187">
        <f t="shared" si="16"/>
        <v>506</v>
      </c>
      <c r="U24" s="43"/>
      <c r="V24" s="20">
        <f t="shared" si="17"/>
        <v>28004</v>
      </c>
      <c r="W24" s="273"/>
      <c r="X24" s="279" t="s">
        <v>218</v>
      </c>
      <c r="Y24" s="5"/>
      <c r="Z24" s="5"/>
      <c r="AA24" s="5"/>
      <c r="AB24" s="283">
        <f>AB22*AB23</f>
        <v>1.0019999999999999E-2</v>
      </c>
    </row>
    <row r="25" spans="2:28" ht="13.5" thickTop="1">
      <c r="B25" s="2" t="s">
        <v>249</v>
      </c>
      <c r="C25" s="1">
        <v>537</v>
      </c>
      <c r="D25" s="1" t="s">
        <v>46</v>
      </c>
      <c r="E25" s="100">
        <f>'AN Electric'!G27</f>
        <v>253763</v>
      </c>
      <c r="F25" s="49"/>
      <c r="G25" s="17">
        <f t="shared" si="12"/>
        <v>253763</v>
      </c>
      <c r="H25" s="18"/>
      <c r="I25" s="19">
        <f t="shared" si="13"/>
        <v>3692</v>
      </c>
      <c r="J25" s="19">
        <f t="shared" si="14"/>
        <v>7981</v>
      </c>
      <c r="K25" s="186">
        <f t="shared" si="3"/>
        <v>11673</v>
      </c>
      <c r="L25" s="19">
        <f t="shared" si="4"/>
        <v>265436</v>
      </c>
      <c r="M25" s="44"/>
      <c r="N25" s="19">
        <f t="shared" si="15"/>
        <v>6084</v>
      </c>
      <c r="O25" s="186">
        <f t="shared" si="5"/>
        <v>6084</v>
      </c>
      <c r="P25" s="44"/>
      <c r="Q25" s="19">
        <f t="shared" si="6"/>
        <v>271520</v>
      </c>
      <c r="R25" s="44"/>
      <c r="S25" s="19">
        <f t="shared" si="7"/>
        <v>4996</v>
      </c>
      <c r="T25" s="186">
        <f t="shared" si="16"/>
        <v>4996</v>
      </c>
      <c r="U25" s="44"/>
      <c r="V25" s="19">
        <f t="shared" si="17"/>
        <v>276516</v>
      </c>
      <c r="W25" s="273"/>
      <c r="X25" s="284"/>
      <c r="Y25" s="285"/>
      <c r="Z25" s="285"/>
      <c r="AA25" s="285"/>
      <c r="AB25" s="286"/>
    </row>
    <row r="26" spans="2:28">
      <c r="B26" s="2" t="s">
        <v>250</v>
      </c>
      <c r="C26" s="1">
        <v>538</v>
      </c>
      <c r="D26" s="1" t="s">
        <v>37</v>
      </c>
      <c r="E26" s="100">
        <f>'AN Electric'!G28</f>
        <v>2689668</v>
      </c>
      <c r="F26" s="49"/>
      <c r="G26" s="17">
        <f t="shared" si="12"/>
        <v>2689668</v>
      </c>
      <c r="H26" s="18"/>
      <c r="I26" s="20">
        <f t="shared" si="13"/>
        <v>39135</v>
      </c>
      <c r="J26" s="20">
        <f t="shared" si="14"/>
        <v>84593</v>
      </c>
      <c r="K26" s="187">
        <f t="shared" si="3"/>
        <v>123728</v>
      </c>
      <c r="L26" s="20">
        <f t="shared" si="4"/>
        <v>2813396</v>
      </c>
      <c r="M26" s="43"/>
      <c r="N26" s="239">
        <f t="shared" si="15"/>
        <v>64483</v>
      </c>
      <c r="O26" s="187">
        <f t="shared" si="5"/>
        <v>64483</v>
      </c>
      <c r="P26" s="43"/>
      <c r="Q26" s="20">
        <f t="shared" si="6"/>
        <v>2877879</v>
      </c>
      <c r="R26" s="43"/>
      <c r="S26" s="20">
        <f t="shared" si="7"/>
        <v>52953</v>
      </c>
      <c r="T26" s="187">
        <f t="shared" si="16"/>
        <v>52953</v>
      </c>
      <c r="U26" s="43"/>
      <c r="V26" s="20">
        <f t="shared" si="17"/>
        <v>2930832</v>
      </c>
      <c r="W26" s="273"/>
    </row>
    <row r="27" spans="2:28">
      <c r="C27" s="1">
        <v>539</v>
      </c>
      <c r="D27" s="1" t="s">
        <v>47</v>
      </c>
      <c r="E27" s="100">
        <f>'AN Electric'!G29</f>
        <v>57478</v>
      </c>
      <c r="F27" s="49"/>
      <c r="G27" s="17">
        <f t="shared" si="12"/>
        <v>57478</v>
      </c>
      <c r="H27" s="18"/>
      <c r="I27" s="20">
        <f t="shared" si="13"/>
        <v>836</v>
      </c>
      <c r="J27" s="20">
        <f t="shared" si="14"/>
        <v>1808</v>
      </c>
      <c r="K27" s="187">
        <f t="shared" si="3"/>
        <v>2644</v>
      </c>
      <c r="L27" s="20">
        <f t="shared" si="4"/>
        <v>60122</v>
      </c>
      <c r="M27" s="43"/>
      <c r="N27" s="239">
        <f t="shared" si="15"/>
        <v>1378</v>
      </c>
      <c r="O27" s="187">
        <f t="shared" si="5"/>
        <v>1378</v>
      </c>
      <c r="P27" s="43"/>
      <c r="Q27" s="20">
        <f t="shared" si="6"/>
        <v>61500</v>
      </c>
      <c r="R27" s="43"/>
      <c r="S27" s="20">
        <f t="shared" si="7"/>
        <v>1132</v>
      </c>
      <c r="T27" s="187">
        <f t="shared" si="16"/>
        <v>1132</v>
      </c>
      <c r="U27" s="43"/>
      <c r="V27" s="20">
        <f t="shared" si="17"/>
        <v>62632</v>
      </c>
      <c r="W27" s="273"/>
    </row>
    <row r="28" spans="2:28">
      <c r="B28" s="2" t="s">
        <v>27</v>
      </c>
      <c r="C28" s="1">
        <v>541</v>
      </c>
      <c r="D28" s="1" t="s">
        <v>34</v>
      </c>
      <c r="E28" s="100">
        <f>'AN Electric'!G30</f>
        <v>352958</v>
      </c>
      <c r="F28" s="49"/>
      <c r="G28" s="17">
        <f>F28+E28</f>
        <v>352958</v>
      </c>
      <c r="H28" s="18"/>
      <c r="I28" s="19">
        <f>ROUND(IF($B28="a",G28*I$5,G28*I$6),0)</f>
        <v>4384</v>
      </c>
      <c r="J28" s="19">
        <f t="shared" si="14"/>
        <v>10006</v>
      </c>
      <c r="K28" s="186">
        <f t="shared" si="3"/>
        <v>14390</v>
      </c>
      <c r="L28" s="19">
        <f t="shared" si="4"/>
        <v>367348</v>
      </c>
      <c r="M28" s="44"/>
      <c r="N28" s="19">
        <f t="shared" si="15"/>
        <v>9235</v>
      </c>
      <c r="O28" s="186">
        <f t="shared" si="5"/>
        <v>9235</v>
      </c>
      <c r="P28" s="44"/>
      <c r="Q28" s="19">
        <f t="shared" si="6"/>
        <v>376583</v>
      </c>
      <c r="R28" s="44"/>
      <c r="S28" s="19">
        <f t="shared" si="7"/>
        <v>6929</v>
      </c>
      <c r="T28" s="186">
        <f t="shared" si="16"/>
        <v>6929</v>
      </c>
      <c r="U28" s="44"/>
      <c r="V28" s="19">
        <f t="shared" si="17"/>
        <v>383512</v>
      </c>
      <c r="W28" s="273"/>
    </row>
    <row r="29" spans="2:28">
      <c r="C29" s="1">
        <v>542</v>
      </c>
      <c r="D29" s="1">
        <f>D6</f>
        <v>0</v>
      </c>
      <c r="E29" s="100">
        <f>'AN Electric'!G31</f>
        <v>102552</v>
      </c>
      <c r="F29" s="49"/>
      <c r="G29" s="17">
        <f t="shared" si="12"/>
        <v>102552</v>
      </c>
      <c r="H29" s="18"/>
      <c r="I29" s="20">
        <f t="shared" si="13"/>
        <v>1492</v>
      </c>
      <c r="J29" s="20">
        <f t="shared" si="14"/>
        <v>3225</v>
      </c>
      <c r="K29" s="187">
        <f t="shared" si="3"/>
        <v>4717</v>
      </c>
      <c r="L29" s="20">
        <f t="shared" si="4"/>
        <v>107269</v>
      </c>
      <c r="M29" s="43"/>
      <c r="N29" s="239">
        <f t="shared" si="15"/>
        <v>2459</v>
      </c>
      <c r="O29" s="187">
        <f t="shared" si="5"/>
        <v>2459</v>
      </c>
      <c r="P29" s="43"/>
      <c r="Q29" s="20">
        <f t="shared" si="6"/>
        <v>109728</v>
      </c>
      <c r="R29" s="43"/>
      <c r="S29" s="20">
        <f t="shared" si="7"/>
        <v>2019</v>
      </c>
      <c r="T29" s="187">
        <f t="shared" si="16"/>
        <v>2019</v>
      </c>
      <c r="U29" s="43"/>
      <c r="V29" s="20">
        <f t="shared" si="17"/>
        <v>111747</v>
      </c>
      <c r="W29" s="273"/>
    </row>
    <row r="30" spans="2:28">
      <c r="C30" s="1">
        <v>543</v>
      </c>
      <c r="D30" s="1" t="s">
        <v>48</v>
      </c>
      <c r="E30" s="100">
        <f>'AN Electric'!G32</f>
        <v>125488</v>
      </c>
      <c r="F30" s="49"/>
      <c r="G30" s="17">
        <f t="shared" si="12"/>
        <v>125488</v>
      </c>
      <c r="H30" s="18"/>
      <c r="I30" s="20">
        <f t="shared" si="13"/>
        <v>1826</v>
      </c>
      <c r="J30" s="20">
        <f t="shared" si="14"/>
        <v>3947</v>
      </c>
      <c r="K30" s="187">
        <f t="shared" si="3"/>
        <v>5773</v>
      </c>
      <c r="L30" s="20">
        <f t="shared" si="4"/>
        <v>131261</v>
      </c>
      <c r="M30" s="43"/>
      <c r="N30" s="239">
        <f t="shared" si="15"/>
        <v>3009</v>
      </c>
      <c r="O30" s="187">
        <f t="shared" si="5"/>
        <v>3009</v>
      </c>
      <c r="P30" s="43"/>
      <c r="Q30" s="20">
        <f t="shared" si="6"/>
        <v>134270</v>
      </c>
      <c r="R30" s="43"/>
      <c r="S30" s="20">
        <f t="shared" si="7"/>
        <v>2471</v>
      </c>
      <c r="T30" s="187">
        <f t="shared" si="16"/>
        <v>2471</v>
      </c>
      <c r="U30" s="43"/>
      <c r="V30" s="20">
        <f t="shared" si="17"/>
        <v>136741</v>
      </c>
      <c r="W30" s="273"/>
    </row>
    <row r="31" spans="2:28">
      <c r="C31" s="1">
        <v>544</v>
      </c>
      <c r="D31" s="1" t="s">
        <v>41</v>
      </c>
      <c r="E31" s="100">
        <f>'AN Electric'!G33</f>
        <v>770028</v>
      </c>
      <c r="F31" s="49"/>
      <c r="G31" s="17">
        <f t="shared" si="12"/>
        <v>770028</v>
      </c>
      <c r="H31" s="18"/>
      <c r="I31" s="20">
        <f t="shared" si="13"/>
        <v>11204</v>
      </c>
      <c r="J31" s="20">
        <f t="shared" si="14"/>
        <v>24218</v>
      </c>
      <c r="K31" s="187">
        <f t="shared" si="3"/>
        <v>35422</v>
      </c>
      <c r="L31" s="20">
        <f t="shared" si="4"/>
        <v>805450</v>
      </c>
      <c r="M31" s="43"/>
      <c r="N31" s="239">
        <f t="shared" si="15"/>
        <v>18461</v>
      </c>
      <c r="O31" s="187">
        <f t="shared" si="5"/>
        <v>18461</v>
      </c>
      <c r="P31" s="43"/>
      <c r="Q31" s="20">
        <f t="shared" si="6"/>
        <v>823911</v>
      </c>
      <c r="R31" s="43"/>
      <c r="S31" s="20">
        <f t="shared" si="7"/>
        <v>15160</v>
      </c>
      <c r="T31" s="187">
        <f t="shared" si="16"/>
        <v>15160</v>
      </c>
      <c r="U31" s="43"/>
      <c r="V31" s="20">
        <f t="shared" si="17"/>
        <v>839071</v>
      </c>
      <c r="W31" s="273"/>
    </row>
    <row r="32" spans="2:28">
      <c r="C32" s="1">
        <v>545</v>
      </c>
      <c r="D32" s="1" t="s">
        <v>49</v>
      </c>
      <c r="E32" s="100">
        <f>'AN Electric'!G34</f>
        <v>171636</v>
      </c>
      <c r="F32" s="49"/>
      <c r="G32" s="17">
        <f t="shared" si="12"/>
        <v>171636</v>
      </c>
      <c r="H32" s="18"/>
      <c r="I32" s="20">
        <f t="shared" si="13"/>
        <v>2497</v>
      </c>
      <c r="J32" s="20">
        <f t="shared" si="14"/>
        <v>5398</v>
      </c>
      <c r="K32" s="187">
        <f t="shared" si="3"/>
        <v>7895</v>
      </c>
      <c r="L32" s="20">
        <f t="shared" si="4"/>
        <v>179531</v>
      </c>
      <c r="M32" s="43"/>
      <c r="N32" s="239">
        <f t="shared" si="15"/>
        <v>4115</v>
      </c>
      <c r="O32" s="187">
        <f t="shared" si="5"/>
        <v>4115</v>
      </c>
      <c r="P32" s="43"/>
      <c r="Q32" s="20">
        <f t="shared" si="6"/>
        <v>183646</v>
      </c>
      <c r="R32" s="43"/>
      <c r="S32" s="20">
        <f t="shared" si="7"/>
        <v>3379</v>
      </c>
      <c r="T32" s="187">
        <f t="shared" si="16"/>
        <v>3379</v>
      </c>
      <c r="U32" s="43"/>
      <c r="V32" s="20">
        <f t="shared" si="17"/>
        <v>187025</v>
      </c>
      <c r="W32" s="273"/>
    </row>
    <row r="33" spans="2:23">
      <c r="C33" s="2" t="s">
        <v>50</v>
      </c>
      <c r="E33" s="102">
        <f>SUM(E21:E32)</f>
        <v>5270303</v>
      </c>
      <c r="F33" s="158"/>
      <c r="G33" s="36">
        <f t="shared" ref="G33:N33" si="18">SUM(G23:G32)</f>
        <v>5270303</v>
      </c>
      <c r="H33" s="18"/>
      <c r="I33" s="36">
        <f t="shared" si="18"/>
        <v>74395</v>
      </c>
      <c r="J33" s="36">
        <f t="shared" si="18"/>
        <v>162424</v>
      </c>
      <c r="K33" s="188">
        <f t="shared" si="3"/>
        <v>236819</v>
      </c>
      <c r="L33" s="36">
        <f t="shared" si="4"/>
        <v>5507122</v>
      </c>
      <c r="M33" s="18"/>
      <c r="N33" s="102">
        <f t="shared" si="18"/>
        <v>128706</v>
      </c>
      <c r="O33" s="188">
        <f t="shared" si="5"/>
        <v>128706</v>
      </c>
      <c r="P33" s="18"/>
      <c r="Q33" s="36">
        <f t="shared" si="6"/>
        <v>5635828</v>
      </c>
      <c r="R33" s="18"/>
      <c r="S33" s="36">
        <f t="shared" si="7"/>
        <v>103699</v>
      </c>
      <c r="T33" s="188">
        <f t="shared" si="16"/>
        <v>103699</v>
      </c>
      <c r="U33" s="18"/>
      <c r="V33" s="36">
        <f t="shared" si="17"/>
        <v>5739527</v>
      </c>
      <c r="W33" s="273"/>
    </row>
    <row r="34" spans="2:23">
      <c r="E34" s="100"/>
      <c r="F34" s="49"/>
      <c r="G34" s="17"/>
      <c r="H34" s="18"/>
      <c r="I34" s="17"/>
      <c r="J34" s="17"/>
      <c r="K34" s="189"/>
      <c r="L34" s="17"/>
      <c r="M34" s="18"/>
      <c r="N34" s="100"/>
      <c r="O34" s="189"/>
      <c r="P34" s="18"/>
      <c r="Q34" s="17"/>
      <c r="R34" s="18"/>
      <c r="S34" s="17">
        <f t="shared" si="7"/>
        <v>0</v>
      </c>
      <c r="T34" s="189"/>
      <c r="U34" s="18"/>
      <c r="V34" s="17"/>
      <c r="W34" s="273"/>
    </row>
    <row r="35" spans="2:23">
      <c r="C35" s="2" t="s">
        <v>51</v>
      </c>
      <c r="E35" s="100"/>
      <c r="F35" s="49"/>
      <c r="G35" s="17"/>
      <c r="H35" s="18"/>
      <c r="I35" s="17"/>
      <c r="J35" s="17"/>
      <c r="K35" s="189"/>
      <c r="L35" s="17"/>
      <c r="M35" s="18"/>
      <c r="N35" s="100"/>
      <c r="O35" s="189"/>
      <c r="P35" s="18"/>
      <c r="Q35" s="17"/>
      <c r="R35" s="18"/>
      <c r="S35" s="17">
        <f t="shared" si="7"/>
        <v>0</v>
      </c>
      <c r="T35" s="189"/>
      <c r="U35" s="18"/>
      <c r="V35" s="17"/>
      <c r="W35" s="273"/>
    </row>
    <row r="36" spans="2:23">
      <c r="B36" s="2" t="s">
        <v>27</v>
      </c>
      <c r="C36" s="1">
        <v>546</v>
      </c>
      <c r="D36" s="1" t="s">
        <v>34</v>
      </c>
      <c r="E36" s="100">
        <f>'AN Electric'!G38</f>
        <v>66495</v>
      </c>
      <c r="F36" s="49"/>
      <c r="G36" s="17">
        <f t="shared" ref="G36:G42" si="19">F36+E36</f>
        <v>66495</v>
      </c>
      <c r="H36" s="18"/>
      <c r="I36" s="19">
        <f t="shared" ref="I36:I42" si="20">ROUND(IF($B36="a",G36*I$5,G36*I$6),0)</f>
        <v>826</v>
      </c>
      <c r="J36" s="19">
        <f t="shared" ref="J36:J42" si="21">ROUND(IF($B36="a",(G36+I36)*J$5,(G36+I36)*J$6),0)</f>
        <v>1885</v>
      </c>
      <c r="K36" s="186">
        <f t="shared" si="3"/>
        <v>2711</v>
      </c>
      <c r="L36" s="19">
        <f t="shared" si="4"/>
        <v>69206</v>
      </c>
      <c r="M36" s="44"/>
      <c r="N36" s="19">
        <f t="shared" ref="N36:N42" si="22">ROUND(IF($B36="a",(G36+I36+J36)*N$5,(G36+I36+J36)*N$6),0)</f>
        <v>1740</v>
      </c>
      <c r="O36" s="186">
        <f t="shared" si="5"/>
        <v>1740</v>
      </c>
      <c r="P36" s="44"/>
      <c r="Q36" s="19">
        <f t="shared" si="6"/>
        <v>70946</v>
      </c>
      <c r="R36" s="44"/>
      <c r="S36" s="19">
        <f t="shared" si="7"/>
        <v>1305</v>
      </c>
      <c r="T36" s="186">
        <f t="shared" ref="T36:T43" si="23">S36</f>
        <v>1305</v>
      </c>
      <c r="U36" s="44"/>
      <c r="V36" s="19">
        <f t="shared" ref="V36:V43" si="24">Q36+T36</f>
        <v>72251</v>
      </c>
      <c r="W36" s="273"/>
    </row>
    <row r="37" spans="2:23">
      <c r="C37" s="1">
        <v>548</v>
      </c>
      <c r="D37" s="1" t="s">
        <v>52</v>
      </c>
      <c r="E37" s="100">
        <f>'AN Electric'!G39</f>
        <v>101238</v>
      </c>
      <c r="F37" s="49"/>
      <c r="G37" s="17">
        <f t="shared" si="19"/>
        <v>101238</v>
      </c>
      <c r="H37" s="18"/>
      <c r="I37" s="20">
        <f t="shared" si="20"/>
        <v>1473</v>
      </c>
      <c r="J37" s="20">
        <f t="shared" si="21"/>
        <v>3184</v>
      </c>
      <c r="K37" s="187">
        <f t="shared" si="3"/>
        <v>4657</v>
      </c>
      <c r="L37" s="20">
        <f t="shared" si="4"/>
        <v>105895</v>
      </c>
      <c r="M37" s="43"/>
      <c r="N37" s="239">
        <f t="shared" si="22"/>
        <v>2427</v>
      </c>
      <c r="O37" s="187">
        <f t="shared" si="5"/>
        <v>2427</v>
      </c>
      <c r="P37" s="43"/>
      <c r="Q37" s="20">
        <f t="shared" si="6"/>
        <v>108322</v>
      </c>
      <c r="R37" s="43"/>
      <c r="S37" s="20">
        <f t="shared" si="7"/>
        <v>1993</v>
      </c>
      <c r="T37" s="187">
        <f t="shared" si="23"/>
        <v>1993</v>
      </c>
      <c r="U37" s="43"/>
      <c r="V37" s="20">
        <f t="shared" si="24"/>
        <v>110315</v>
      </c>
      <c r="W37" s="273"/>
    </row>
    <row r="38" spans="2:23">
      <c r="C38" s="1">
        <v>549</v>
      </c>
      <c r="D38" s="1" t="s">
        <v>53</v>
      </c>
      <c r="E38" s="100">
        <f>'AN Electric'!G40</f>
        <v>12154</v>
      </c>
      <c r="F38" s="49"/>
      <c r="G38" s="17">
        <f t="shared" si="19"/>
        <v>12154</v>
      </c>
      <c r="H38" s="18"/>
      <c r="I38" s="20">
        <f t="shared" si="20"/>
        <v>177</v>
      </c>
      <c r="J38" s="20">
        <f t="shared" si="21"/>
        <v>382</v>
      </c>
      <c r="K38" s="187">
        <f t="shared" si="3"/>
        <v>559</v>
      </c>
      <c r="L38" s="20">
        <f t="shared" si="4"/>
        <v>12713</v>
      </c>
      <c r="M38" s="43"/>
      <c r="N38" s="239">
        <f t="shared" si="22"/>
        <v>291</v>
      </c>
      <c r="O38" s="187">
        <f t="shared" si="5"/>
        <v>291</v>
      </c>
      <c r="P38" s="43"/>
      <c r="Q38" s="20">
        <f t="shared" si="6"/>
        <v>13004</v>
      </c>
      <c r="R38" s="43"/>
      <c r="S38" s="20">
        <f t="shared" si="7"/>
        <v>239</v>
      </c>
      <c r="T38" s="187">
        <f t="shared" si="23"/>
        <v>239</v>
      </c>
      <c r="U38" s="43"/>
      <c r="V38" s="20">
        <f t="shared" si="24"/>
        <v>13243</v>
      </c>
      <c r="W38" s="273"/>
    </row>
    <row r="39" spans="2:23">
      <c r="B39" s="2" t="s">
        <v>27</v>
      </c>
      <c r="C39" s="1">
        <v>551</v>
      </c>
      <c r="D39" s="1" t="s">
        <v>34</v>
      </c>
      <c r="E39" s="100">
        <f>'AN Electric'!G41</f>
        <v>164522</v>
      </c>
      <c r="F39" s="49"/>
      <c r="G39" s="17">
        <f t="shared" si="19"/>
        <v>164522</v>
      </c>
      <c r="H39" s="18"/>
      <c r="I39" s="19">
        <f t="shared" si="20"/>
        <v>2043</v>
      </c>
      <c r="J39" s="19">
        <f t="shared" si="21"/>
        <v>4664</v>
      </c>
      <c r="K39" s="186">
        <f t="shared" si="3"/>
        <v>6707</v>
      </c>
      <c r="L39" s="19">
        <f t="shared" si="4"/>
        <v>171229</v>
      </c>
      <c r="M39" s="44"/>
      <c r="N39" s="19">
        <f t="shared" si="22"/>
        <v>4305</v>
      </c>
      <c r="O39" s="186">
        <f t="shared" si="5"/>
        <v>4305</v>
      </c>
      <c r="P39" s="44"/>
      <c r="Q39" s="19">
        <f t="shared" si="6"/>
        <v>175534</v>
      </c>
      <c r="R39" s="44"/>
      <c r="S39" s="19">
        <f t="shared" si="7"/>
        <v>3230</v>
      </c>
      <c r="T39" s="186">
        <f t="shared" si="23"/>
        <v>3230</v>
      </c>
      <c r="U39" s="44"/>
      <c r="V39" s="19">
        <f t="shared" si="24"/>
        <v>178764</v>
      </c>
      <c r="W39" s="273"/>
    </row>
    <row r="40" spans="2:23">
      <c r="C40" s="1">
        <v>552</v>
      </c>
      <c r="D40" s="1" t="s">
        <v>39</v>
      </c>
      <c r="E40" s="100">
        <f>'AN Electric'!G42</f>
        <v>247</v>
      </c>
      <c r="F40" s="49"/>
      <c r="G40" s="17">
        <f t="shared" si="19"/>
        <v>247</v>
      </c>
      <c r="H40" s="18"/>
      <c r="I40" s="20">
        <f t="shared" si="20"/>
        <v>4</v>
      </c>
      <c r="J40" s="20">
        <f t="shared" si="21"/>
        <v>8</v>
      </c>
      <c r="K40" s="187">
        <f t="shared" si="3"/>
        <v>12</v>
      </c>
      <c r="L40" s="20">
        <f t="shared" si="4"/>
        <v>259</v>
      </c>
      <c r="M40" s="43"/>
      <c r="N40" s="239">
        <f t="shared" si="22"/>
        <v>6</v>
      </c>
      <c r="O40" s="187">
        <f t="shared" si="5"/>
        <v>6</v>
      </c>
      <c r="P40" s="43"/>
      <c r="Q40" s="20">
        <f t="shared" si="6"/>
        <v>265</v>
      </c>
      <c r="R40" s="43"/>
      <c r="S40" s="20">
        <f t="shared" si="7"/>
        <v>5</v>
      </c>
      <c r="T40" s="187">
        <f t="shared" si="23"/>
        <v>5</v>
      </c>
      <c r="U40" s="43"/>
      <c r="V40" s="20">
        <f t="shared" si="24"/>
        <v>270</v>
      </c>
      <c r="W40" s="273"/>
    </row>
    <row r="41" spans="2:23">
      <c r="C41" s="1">
        <v>553</v>
      </c>
      <c r="D41" s="1" t="s">
        <v>54</v>
      </c>
      <c r="E41" s="100">
        <f>'AN Electric'!G43</f>
        <v>221292</v>
      </c>
      <c r="F41" s="49"/>
      <c r="G41" s="17">
        <f t="shared" si="19"/>
        <v>221292</v>
      </c>
      <c r="H41" s="18"/>
      <c r="I41" s="20">
        <f t="shared" si="20"/>
        <v>3220</v>
      </c>
      <c r="J41" s="20">
        <f t="shared" si="21"/>
        <v>6960</v>
      </c>
      <c r="K41" s="187">
        <f t="shared" si="3"/>
        <v>10180</v>
      </c>
      <c r="L41" s="20">
        <f t="shared" si="4"/>
        <v>231472</v>
      </c>
      <c r="M41" s="43"/>
      <c r="N41" s="239">
        <f t="shared" si="22"/>
        <v>5305</v>
      </c>
      <c r="O41" s="187">
        <f t="shared" si="5"/>
        <v>5305</v>
      </c>
      <c r="P41" s="43"/>
      <c r="Q41" s="20">
        <f t="shared" si="6"/>
        <v>236777</v>
      </c>
      <c r="R41" s="43"/>
      <c r="S41" s="20">
        <f t="shared" si="7"/>
        <v>4357</v>
      </c>
      <c r="T41" s="187">
        <f t="shared" si="23"/>
        <v>4357</v>
      </c>
      <c r="U41" s="43"/>
      <c r="V41" s="20">
        <f t="shared" si="24"/>
        <v>241134</v>
      </c>
      <c r="W41" s="273"/>
    </row>
    <row r="42" spans="2:23">
      <c r="C42" s="1">
        <v>554</v>
      </c>
      <c r="D42" s="1" t="s">
        <v>55</v>
      </c>
      <c r="E42" s="100">
        <f>'AN Electric'!G44</f>
        <v>21433</v>
      </c>
      <c r="F42" s="49"/>
      <c r="G42" s="17">
        <f t="shared" si="19"/>
        <v>21433</v>
      </c>
      <c r="H42" s="18"/>
      <c r="I42" s="20">
        <f t="shared" si="20"/>
        <v>312</v>
      </c>
      <c r="J42" s="20">
        <f t="shared" si="21"/>
        <v>674</v>
      </c>
      <c r="K42" s="187">
        <f t="shared" si="3"/>
        <v>986</v>
      </c>
      <c r="L42" s="20">
        <f t="shared" si="4"/>
        <v>22419</v>
      </c>
      <c r="M42" s="43"/>
      <c r="N42" s="239">
        <f t="shared" si="22"/>
        <v>514</v>
      </c>
      <c r="O42" s="187">
        <f t="shared" si="5"/>
        <v>514</v>
      </c>
      <c r="P42" s="43"/>
      <c r="Q42" s="20">
        <f t="shared" si="6"/>
        <v>22933</v>
      </c>
      <c r="R42" s="43"/>
      <c r="S42" s="20">
        <f t="shared" si="7"/>
        <v>422</v>
      </c>
      <c r="T42" s="187">
        <f t="shared" si="23"/>
        <v>422</v>
      </c>
      <c r="U42" s="43"/>
      <c r="V42" s="20">
        <f t="shared" si="24"/>
        <v>23355</v>
      </c>
      <c r="W42" s="273"/>
    </row>
    <row r="43" spans="2:23">
      <c r="C43" s="2" t="s">
        <v>56</v>
      </c>
      <c r="E43" s="102">
        <f>SUM(E36:E42)</f>
        <v>587381</v>
      </c>
      <c r="F43" s="158"/>
      <c r="G43" s="36">
        <f t="shared" ref="G43:N43" si="25">SUM(G36:G42)</f>
        <v>587381</v>
      </c>
      <c r="H43" s="18"/>
      <c r="I43" s="36">
        <f t="shared" si="25"/>
        <v>8055</v>
      </c>
      <c r="J43" s="36">
        <f t="shared" si="25"/>
        <v>17757</v>
      </c>
      <c r="K43" s="188">
        <f t="shared" si="3"/>
        <v>25812</v>
      </c>
      <c r="L43" s="36">
        <f t="shared" si="4"/>
        <v>613193</v>
      </c>
      <c r="M43" s="18"/>
      <c r="N43" s="102">
        <f t="shared" si="25"/>
        <v>14588</v>
      </c>
      <c r="O43" s="188">
        <f t="shared" si="5"/>
        <v>14588</v>
      </c>
      <c r="P43" s="18"/>
      <c r="Q43" s="36">
        <f t="shared" si="6"/>
        <v>627781</v>
      </c>
      <c r="R43" s="18"/>
      <c r="S43" s="36">
        <f t="shared" si="7"/>
        <v>11551</v>
      </c>
      <c r="T43" s="188">
        <f t="shared" si="23"/>
        <v>11551</v>
      </c>
      <c r="U43" s="18"/>
      <c r="V43" s="36">
        <f t="shared" si="24"/>
        <v>639332</v>
      </c>
      <c r="W43" s="273"/>
    </row>
    <row r="44" spans="2:23">
      <c r="E44" s="100"/>
      <c r="F44" s="49"/>
      <c r="G44" s="17"/>
      <c r="H44" s="18"/>
      <c r="I44" s="17"/>
      <c r="J44" s="17"/>
      <c r="K44" s="189"/>
      <c r="L44" s="17"/>
      <c r="M44" s="18"/>
      <c r="N44" s="100"/>
      <c r="O44" s="189"/>
      <c r="P44" s="18"/>
      <c r="Q44" s="17"/>
      <c r="R44" s="18"/>
      <c r="S44" s="17">
        <f t="shared" si="7"/>
        <v>0</v>
      </c>
      <c r="T44" s="189"/>
      <c r="U44" s="18"/>
      <c r="V44" s="17"/>
      <c r="W44" s="273"/>
    </row>
    <row r="45" spans="2:23">
      <c r="C45" s="2" t="s">
        <v>57</v>
      </c>
      <c r="E45" s="100"/>
      <c r="F45" s="49"/>
      <c r="G45" s="17"/>
      <c r="H45" s="18"/>
      <c r="I45" s="17"/>
      <c r="J45" s="17"/>
      <c r="K45" s="189"/>
      <c r="L45" s="17"/>
      <c r="M45" s="18"/>
      <c r="N45" s="100"/>
      <c r="O45" s="189"/>
      <c r="P45" s="18"/>
      <c r="Q45" s="17"/>
      <c r="R45" s="18"/>
      <c r="S45" s="17">
        <f t="shared" si="7"/>
        <v>0</v>
      </c>
      <c r="T45" s="189"/>
      <c r="U45" s="18"/>
      <c r="V45" s="17"/>
      <c r="W45" s="273"/>
    </row>
    <row r="46" spans="2:23">
      <c r="B46" s="2" t="s">
        <v>27</v>
      </c>
      <c r="C46" s="1">
        <v>556</v>
      </c>
      <c r="D46" s="1" t="s">
        <v>58</v>
      </c>
      <c r="E46" s="100">
        <f>'AN Electric'!G48</f>
        <v>257395</v>
      </c>
      <c r="F46" s="49"/>
      <c r="G46" s="17">
        <f>F46+E46</f>
        <v>257395</v>
      </c>
      <c r="H46" s="18"/>
      <c r="I46" s="19">
        <f>ROUND(IF($B46="a",G46*I$5,G46*I$6),0)</f>
        <v>3197</v>
      </c>
      <c r="J46" s="19">
        <f t="shared" ref="J46:J47" si="26">ROUND(IF($B46="a",(G46+I46)*J$5,(G46+I46)*J$6),0)</f>
        <v>7297</v>
      </c>
      <c r="K46" s="186">
        <f t="shared" si="3"/>
        <v>10494</v>
      </c>
      <c r="L46" s="19">
        <f t="shared" si="4"/>
        <v>267889</v>
      </c>
      <c r="M46" s="44"/>
      <c r="N46" s="19">
        <f>ROUND(IF($B46="a",(G46+I46+J46)*N$5,(G46+I46+J46)*N$6),0)</f>
        <v>6735</v>
      </c>
      <c r="O46" s="186">
        <f t="shared" si="5"/>
        <v>6735</v>
      </c>
      <c r="P46" s="44"/>
      <c r="Q46" s="19">
        <f t="shared" si="6"/>
        <v>274624</v>
      </c>
      <c r="R46" s="44"/>
      <c r="S46" s="19">
        <f t="shared" si="7"/>
        <v>5053</v>
      </c>
      <c r="T46" s="186">
        <f t="shared" ref="T46:T50" si="27">S46</f>
        <v>5053</v>
      </c>
      <c r="U46" s="44"/>
      <c r="V46" s="19">
        <f t="shared" ref="V46:V50" si="28">Q46+T46</f>
        <v>279677</v>
      </c>
      <c r="W46" s="273"/>
    </row>
    <row r="47" spans="2:23">
      <c r="B47" s="2" t="s">
        <v>27</v>
      </c>
      <c r="C47" s="1" t="s">
        <v>195</v>
      </c>
      <c r="D47" s="1" t="s">
        <v>59</v>
      </c>
      <c r="E47" s="100">
        <f>'AN Electric'!G49</f>
        <v>2162284</v>
      </c>
      <c r="F47" s="49"/>
      <c r="G47" s="17">
        <f>F47+E47</f>
        <v>2162284</v>
      </c>
      <c r="H47" s="18"/>
      <c r="I47" s="19">
        <f>ROUND(IF($B47="a",G47*I$5,G47*I$6),0)</f>
        <v>26856</v>
      </c>
      <c r="J47" s="19">
        <f t="shared" si="26"/>
        <v>61296</v>
      </c>
      <c r="K47" s="186">
        <f t="shared" si="3"/>
        <v>88152</v>
      </c>
      <c r="L47" s="19">
        <f t="shared" si="4"/>
        <v>2250436</v>
      </c>
      <c r="M47" s="44"/>
      <c r="N47" s="19">
        <f>ROUND(IF($B47="a",(G47+I47+J47)*N$5,(G47+I47+J47)*N$6),0)</f>
        <v>56576</v>
      </c>
      <c r="O47" s="186">
        <f t="shared" si="5"/>
        <v>56576</v>
      </c>
      <c r="P47" s="44"/>
      <c r="Q47" s="19">
        <f t="shared" si="6"/>
        <v>2307012</v>
      </c>
      <c r="R47" s="44"/>
      <c r="S47" s="19">
        <f t="shared" si="7"/>
        <v>42449</v>
      </c>
      <c r="T47" s="186">
        <f t="shared" si="27"/>
        <v>42449</v>
      </c>
      <c r="U47" s="44"/>
      <c r="V47" s="19">
        <f t="shared" si="28"/>
        <v>2349461</v>
      </c>
      <c r="W47" s="273"/>
    </row>
    <row r="48" spans="2:23">
      <c r="C48" s="2" t="s">
        <v>60</v>
      </c>
      <c r="E48" s="102">
        <f>SUM(E46:E47)</f>
        <v>2419679</v>
      </c>
      <c r="F48" s="158"/>
      <c r="G48" s="36">
        <f t="shared" ref="G48:N48" si="29">SUM(G46:G47)</f>
        <v>2419679</v>
      </c>
      <c r="H48" s="18"/>
      <c r="I48" s="36">
        <f t="shared" si="29"/>
        <v>30053</v>
      </c>
      <c r="J48" s="36">
        <f t="shared" si="29"/>
        <v>68593</v>
      </c>
      <c r="K48" s="188">
        <f t="shared" si="3"/>
        <v>98646</v>
      </c>
      <c r="L48" s="36">
        <f t="shared" si="4"/>
        <v>2518325</v>
      </c>
      <c r="M48" s="18"/>
      <c r="N48" s="102">
        <f t="shared" si="29"/>
        <v>63311</v>
      </c>
      <c r="O48" s="188">
        <f t="shared" si="5"/>
        <v>63311</v>
      </c>
      <c r="P48" s="18"/>
      <c r="Q48" s="36">
        <f t="shared" si="6"/>
        <v>2581636</v>
      </c>
      <c r="R48" s="18"/>
      <c r="S48" s="36">
        <f t="shared" si="7"/>
        <v>47502</v>
      </c>
      <c r="T48" s="188">
        <f t="shared" si="27"/>
        <v>47502</v>
      </c>
      <c r="U48" s="18"/>
      <c r="V48" s="36">
        <f t="shared" si="28"/>
        <v>2629138</v>
      </c>
      <c r="W48" s="273"/>
    </row>
    <row r="49" spans="2:23">
      <c r="E49" s="100"/>
      <c r="F49" s="49"/>
      <c r="G49" s="17"/>
      <c r="H49" s="18"/>
      <c r="I49" s="17"/>
      <c r="J49" s="17"/>
      <c r="K49" s="189"/>
      <c r="L49" s="17"/>
      <c r="M49" s="18"/>
      <c r="N49" s="100"/>
      <c r="O49" s="189">
        <f t="shared" si="5"/>
        <v>0</v>
      </c>
      <c r="P49" s="18"/>
      <c r="Q49" s="17">
        <f t="shared" si="6"/>
        <v>0</v>
      </c>
      <c r="R49" s="18"/>
      <c r="S49" s="17">
        <f t="shared" si="7"/>
        <v>0</v>
      </c>
      <c r="T49" s="189">
        <f t="shared" si="27"/>
        <v>0</v>
      </c>
      <c r="U49" s="18"/>
      <c r="V49" s="17">
        <f t="shared" si="28"/>
        <v>0</v>
      </c>
      <c r="W49" s="273"/>
    </row>
    <row r="50" spans="2:23">
      <c r="C50" s="2" t="s">
        <v>29</v>
      </c>
      <c r="E50" s="158">
        <f>E20+E33+E43+E48</f>
        <v>10159686</v>
      </c>
      <c r="F50" s="158"/>
      <c r="G50" s="102">
        <f>G20+G33+G43+G48</f>
        <v>10159686</v>
      </c>
      <c r="H50" s="154"/>
      <c r="I50" s="102">
        <f>I20+I33+I43+I48</f>
        <v>139546</v>
      </c>
      <c r="J50" s="102">
        <f t="shared" ref="J50:N50" si="30">J20+J33+J43+J48</f>
        <v>307473</v>
      </c>
      <c r="K50" s="190">
        <f t="shared" si="3"/>
        <v>447019</v>
      </c>
      <c r="L50" s="102">
        <f t="shared" si="4"/>
        <v>10606705</v>
      </c>
      <c r="M50" s="154"/>
      <c r="N50" s="102">
        <f t="shared" si="30"/>
        <v>252087</v>
      </c>
      <c r="O50" s="190">
        <f t="shared" si="5"/>
        <v>252087</v>
      </c>
      <c r="P50" s="154"/>
      <c r="Q50" s="102">
        <f t="shared" si="6"/>
        <v>10858792</v>
      </c>
      <c r="R50" s="154"/>
      <c r="S50" s="102">
        <f t="shared" si="7"/>
        <v>199802</v>
      </c>
      <c r="T50" s="190">
        <f t="shared" si="27"/>
        <v>199802</v>
      </c>
      <c r="U50" s="154"/>
      <c r="V50" s="102">
        <f t="shared" si="28"/>
        <v>11058594</v>
      </c>
      <c r="W50" s="273"/>
    </row>
    <row r="51" spans="2:23">
      <c r="D51" s="2">
        <f>D29</f>
        <v>0</v>
      </c>
      <c r="E51" s="100"/>
      <c r="F51" s="49"/>
      <c r="G51" s="17"/>
      <c r="H51" s="18"/>
      <c r="I51" s="17"/>
      <c r="J51" s="17"/>
      <c r="K51" s="189"/>
      <c r="L51" s="17"/>
      <c r="M51" s="18"/>
      <c r="N51" s="100"/>
      <c r="O51" s="189"/>
      <c r="P51" s="18"/>
      <c r="Q51" s="17"/>
      <c r="R51" s="18"/>
      <c r="S51" s="17">
        <f t="shared" si="7"/>
        <v>0</v>
      </c>
      <c r="T51" s="189"/>
      <c r="U51" s="18"/>
      <c r="V51" s="17"/>
      <c r="W51" s="273"/>
    </row>
    <row r="52" spans="2:23">
      <c r="C52" s="2" t="s">
        <v>2</v>
      </c>
      <c r="E52" s="100"/>
      <c r="F52" s="49"/>
      <c r="G52" s="17"/>
      <c r="H52" s="18"/>
      <c r="I52" s="17"/>
      <c r="J52" s="17"/>
      <c r="K52" s="189"/>
      <c r="L52" s="17"/>
      <c r="M52" s="18"/>
      <c r="N52" s="100"/>
      <c r="O52" s="189"/>
      <c r="P52" s="18"/>
      <c r="Q52" s="17"/>
      <c r="R52" s="18"/>
      <c r="S52" s="17">
        <f t="shared" si="7"/>
        <v>0</v>
      </c>
      <c r="T52" s="189"/>
      <c r="U52" s="18"/>
      <c r="V52" s="17"/>
      <c r="W52" s="273"/>
    </row>
    <row r="53" spans="2:23">
      <c r="B53" s="2" t="s">
        <v>27</v>
      </c>
      <c r="C53" s="1">
        <v>560</v>
      </c>
      <c r="D53" s="1" t="s">
        <v>34</v>
      </c>
      <c r="E53" s="100">
        <f>'AN Electric'!G55</f>
        <v>699143</v>
      </c>
      <c r="F53" s="49"/>
      <c r="G53" s="17">
        <f t="shared" ref="G53:G65" si="31">F53+E53</f>
        <v>699143</v>
      </c>
      <c r="H53" s="18"/>
      <c r="I53" s="19">
        <f t="shared" ref="I53:I65" si="32">ROUND(IF($B53="a",G53*I$5,G53*I$6),0)</f>
        <v>8683</v>
      </c>
      <c r="J53" s="19">
        <f t="shared" ref="J53:J65" si="33">ROUND(IF($B53="a",(G53+I53)*J$5,(G53+I53)*J$6),0)</f>
        <v>19819</v>
      </c>
      <c r="K53" s="186">
        <f t="shared" si="3"/>
        <v>28502</v>
      </c>
      <c r="L53" s="19">
        <f t="shared" si="4"/>
        <v>727645</v>
      </c>
      <c r="M53" s="44"/>
      <c r="N53" s="19">
        <f t="shared" ref="N53:N65" si="34">ROUND(IF($B53="a",(G53+I53+J53)*N$5,(G53+I53+J53)*N$6),0)</f>
        <v>18293</v>
      </c>
      <c r="O53" s="186">
        <f t="shared" si="5"/>
        <v>18293</v>
      </c>
      <c r="P53" s="44"/>
      <c r="Q53" s="19">
        <f t="shared" si="6"/>
        <v>745938</v>
      </c>
      <c r="R53" s="44"/>
      <c r="S53" s="19">
        <f t="shared" si="7"/>
        <v>13725</v>
      </c>
      <c r="T53" s="186">
        <f t="shared" ref="T53:T66" si="35">S53</f>
        <v>13725</v>
      </c>
      <c r="U53" s="44"/>
      <c r="V53" s="19">
        <f t="shared" ref="V53:V66" si="36">Q53+T53</f>
        <v>759663</v>
      </c>
      <c r="W53" s="273"/>
    </row>
    <row r="54" spans="2:23">
      <c r="B54" s="2" t="s">
        <v>27</v>
      </c>
      <c r="C54" s="1">
        <v>561</v>
      </c>
      <c r="D54" s="1" t="s">
        <v>61</v>
      </c>
      <c r="E54" s="100">
        <f>'AN Electric'!G56</f>
        <v>977333</v>
      </c>
      <c r="F54" s="49"/>
      <c r="G54" s="17">
        <f t="shared" si="31"/>
        <v>977333</v>
      </c>
      <c r="H54" s="18"/>
      <c r="I54" s="19">
        <f t="shared" si="32"/>
        <v>12138</v>
      </c>
      <c r="J54" s="19">
        <f t="shared" si="33"/>
        <v>27705</v>
      </c>
      <c r="K54" s="186">
        <f t="shared" si="3"/>
        <v>39843</v>
      </c>
      <c r="L54" s="19">
        <f t="shared" si="4"/>
        <v>1017176</v>
      </c>
      <c r="M54" s="44"/>
      <c r="N54" s="19">
        <f t="shared" si="34"/>
        <v>25572</v>
      </c>
      <c r="O54" s="186">
        <f t="shared" si="5"/>
        <v>25572</v>
      </c>
      <c r="P54" s="44"/>
      <c r="Q54" s="19">
        <f t="shared" si="6"/>
        <v>1042748</v>
      </c>
      <c r="R54" s="44"/>
      <c r="S54" s="19">
        <f t="shared" si="7"/>
        <v>19187</v>
      </c>
      <c r="T54" s="186">
        <f t="shared" si="35"/>
        <v>19187</v>
      </c>
      <c r="U54" s="44"/>
      <c r="V54" s="19">
        <f t="shared" si="36"/>
        <v>1061935</v>
      </c>
      <c r="W54" s="273"/>
    </row>
    <row r="55" spans="2:23">
      <c r="C55" s="1">
        <v>562</v>
      </c>
      <c r="D55" s="1" t="s">
        <v>62</v>
      </c>
      <c r="E55" s="100">
        <f>'AN Electric'!G57</f>
        <v>105393</v>
      </c>
      <c r="F55" s="49"/>
      <c r="G55" s="17">
        <f t="shared" si="31"/>
        <v>105393</v>
      </c>
      <c r="H55" s="18"/>
      <c r="I55" s="20">
        <f t="shared" si="32"/>
        <v>1533</v>
      </c>
      <c r="J55" s="20">
        <f t="shared" si="33"/>
        <v>3315</v>
      </c>
      <c r="K55" s="187">
        <f t="shared" si="3"/>
        <v>4848</v>
      </c>
      <c r="L55" s="20">
        <f t="shared" si="4"/>
        <v>110241</v>
      </c>
      <c r="M55" s="43"/>
      <c r="N55" s="239">
        <f t="shared" si="34"/>
        <v>2527</v>
      </c>
      <c r="O55" s="187">
        <f t="shared" si="5"/>
        <v>2527</v>
      </c>
      <c r="P55" s="43"/>
      <c r="Q55" s="20">
        <f t="shared" si="6"/>
        <v>112768</v>
      </c>
      <c r="R55" s="43"/>
      <c r="S55" s="20">
        <f t="shared" si="7"/>
        <v>2075</v>
      </c>
      <c r="T55" s="187">
        <f t="shared" si="35"/>
        <v>2075</v>
      </c>
      <c r="U55" s="43"/>
      <c r="V55" s="20">
        <f t="shared" si="36"/>
        <v>114843</v>
      </c>
      <c r="W55" s="273"/>
    </row>
    <row r="56" spans="2:23">
      <c r="C56" s="1">
        <v>563</v>
      </c>
      <c r="D56" s="1" t="s">
        <v>63</v>
      </c>
      <c r="E56" s="100">
        <f>'AN Electric'!G58</f>
        <v>40652</v>
      </c>
      <c r="F56" s="49"/>
      <c r="G56" s="17">
        <f t="shared" si="31"/>
        <v>40652</v>
      </c>
      <c r="H56" s="18"/>
      <c r="I56" s="20">
        <f t="shared" si="32"/>
        <v>591</v>
      </c>
      <c r="J56" s="20">
        <f t="shared" si="33"/>
        <v>1279</v>
      </c>
      <c r="K56" s="187">
        <f t="shared" si="3"/>
        <v>1870</v>
      </c>
      <c r="L56" s="20">
        <f t="shared" si="4"/>
        <v>42522</v>
      </c>
      <c r="M56" s="43"/>
      <c r="N56" s="239">
        <f t="shared" si="34"/>
        <v>975</v>
      </c>
      <c r="O56" s="187">
        <f t="shared" si="5"/>
        <v>975</v>
      </c>
      <c r="P56" s="43"/>
      <c r="Q56" s="20">
        <f t="shared" si="6"/>
        <v>43497</v>
      </c>
      <c r="R56" s="43"/>
      <c r="S56" s="20">
        <f t="shared" si="7"/>
        <v>800</v>
      </c>
      <c r="T56" s="187">
        <f t="shared" si="35"/>
        <v>800</v>
      </c>
      <c r="U56" s="43"/>
      <c r="V56" s="20">
        <f t="shared" si="36"/>
        <v>44297</v>
      </c>
      <c r="W56" s="273"/>
    </row>
    <row r="57" spans="2:23">
      <c r="C57" s="1">
        <v>564</v>
      </c>
      <c r="D57" s="1" t="s">
        <v>64</v>
      </c>
      <c r="E57" s="100">
        <f>'AN Electric'!G59</f>
        <v>0</v>
      </c>
      <c r="F57" s="49"/>
      <c r="G57" s="17">
        <f t="shared" si="31"/>
        <v>0</v>
      </c>
      <c r="H57" s="18"/>
      <c r="I57" s="20">
        <f t="shared" si="32"/>
        <v>0</v>
      </c>
      <c r="J57" s="20">
        <f t="shared" si="33"/>
        <v>0</v>
      </c>
      <c r="K57" s="187">
        <f t="shared" si="3"/>
        <v>0</v>
      </c>
      <c r="L57" s="20">
        <f t="shared" si="4"/>
        <v>0</v>
      </c>
      <c r="M57" s="43"/>
      <c r="N57" s="239">
        <f t="shared" si="34"/>
        <v>0</v>
      </c>
      <c r="O57" s="187">
        <f t="shared" si="5"/>
        <v>0</v>
      </c>
      <c r="P57" s="43"/>
      <c r="Q57" s="20">
        <f t="shared" si="6"/>
        <v>0</v>
      </c>
      <c r="R57" s="43"/>
      <c r="S57" s="20">
        <f t="shared" si="7"/>
        <v>0</v>
      </c>
      <c r="T57" s="187">
        <f t="shared" si="35"/>
        <v>0</v>
      </c>
      <c r="U57" s="43"/>
      <c r="V57" s="20">
        <f t="shared" si="36"/>
        <v>0</v>
      </c>
      <c r="W57" s="273"/>
    </row>
    <row r="58" spans="2:23">
      <c r="C58" s="30">
        <v>566</v>
      </c>
      <c r="D58" s="30" t="s">
        <v>65</v>
      </c>
      <c r="E58" s="100">
        <f>'AN Electric'!G60</f>
        <v>279007</v>
      </c>
      <c r="F58" s="49"/>
      <c r="G58" s="17">
        <f t="shared" si="31"/>
        <v>279007</v>
      </c>
      <c r="H58" s="18"/>
      <c r="I58" s="20">
        <f t="shared" si="32"/>
        <v>4060</v>
      </c>
      <c r="J58" s="20">
        <f t="shared" si="33"/>
        <v>8775</v>
      </c>
      <c r="K58" s="187">
        <f t="shared" si="3"/>
        <v>12835</v>
      </c>
      <c r="L58" s="20">
        <f t="shared" si="4"/>
        <v>291842</v>
      </c>
      <c r="M58" s="43"/>
      <c r="N58" s="239">
        <f t="shared" si="34"/>
        <v>6689</v>
      </c>
      <c r="O58" s="187">
        <f t="shared" si="5"/>
        <v>6689</v>
      </c>
      <c r="P58" s="43"/>
      <c r="Q58" s="20">
        <f t="shared" si="6"/>
        <v>298531</v>
      </c>
      <c r="R58" s="43"/>
      <c r="S58" s="20">
        <f t="shared" si="7"/>
        <v>5493</v>
      </c>
      <c r="T58" s="187">
        <f t="shared" si="35"/>
        <v>5493</v>
      </c>
      <c r="U58" s="43"/>
      <c r="V58" s="20">
        <f t="shared" si="36"/>
        <v>304024</v>
      </c>
      <c r="W58" s="273"/>
    </row>
    <row r="59" spans="2:23">
      <c r="B59" s="31"/>
      <c r="C59" s="30">
        <v>567</v>
      </c>
      <c r="D59" s="30" t="s">
        <v>192</v>
      </c>
      <c r="E59" s="100">
        <f>'AN Electric'!G61</f>
        <v>13274</v>
      </c>
      <c r="F59" s="49"/>
      <c r="G59" s="17">
        <f t="shared" si="31"/>
        <v>13274</v>
      </c>
      <c r="H59" s="18"/>
      <c r="I59" s="20">
        <f t="shared" si="32"/>
        <v>193</v>
      </c>
      <c r="J59" s="20">
        <f t="shared" si="33"/>
        <v>417</v>
      </c>
      <c r="K59" s="187">
        <f t="shared" si="3"/>
        <v>610</v>
      </c>
      <c r="L59" s="20">
        <f t="shared" si="4"/>
        <v>13884</v>
      </c>
      <c r="M59" s="43"/>
      <c r="N59" s="239">
        <f t="shared" si="34"/>
        <v>318</v>
      </c>
      <c r="O59" s="187">
        <f t="shared" si="5"/>
        <v>318</v>
      </c>
      <c r="P59" s="43"/>
      <c r="Q59" s="20">
        <f t="shared" si="6"/>
        <v>14202</v>
      </c>
      <c r="R59" s="43"/>
      <c r="S59" s="20">
        <f t="shared" si="7"/>
        <v>261</v>
      </c>
      <c r="T59" s="187">
        <f t="shared" si="35"/>
        <v>261</v>
      </c>
      <c r="U59" s="43"/>
      <c r="V59" s="20">
        <f t="shared" si="36"/>
        <v>14463</v>
      </c>
      <c r="W59" s="273"/>
    </row>
    <row r="60" spans="2:23">
      <c r="B60" s="2" t="s">
        <v>27</v>
      </c>
      <c r="C60" s="1">
        <v>568</v>
      </c>
      <c r="D60" s="1" t="s">
        <v>34</v>
      </c>
      <c r="E60" s="100">
        <f>'AN Electric'!G62</f>
        <v>280957</v>
      </c>
      <c r="F60" s="49"/>
      <c r="G60" s="17">
        <f t="shared" si="31"/>
        <v>280957</v>
      </c>
      <c r="H60" s="18"/>
      <c r="I60" s="19">
        <f t="shared" si="32"/>
        <v>3489</v>
      </c>
      <c r="J60" s="19">
        <f t="shared" si="33"/>
        <v>7964</v>
      </c>
      <c r="K60" s="186">
        <f t="shared" si="3"/>
        <v>11453</v>
      </c>
      <c r="L60" s="19">
        <f t="shared" si="4"/>
        <v>292410</v>
      </c>
      <c r="M60" s="44"/>
      <c r="N60" s="19">
        <f t="shared" si="34"/>
        <v>7351</v>
      </c>
      <c r="O60" s="186">
        <f t="shared" si="5"/>
        <v>7351</v>
      </c>
      <c r="P60" s="44"/>
      <c r="Q60" s="19">
        <f t="shared" si="6"/>
        <v>299761</v>
      </c>
      <c r="R60" s="44"/>
      <c r="S60" s="19">
        <f t="shared" si="7"/>
        <v>5516</v>
      </c>
      <c r="T60" s="186">
        <f t="shared" si="35"/>
        <v>5516</v>
      </c>
      <c r="U60" s="44"/>
      <c r="V60" s="19">
        <f t="shared" si="36"/>
        <v>305277</v>
      </c>
      <c r="W60" s="273"/>
    </row>
    <row r="61" spans="2:23">
      <c r="C61" s="1">
        <v>569</v>
      </c>
      <c r="D61" s="1" t="s">
        <v>39</v>
      </c>
      <c r="E61" s="100">
        <f>'AN Electric'!G63</f>
        <v>171206</v>
      </c>
      <c r="F61" s="49"/>
      <c r="G61" s="17">
        <f t="shared" si="31"/>
        <v>171206</v>
      </c>
      <c r="H61" s="18"/>
      <c r="I61" s="20">
        <f t="shared" si="32"/>
        <v>2491</v>
      </c>
      <c r="J61" s="20">
        <f t="shared" si="33"/>
        <v>5385</v>
      </c>
      <c r="K61" s="187">
        <f t="shared" si="3"/>
        <v>7876</v>
      </c>
      <c r="L61" s="20">
        <f t="shared" si="4"/>
        <v>179082</v>
      </c>
      <c r="M61" s="43"/>
      <c r="N61" s="239">
        <f t="shared" si="34"/>
        <v>4105</v>
      </c>
      <c r="O61" s="187">
        <f t="shared" si="5"/>
        <v>4105</v>
      </c>
      <c r="P61" s="43"/>
      <c r="Q61" s="20">
        <f t="shared" si="6"/>
        <v>183187</v>
      </c>
      <c r="R61" s="43"/>
      <c r="S61" s="20">
        <f t="shared" si="7"/>
        <v>3371</v>
      </c>
      <c r="T61" s="187">
        <f t="shared" si="35"/>
        <v>3371</v>
      </c>
      <c r="U61" s="43"/>
      <c r="V61" s="20">
        <f t="shared" si="36"/>
        <v>186558</v>
      </c>
      <c r="W61" s="273"/>
    </row>
    <row r="62" spans="2:23">
      <c r="C62" s="1">
        <v>570</v>
      </c>
      <c r="D62" s="1" t="s">
        <v>66</v>
      </c>
      <c r="E62" s="100">
        <f>'AN Electric'!G64</f>
        <v>416821</v>
      </c>
      <c r="F62" s="49"/>
      <c r="G62" s="17">
        <f t="shared" si="31"/>
        <v>416821</v>
      </c>
      <c r="H62" s="18"/>
      <c r="I62" s="20">
        <f t="shared" si="32"/>
        <v>6065</v>
      </c>
      <c r="J62" s="20">
        <f t="shared" si="33"/>
        <v>13109</v>
      </c>
      <c r="K62" s="187">
        <f t="shared" si="3"/>
        <v>19174</v>
      </c>
      <c r="L62" s="20">
        <f t="shared" si="4"/>
        <v>435995</v>
      </c>
      <c r="M62" s="43"/>
      <c r="N62" s="239">
        <f t="shared" si="34"/>
        <v>9993</v>
      </c>
      <c r="O62" s="187">
        <f t="shared" si="5"/>
        <v>9993</v>
      </c>
      <c r="P62" s="43"/>
      <c r="Q62" s="20">
        <f t="shared" si="6"/>
        <v>445988</v>
      </c>
      <c r="R62" s="43"/>
      <c r="S62" s="20">
        <f t="shared" si="7"/>
        <v>8206</v>
      </c>
      <c r="T62" s="187">
        <f t="shared" si="35"/>
        <v>8206</v>
      </c>
      <c r="U62" s="43"/>
      <c r="V62" s="20">
        <f t="shared" si="36"/>
        <v>454194</v>
      </c>
      <c r="W62" s="273"/>
    </row>
    <row r="63" spans="2:23">
      <c r="C63" s="1">
        <v>571</v>
      </c>
      <c r="D63" s="1" t="s">
        <v>67</v>
      </c>
      <c r="E63" s="100">
        <f>'AN Electric'!G65</f>
        <v>24567</v>
      </c>
      <c r="F63" s="49"/>
      <c r="G63" s="17">
        <f t="shared" si="31"/>
        <v>24567</v>
      </c>
      <c r="H63" s="18"/>
      <c r="I63" s="20">
        <f t="shared" si="32"/>
        <v>357</v>
      </c>
      <c r="J63" s="20">
        <f t="shared" si="33"/>
        <v>773</v>
      </c>
      <c r="K63" s="187">
        <f t="shared" si="3"/>
        <v>1130</v>
      </c>
      <c r="L63" s="20">
        <f t="shared" si="4"/>
        <v>25697</v>
      </c>
      <c r="M63" s="43"/>
      <c r="N63" s="239">
        <f t="shared" si="34"/>
        <v>589</v>
      </c>
      <c r="O63" s="187">
        <f t="shared" si="5"/>
        <v>589</v>
      </c>
      <c r="P63" s="43"/>
      <c r="Q63" s="20">
        <f t="shared" si="6"/>
        <v>26286</v>
      </c>
      <c r="R63" s="43"/>
      <c r="S63" s="20">
        <f t="shared" si="7"/>
        <v>484</v>
      </c>
      <c r="T63" s="187">
        <f t="shared" si="35"/>
        <v>484</v>
      </c>
      <c r="U63" s="43"/>
      <c r="V63" s="20">
        <f t="shared" si="36"/>
        <v>26770</v>
      </c>
      <c r="W63" s="273"/>
    </row>
    <row r="64" spans="2:23">
      <c r="C64" s="1">
        <v>572</v>
      </c>
      <c r="D64" s="1" t="s">
        <v>68</v>
      </c>
      <c r="E64" s="100">
        <f>'AN Electric'!G66</f>
        <v>2826</v>
      </c>
      <c r="F64" s="49"/>
      <c r="G64" s="17">
        <f t="shared" si="31"/>
        <v>2826</v>
      </c>
      <c r="H64" s="18"/>
      <c r="I64" s="20">
        <f t="shared" si="32"/>
        <v>41</v>
      </c>
      <c r="J64" s="20">
        <f t="shared" si="33"/>
        <v>89</v>
      </c>
      <c r="K64" s="187">
        <f t="shared" si="3"/>
        <v>130</v>
      </c>
      <c r="L64" s="20">
        <f t="shared" si="4"/>
        <v>2956</v>
      </c>
      <c r="M64" s="43"/>
      <c r="N64" s="239">
        <f t="shared" si="34"/>
        <v>68</v>
      </c>
      <c r="O64" s="187">
        <f t="shared" si="5"/>
        <v>68</v>
      </c>
      <c r="P64" s="43"/>
      <c r="Q64" s="20">
        <f t="shared" si="6"/>
        <v>3024</v>
      </c>
      <c r="R64" s="43"/>
      <c r="S64" s="20">
        <f t="shared" si="7"/>
        <v>56</v>
      </c>
      <c r="T64" s="187">
        <f t="shared" si="35"/>
        <v>56</v>
      </c>
      <c r="U64" s="43"/>
      <c r="V64" s="20">
        <f t="shared" si="36"/>
        <v>3080</v>
      </c>
      <c r="W64" s="273"/>
    </row>
    <row r="65" spans="2:23">
      <c r="C65" s="1">
        <v>573</v>
      </c>
      <c r="D65" s="1" t="s">
        <v>69</v>
      </c>
      <c r="E65" s="100">
        <f>'AN Electric'!G67</f>
        <v>18103</v>
      </c>
      <c r="F65" s="49"/>
      <c r="G65" s="17">
        <f t="shared" si="31"/>
        <v>18103</v>
      </c>
      <c r="H65" s="18"/>
      <c r="I65" s="20">
        <f t="shared" si="32"/>
        <v>263</v>
      </c>
      <c r="J65" s="20">
        <f t="shared" si="33"/>
        <v>569</v>
      </c>
      <c r="K65" s="187">
        <f t="shared" si="3"/>
        <v>832</v>
      </c>
      <c r="L65" s="20">
        <f t="shared" si="4"/>
        <v>18935</v>
      </c>
      <c r="M65" s="43"/>
      <c r="N65" s="239">
        <f t="shared" si="34"/>
        <v>434</v>
      </c>
      <c r="O65" s="187">
        <f t="shared" si="5"/>
        <v>434</v>
      </c>
      <c r="P65" s="43"/>
      <c r="Q65" s="20">
        <f t="shared" si="6"/>
        <v>19369</v>
      </c>
      <c r="R65" s="43"/>
      <c r="S65" s="20">
        <f t="shared" si="7"/>
        <v>356</v>
      </c>
      <c r="T65" s="187">
        <f t="shared" si="35"/>
        <v>356</v>
      </c>
      <c r="U65" s="43"/>
      <c r="V65" s="20">
        <f t="shared" si="36"/>
        <v>19725</v>
      </c>
      <c r="W65" s="273"/>
    </row>
    <row r="66" spans="2:23">
      <c r="C66" s="2" t="s">
        <v>3</v>
      </c>
      <c r="E66" s="102">
        <f>SUM(E53:E65)</f>
        <v>3029282</v>
      </c>
      <c r="F66" s="158"/>
      <c r="G66" s="36">
        <f t="shared" ref="G66:N66" si="37">SUM(G53:G65)</f>
        <v>3029282</v>
      </c>
      <c r="H66" s="18"/>
      <c r="I66" s="36">
        <f t="shared" si="37"/>
        <v>39904</v>
      </c>
      <c r="J66" s="36">
        <f t="shared" si="37"/>
        <v>89199</v>
      </c>
      <c r="K66" s="188">
        <f t="shared" si="3"/>
        <v>129103</v>
      </c>
      <c r="L66" s="36">
        <f t="shared" si="4"/>
        <v>3158385</v>
      </c>
      <c r="M66" s="18"/>
      <c r="N66" s="102">
        <f t="shared" si="37"/>
        <v>76914</v>
      </c>
      <c r="O66" s="188">
        <f t="shared" si="5"/>
        <v>76914</v>
      </c>
      <c r="P66" s="18"/>
      <c r="Q66" s="36">
        <f t="shared" si="6"/>
        <v>3235299</v>
      </c>
      <c r="R66" s="18"/>
      <c r="S66" s="36">
        <f t="shared" si="7"/>
        <v>59530</v>
      </c>
      <c r="T66" s="188">
        <f t="shared" si="35"/>
        <v>59530</v>
      </c>
      <c r="U66" s="18"/>
      <c r="V66" s="36">
        <f t="shared" si="36"/>
        <v>3294829</v>
      </c>
      <c r="W66" s="273"/>
    </row>
    <row r="67" spans="2:23">
      <c r="E67" s="100"/>
      <c r="F67" s="49"/>
      <c r="G67" s="17"/>
      <c r="H67" s="18"/>
      <c r="I67" s="17"/>
      <c r="J67" s="17"/>
      <c r="K67" s="189"/>
      <c r="L67" s="17"/>
      <c r="M67" s="18"/>
      <c r="N67" s="100"/>
      <c r="O67" s="189"/>
      <c r="P67" s="18"/>
      <c r="Q67" s="17"/>
      <c r="R67" s="18"/>
      <c r="S67" s="17">
        <f t="shared" si="7"/>
        <v>0</v>
      </c>
      <c r="T67" s="189"/>
      <c r="U67" s="18"/>
      <c r="V67" s="17"/>
      <c r="W67" s="273"/>
    </row>
    <row r="68" spans="2:23">
      <c r="C68" s="2" t="s">
        <v>4</v>
      </c>
      <c r="E68" s="100"/>
      <c r="F68" s="49"/>
      <c r="G68" s="17"/>
      <c r="H68" s="18"/>
      <c r="I68" s="17"/>
      <c r="J68" s="17"/>
      <c r="K68" s="189"/>
      <c r="L68" s="17"/>
      <c r="M68" s="18"/>
      <c r="N68" s="100"/>
      <c r="O68" s="189"/>
      <c r="P68" s="18"/>
      <c r="Q68" s="17"/>
      <c r="R68" s="18"/>
      <c r="S68" s="17">
        <f t="shared" si="7"/>
        <v>0</v>
      </c>
      <c r="T68" s="189"/>
      <c r="U68" s="18"/>
      <c r="V68" s="17"/>
      <c r="W68" s="273"/>
    </row>
    <row r="69" spans="2:23">
      <c r="B69" s="2" t="s">
        <v>27</v>
      </c>
      <c r="C69" s="1">
        <v>580</v>
      </c>
      <c r="D69" s="1" t="s">
        <v>34</v>
      </c>
      <c r="E69" s="100">
        <f>'AN Electric'!G71</f>
        <v>1602829</v>
      </c>
      <c r="F69" s="49"/>
      <c r="G69" s="17">
        <f t="shared" ref="G69:G87" si="38">F69+E69</f>
        <v>1602829</v>
      </c>
      <c r="H69" s="18"/>
      <c r="I69" s="19">
        <f t="shared" ref="I69:I87" si="39">ROUND(IF($B69="a",G69*I$5,G69*I$6),0)</f>
        <v>19907</v>
      </c>
      <c r="J69" s="19">
        <f t="shared" ref="J69:J87" si="40">ROUND(IF($B69="a",(G69+I69)*J$5,(G69+I69)*J$6),0)</f>
        <v>45437</v>
      </c>
      <c r="K69" s="186">
        <f t="shared" si="3"/>
        <v>65344</v>
      </c>
      <c r="L69" s="19">
        <f t="shared" si="4"/>
        <v>1668173</v>
      </c>
      <c r="M69" s="44"/>
      <c r="N69" s="19">
        <f t="shared" ref="N69:N87" si="41">ROUND(IF($B69="a",(G69+I69+J69)*N$5,(G69+I69+J69)*N$6),0)</f>
        <v>41938</v>
      </c>
      <c r="O69" s="186">
        <f t="shared" si="5"/>
        <v>41938</v>
      </c>
      <c r="P69" s="44"/>
      <c r="Q69" s="19">
        <f t="shared" si="6"/>
        <v>1710111</v>
      </c>
      <c r="R69" s="44"/>
      <c r="S69" s="19">
        <f t="shared" si="7"/>
        <v>31466</v>
      </c>
      <c r="T69" s="186">
        <f t="shared" ref="T69:T88" si="42">S69</f>
        <v>31466</v>
      </c>
      <c r="U69" s="44"/>
      <c r="V69" s="19">
        <f t="shared" ref="V69:V88" si="43">Q69+T69</f>
        <v>1741577</v>
      </c>
      <c r="W69" s="273"/>
    </row>
    <row r="70" spans="2:23">
      <c r="B70" s="2" t="s">
        <v>27</v>
      </c>
      <c r="C70" s="1">
        <v>581</v>
      </c>
      <c r="D70" s="1" t="s">
        <v>61</v>
      </c>
      <c r="E70" s="100">
        <f>'AN Electric'!G72</f>
        <v>0</v>
      </c>
      <c r="F70" s="49"/>
      <c r="G70" s="17">
        <f t="shared" si="38"/>
        <v>0</v>
      </c>
      <c r="H70" s="18"/>
      <c r="I70" s="19">
        <f t="shared" si="39"/>
        <v>0</v>
      </c>
      <c r="J70" s="19">
        <f t="shared" si="40"/>
        <v>0</v>
      </c>
      <c r="K70" s="186">
        <f t="shared" si="3"/>
        <v>0</v>
      </c>
      <c r="L70" s="19">
        <f t="shared" si="4"/>
        <v>0</v>
      </c>
      <c r="M70" s="44"/>
      <c r="N70" s="19">
        <f t="shared" si="41"/>
        <v>0</v>
      </c>
      <c r="O70" s="186">
        <f t="shared" si="5"/>
        <v>0</v>
      </c>
      <c r="P70" s="44"/>
      <c r="Q70" s="19">
        <f t="shared" si="6"/>
        <v>0</v>
      </c>
      <c r="R70" s="44"/>
      <c r="S70" s="19">
        <f t="shared" si="7"/>
        <v>0</v>
      </c>
      <c r="T70" s="186">
        <f t="shared" si="42"/>
        <v>0</v>
      </c>
      <c r="U70" s="44"/>
      <c r="V70" s="19">
        <f t="shared" si="43"/>
        <v>0</v>
      </c>
      <c r="W70" s="273"/>
    </row>
    <row r="71" spans="2:23">
      <c r="C71" s="1">
        <v>582</v>
      </c>
      <c r="D71" s="1" t="s">
        <v>62</v>
      </c>
      <c r="E71" s="100">
        <f>'AN Electric'!G73</f>
        <v>171318</v>
      </c>
      <c r="F71" s="49"/>
      <c r="G71" s="17">
        <f t="shared" si="38"/>
        <v>171318</v>
      </c>
      <c r="H71" s="18"/>
      <c r="I71" s="20">
        <f t="shared" si="39"/>
        <v>2493</v>
      </c>
      <c r="J71" s="20">
        <f t="shared" si="40"/>
        <v>5388</v>
      </c>
      <c r="K71" s="187">
        <f t="shared" si="3"/>
        <v>7881</v>
      </c>
      <c r="L71" s="20">
        <f t="shared" si="4"/>
        <v>179199</v>
      </c>
      <c r="M71" s="43"/>
      <c r="N71" s="239">
        <f t="shared" si="41"/>
        <v>4107</v>
      </c>
      <c r="O71" s="187">
        <f t="shared" si="5"/>
        <v>4107</v>
      </c>
      <c r="P71" s="43"/>
      <c r="Q71" s="20">
        <f t="shared" si="6"/>
        <v>183306</v>
      </c>
      <c r="R71" s="43"/>
      <c r="S71" s="20">
        <f t="shared" si="7"/>
        <v>3373</v>
      </c>
      <c r="T71" s="187">
        <f t="shared" si="42"/>
        <v>3373</v>
      </c>
      <c r="U71" s="43"/>
      <c r="V71" s="20">
        <f t="shared" si="43"/>
        <v>186679</v>
      </c>
      <c r="W71" s="273"/>
    </row>
    <row r="72" spans="2:23">
      <c r="C72" s="1">
        <v>583</v>
      </c>
      <c r="D72" s="1" t="s">
        <v>63</v>
      </c>
      <c r="E72" s="100">
        <f>'AN Electric'!G74</f>
        <v>631677</v>
      </c>
      <c r="F72" s="49"/>
      <c r="G72" s="17">
        <f t="shared" si="38"/>
        <v>631677</v>
      </c>
      <c r="H72" s="18"/>
      <c r="I72" s="20">
        <f t="shared" si="39"/>
        <v>9191</v>
      </c>
      <c r="J72" s="20">
        <f t="shared" si="40"/>
        <v>19867</v>
      </c>
      <c r="K72" s="187">
        <f t="shared" si="3"/>
        <v>29058</v>
      </c>
      <c r="L72" s="20">
        <f t="shared" si="4"/>
        <v>660735</v>
      </c>
      <c r="M72" s="43"/>
      <c r="N72" s="239">
        <f t="shared" si="41"/>
        <v>15144</v>
      </c>
      <c r="O72" s="187">
        <f t="shared" si="5"/>
        <v>15144</v>
      </c>
      <c r="P72" s="43"/>
      <c r="Q72" s="20">
        <f t="shared" si="6"/>
        <v>675879</v>
      </c>
      <c r="R72" s="43"/>
      <c r="S72" s="20">
        <f t="shared" si="7"/>
        <v>12436</v>
      </c>
      <c r="T72" s="187">
        <f t="shared" si="42"/>
        <v>12436</v>
      </c>
      <c r="U72" s="43"/>
      <c r="V72" s="20">
        <f t="shared" si="43"/>
        <v>688315</v>
      </c>
      <c r="W72" s="273"/>
    </row>
    <row r="73" spans="2:23">
      <c r="C73" s="1">
        <v>584</v>
      </c>
      <c r="D73" s="1">
        <f>D51</f>
        <v>0</v>
      </c>
      <c r="E73" s="100">
        <f>'AN Electric'!G75</f>
        <v>385322</v>
      </c>
      <c r="F73" s="49"/>
      <c r="G73" s="17">
        <f t="shared" si="38"/>
        <v>385322</v>
      </c>
      <c r="H73" s="18"/>
      <c r="I73" s="20">
        <f t="shared" si="39"/>
        <v>5606</v>
      </c>
      <c r="J73" s="20">
        <f t="shared" si="40"/>
        <v>12119</v>
      </c>
      <c r="K73" s="187">
        <f t="shared" si="3"/>
        <v>17725</v>
      </c>
      <c r="L73" s="20">
        <f t="shared" si="4"/>
        <v>403047</v>
      </c>
      <c r="M73" s="43"/>
      <c r="N73" s="239">
        <f t="shared" si="41"/>
        <v>9238</v>
      </c>
      <c r="O73" s="187">
        <f t="shared" si="5"/>
        <v>9238</v>
      </c>
      <c r="P73" s="43"/>
      <c r="Q73" s="20">
        <f t="shared" si="6"/>
        <v>412285</v>
      </c>
      <c r="R73" s="43"/>
      <c r="S73" s="20">
        <f t="shared" si="7"/>
        <v>7586</v>
      </c>
      <c r="T73" s="187">
        <f t="shared" si="42"/>
        <v>7586</v>
      </c>
      <c r="U73" s="43"/>
      <c r="V73" s="20">
        <f t="shared" si="43"/>
        <v>419871</v>
      </c>
      <c r="W73" s="273"/>
    </row>
    <row r="74" spans="2:23">
      <c r="C74" s="1">
        <v>585</v>
      </c>
      <c r="D74" s="1" t="s">
        <v>70</v>
      </c>
      <c r="E74" s="100">
        <f>'AN Electric'!G76</f>
        <v>6729</v>
      </c>
      <c r="F74" s="49"/>
      <c r="G74" s="17">
        <f t="shared" si="38"/>
        <v>6729</v>
      </c>
      <c r="H74" s="18"/>
      <c r="I74" s="20">
        <f t="shared" si="39"/>
        <v>98</v>
      </c>
      <c r="J74" s="20">
        <f t="shared" si="40"/>
        <v>212</v>
      </c>
      <c r="K74" s="187">
        <f t="shared" ref="K74:K122" si="44">SUM(I74:J74)</f>
        <v>310</v>
      </c>
      <c r="L74" s="20">
        <f t="shared" ref="L74:L120" si="45">G74+K74</f>
        <v>7039</v>
      </c>
      <c r="M74" s="43"/>
      <c r="N74" s="239">
        <f t="shared" si="41"/>
        <v>161</v>
      </c>
      <c r="O74" s="187">
        <f t="shared" ref="O74:O122" si="46">N74</f>
        <v>161</v>
      </c>
      <c r="P74" s="43"/>
      <c r="Q74" s="20">
        <f t="shared" ref="Q74:Q120" si="47">L74+O74</f>
        <v>7200</v>
      </c>
      <c r="R74" s="43"/>
      <c r="S74" s="20">
        <f t="shared" ref="S74:S122" si="48">ROUND(IF($B74="a",Q74*S$5,Q74*S$6),0)</f>
        <v>132</v>
      </c>
      <c r="T74" s="187">
        <f t="shared" si="42"/>
        <v>132</v>
      </c>
      <c r="U74" s="43"/>
      <c r="V74" s="20">
        <f t="shared" si="43"/>
        <v>7332</v>
      </c>
      <c r="W74" s="273"/>
    </row>
    <row r="75" spans="2:23">
      <c r="C75" s="1">
        <v>586</v>
      </c>
      <c r="D75" s="1" t="s">
        <v>71</v>
      </c>
      <c r="E75" s="100">
        <f>'AN Electric'!G77</f>
        <v>850805</v>
      </c>
      <c r="F75" s="49"/>
      <c r="G75" s="17">
        <f t="shared" si="38"/>
        <v>850805</v>
      </c>
      <c r="H75" s="18"/>
      <c r="I75" s="20">
        <f t="shared" si="39"/>
        <v>12379</v>
      </c>
      <c r="J75" s="20">
        <f t="shared" si="40"/>
        <v>26759</v>
      </c>
      <c r="K75" s="187">
        <f t="shared" si="44"/>
        <v>39138</v>
      </c>
      <c r="L75" s="20">
        <f t="shared" si="45"/>
        <v>889943</v>
      </c>
      <c r="M75" s="43"/>
      <c r="N75" s="239">
        <f t="shared" si="41"/>
        <v>20397</v>
      </c>
      <c r="O75" s="187">
        <f t="shared" si="46"/>
        <v>20397</v>
      </c>
      <c r="P75" s="43"/>
      <c r="Q75" s="20">
        <f t="shared" si="47"/>
        <v>910340</v>
      </c>
      <c r="R75" s="43"/>
      <c r="S75" s="20">
        <f t="shared" si="48"/>
        <v>16750</v>
      </c>
      <c r="T75" s="187">
        <f t="shared" si="42"/>
        <v>16750</v>
      </c>
      <c r="U75" s="43"/>
      <c r="V75" s="20">
        <f t="shared" si="43"/>
        <v>927090</v>
      </c>
      <c r="W75" s="273"/>
    </row>
    <row r="76" spans="2:23">
      <c r="C76" s="1">
        <v>587</v>
      </c>
      <c r="D76" s="1" t="s">
        <v>72</v>
      </c>
      <c r="E76" s="100">
        <f>'AN Electric'!G78</f>
        <v>221342</v>
      </c>
      <c r="F76" s="49"/>
      <c r="G76" s="17">
        <f t="shared" si="38"/>
        <v>221342</v>
      </c>
      <c r="H76" s="18"/>
      <c r="I76" s="20">
        <f t="shared" si="39"/>
        <v>3221</v>
      </c>
      <c r="J76" s="20">
        <f t="shared" si="40"/>
        <v>6961</v>
      </c>
      <c r="K76" s="187">
        <f t="shared" si="44"/>
        <v>10182</v>
      </c>
      <c r="L76" s="20">
        <f t="shared" si="45"/>
        <v>231524</v>
      </c>
      <c r="M76" s="43"/>
      <c r="N76" s="239">
        <f t="shared" si="41"/>
        <v>5307</v>
      </c>
      <c r="O76" s="187">
        <f t="shared" si="46"/>
        <v>5307</v>
      </c>
      <c r="P76" s="43"/>
      <c r="Q76" s="20">
        <f t="shared" si="47"/>
        <v>236831</v>
      </c>
      <c r="R76" s="43"/>
      <c r="S76" s="20">
        <f t="shared" si="48"/>
        <v>4358</v>
      </c>
      <c r="T76" s="187">
        <f t="shared" si="42"/>
        <v>4358</v>
      </c>
      <c r="U76" s="43"/>
      <c r="V76" s="20">
        <f t="shared" si="43"/>
        <v>241189</v>
      </c>
      <c r="W76" s="273"/>
    </row>
    <row r="77" spans="2:23">
      <c r="C77" s="1">
        <v>588</v>
      </c>
      <c r="D77" s="1" t="s">
        <v>73</v>
      </c>
      <c r="E77" s="100">
        <f>'AN Electric'!G79</f>
        <v>2796763</v>
      </c>
      <c r="F77" s="49"/>
      <c r="G77" s="17">
        <f t="shared" si="38"/>
        <v>2796763</v>
      </c>
      <c r="H77" s="18"/>
      <c r="I77" s="20">
        <f t="shared" si="39"/>
        <v>40693</v>
      </c>
      <c r="J77" s="20">
        <f t="shared" si="40"/>
        <v>87961</v>
      </c>
      <c r="K77" s="187">
        <f t="shared" si="44"/>
        <v>128654</v>
      </c>
      <c r="L77" s="20">
        <f t="shared" si="45"/>
        <v>2925417</v>
      </c>
      <c r="M77" s="43"/>
      <c r="N77" s="239">
        <f t="shared" si="41"/>
        <v>67051</v>
      </c>
      <c r="O77" s="187">
        <f t="shared" si="46"/>
        <v>67051</v>
      </c>
      <c r="P77" s="43"/>
      <c r="Q77" s="20">
        <f t="shared" si="47"/>
        <v>2992468</v>
      </c>
      <c r="R77" s="43"/>
      <c r="S77" s="20">
        <f t="shared" si="48"/>
        <v>55061</v>
      </c>
      <c r="T77" s="187">
        <f t="shared" si="42"/>
        <v>55061</v>
      </c>
      <c r="U77" s="43"/>
      <c r="V77" s="20">
        <f t="shared" si="43"/>
        <v>3047529</v>
      </c>
      <c r="W77" s="273"/>
    </row>
    <row r="78" spans="2:23">
      <c r="C78" s="1">
        <v>589</v>
      </c>
      <c r="D78" s="1" t="s">
        <v>74</v>
      </c>
      <c r="E78" s="100">
        <f>'AN Electric'!G80</f>
        <v>11852</v>
      </c>
      <c r="F78" s="49"/>
      <c r="G78" s="17">
        <f t="shared" si="38"/>
        <v>11852</v>
      </c>
      <c r="H78" s="18"/>
      <c r="I78" s="20">
        <f t="shared" si="39"/>
        <v>172</v>
      </c>
      <c r="J78" s="20">
        <f t="shared" si="40"/>
        <v>373</v>
      </c>
      <c r="K78" s="187">
        <f t="shared" si="44"/>
        <v>545</v>
      </c>
      <c r="L78" s="20">
        <f t="shared" si="45"/>
        <v>12397</v>
      </c>
      <c r="M78" s="43"/>
      <c r="N78" s="239">
        <f t="shared" si="41"/>
        <v>284</v>
      </c>
      <c r="O78" s="187">
        <f t="shared" si="46"/>
        <v>284</v>
      </c>
      <c r="P78" s="43"/>
      <c r="Q78" s="20">
        <f t="shared" si="47"/>
        <v>12681</v>
      </c>
      <c r="R78" s="43"/>
      <c r="S78" s="20">
        <f t="shared" si="48"/>
        <v>233</v>
      </c>
      <c r="T78" s="187">
        <f t="shared" si="42"/>
        <v>233</v>
      </c>
      <c r="U78" s="43"/>
      <c r="V78" s="20">
        <f t="shared" si="43"/>
        <v>12914</v>
      </c>
      <c r="W78" s="273"/>
    </row>
    <row r="79" spans="2:23">
      <c r="B79" s="2" t="s">
        <v>27</v>
      </c>
      <c r="C79" s="1">
        <v>590</v>
      </c>
      <c r="D79" s="1" t="s">
        <v>34</v>
      </c>
      <c r="E79" s="100">
        <f>'AN Electric'!G81</f>
        <v>336173</v>
      </c>
      <c r="F79" s="49"/>
      <c r="G79" s="17">
        <f t="shared" si="38"/>
        <v>336173</v>
      </c>
      <c r="H79" s="18"/>
      <c r="I79" s="19">
        <f t="shared" si="39"/>
        <v>4175</v>
      </c>
      <c r="J79" s="19">
        <f t="shared" si="40"/>
        <v>9530</v>
      </c>
      <c r="K79" s="186">
        <f t="shared" si="44"/>
        <v>13705</v>
      </c>
      <c r="L79" s="19">
        <f t="shared" si="45"/>
        <v>349878</v>
      </c>
      <c r="M79" s="44"/>
      <c r="N79" s="19">
        <f t="shared" si="41"/>
        <v>8796</v>
      </c>
      <c r="O79" s="186">
        <f t="shared" si="46"/>
        <v>8796</v>
      </c>
      <c r="P79" s="44"/>
      <c r="Q79" s="19">
        <f t="shared" si="47"/>
        <v>358674</v>
      </c>
      <c r="R79" s="44"/>
      <c r="S79" s="19">
        <f t="shared" si="48"/>
        <v>6600</v>
      </c>
      <c r="T79" s="186">
        <f t="shared" si="42"/>
        <v>6600</v>
      </c>
      <c r="U79" s="44"/>
      <c r="V79" s="19">
        <f t="shared" si="43"/>
        <v>365274</v>
      </c>
      <c r="W79" s="273"/>
    </row>
    <row r="80" spans="2:23">
      <c r="C80" s="1">
        <v>591</v>
      </c>
      <c r="D80" s="1" t="s">
        <v>39</v>
      </c>
      <c r="E80" s="100">
        <f>'AN Electric'!G82</f>
        <v>107275</v>
      </c>
      <c r="F80" s="49"/>
      <c r="G80" s="17">
        <f t="shared" si="38"/>
        <v>107275</v>
      </c>
      <c r="H80" s="18"/>
      <c r="I80" s="20">
        <f t="shared" si="39"/>
        <v>1561</v>
      </c>
      <c r="J80" s="20">
        <f t="shared" si="40"/>
        <v>3374</v>
      </c>
      <c r="K80" s="187">
        <f t="shared" si="44"/>
        <v>4935</v>
      </c>
      <c r="L80" s="20">
        <f t="shared" si="45"/>
        <v>112210</v>
      </c>
      <c r="M80" s="43"/>
      <c r="N80" s="239">
        <f t="shared" si="41"/>
        <v>2572</v>
      </c>
      <c r="O80" s="187">
        <f t="shared" si="46"/>
        <v>2572</v>
      </c>
      <c r="P80" s="43"/>
      <c r="Q80" s="20">
        <f t="shared" si="47"/>
        <v>114782</v>
      </c>
      <c r="R80" s="43"/>
      <c r="S80" s="20">
        <f t="shared" si="48"/>
        <v>2112</v>
      </c>
      <c r="T80" s="187">
        <f t="shared" si="42"/>
        <v>2112</v>
      </c>
      <c r="U80" s="43"/>
      <c r="V80" s="20">
        <f t="shared" si="43"/>
        <v>116894</v>
      </c>
      <c r="W80" s="273"/>
    </row>
    <row r="81" spans="2:23">
      <c r="C81" s="1">
        <v>592</v>
      </c>
      <c r="D81" s="1" t="s">
        <v>75</v>
      </c>
      <c r="E81" s="100">
        <f>'AN Electric'!G83</f>
        <v>363339</v>
      </c>
      <c r="F81" s="49"/>
      <c r="G81" s="17">
        <f t="shared" si="38"/>
        <v>363339</v>
      </c>
      <c r="H81" s="18"/>
      <c r="I81" s="20">
        <f t="shared" si="39"/>
        <v>5287</v>
      </c>
      <c r="J81" s="20">
        <f t="shared" si="40"/>
        <v>11427</v>
      </c>
      <c r="K81" s="187">
        <f t="shared" si="44"/>
        <v>16714</v>
      </c>
      <c r="L81" s="20">
        <f t="shared" si="45"/>
        <v>380053</v>
      </c>
      <c r="M81" s="43"/>
      <c r="N81" s="239">
        <f t="shared" si="41"/>
        <v>8711</v>
      </c>
      <c r="O81" s="187">
        <f t="shared" si="46"/>
        <v>8711</v>
      </c>
      <c r="P81" s="43"/>
      <c r="Q81" s="20">
        <f t="shared" si="47"/>
        <v>388764</v>
      </c>
      <c r="R81" s="43"/>
      <c r="S81" s="20">
        <f t="shared" si="48"/>
        <v>7153</v>
      </c>
      <c r="T81" s="187">
        <f t="shared" si="42"/>
        <v>7153</v>
      </c>
      <c r="U81" s="43"/>
      <c r="V81" s="20">
        <f t="shared" si="43"/>
        <v>395917</v>
      </c>
      <c r="W81" s="273"/>
    </row>
    <row r="82" spans="2:23">
      <c r="C82" s="1">
        <v>593</v>
      </c>
      <c r="D82" s="1" t="s">
        <v>67</v>
      </c>
      <c r="E82" s="100">
        <f>'AN Electric'!G84</f>
        <v>983860</v>
      </c>
      <c r="F82" s="49"/>
      <c r="G82" s="17">
        <f t="shared" si="38"/>
        <v>983860</v>
      </c>
      <c r="H82" s="18"/>
      <c r="I82" s="20">
        <f t="shared" si="39"/>
        <v>14315</v>
      </c>
      <c r="J82" s="20">
        <f t="shared" si="40"/>
        <v>30943</v>
      </c>
      <c r="K82" s="187">
        <f t="shared" si="44"/>
        <v>45258</v>
      </c>
      <c r="L82" s="20">
        <f t="shared" si="45"/>
        <v>1029118</v>
      </c>
      <c r="M82" s="43"/>
      <c r="N82" s="239">
        <f t="shared" si="41"/>
        <v>23587</v>
      </c>
      <c r="O82" s="187">
        <f t="shared" si="46"/>
        <v>23587</v>
      </c>
      <c r="P82" s="43"/>
      <c r="Q82" s="20">
        <f t="shared" si="47"/>
        <v>1052705</v>
      </c>
      <c r="R82" s="43"/>
      <c r="S82" s="20">
        <f t="shared" si="48"/>
        <v>19370</v>
      </c>
      <c r="T82" s="187">
        <f t="shared" si="42"/>
        <v>19370</v>
      </c>
      <c r="U82" s="43"/>
      <c r="V82" s="20">
        <f t="shared" si="43"/>
        <v>1072075</v>
      </c>
      <c r="W82" s="273"/>
    </row>
    <row r="83" spans="2:23">
      <c r="C83" s="1">
        <v>594</v>
      </c>
      <c r="D83" s="1" t="s">
        <v>76</v>
      </c>
      <c r="E83" s="100">
        <f>'AN Electric'!G85</f>
        <v>402243</v>
      </c>
      <c r="F83" s="49"/>
      <c r="G83" s="17">
        <f t="shared" si="38"/>
        <v>402243</v>
      </c>
      <c r="H83" s="18"/>
      <c r="I83" s="20">
        <f t="shared" si="39"/>
        <v>5853</v>
      </c>
      <c r="J83" s="20">
        <f t="shared" si="40"/>
        <v>12651</v>
      </c>
      <c r="K83" s="187">
        <f t="shared" si="44"/>
        <v>18504</v>
      </c>
      <c r="L83" s="20">
        <f t="shared" si="45"/>
        <v>420747</v>
      </c>
      <c r="M83" s="43"/>
      <c r="N83" s="239">
        <f t="shared" si="41"/>
        <v>9644</v>
      </c>
      <c r="O83" s="187">
        <f t="shared" si="46"/>
        <v>9644</v>
      </c>
      <c r="P83" s="43"/>
      <c r="Q83" s="20">
        <f t="shared" si="47"/>
        <v>430391</v>
      </c>
      <c r="R83" s="43"/>
      <c r="S83" s="20">
        <f t="shared" si="48"/>
        <v>7919</v>
      </c>
      <c r="T83" s="187">
        <f t="shared" si="42"/>
        <v>7919</v>
      </c>
      <c r="U83" s="43"/>
      <c r="V83" s="20">
        <f t="shared" si="43"/>
        <v>438310</v>
      </c>
      <c r="W83" s="273"/>
    </row>
    <row r="84" spans="2:23">
      <c r="C84" s="1">
        <v>595</v>
      </c>
      <c r="D84" s="1" t="s">
        <v>77</v>
      </c>
      <c r="E84" s="100">
        <f>'AN Electric'!G86</f>
        <v>292493</v>
      </c>
      <c r="F84" s="49"/>
      <c r="G84" s="17">
        <f t="shared" si="38"/>
        <v>292493</v>
      </c>
      <c r="H84" s="18"/>
      <c r="I84" s="20">
        <f t="shared" si="39"/>
        <v>4256</v>
      </c>
      <c r="J84" s="20">
        <f t="shared" si="40"/>
        <v>9199</v>
      </c>
      <c r="K84" s="187">
        <f t="shared" si="44"/>
        <v>13455</v>
      </c>
      <c r="L84" s="20">
        <f t="shared" si="45"/>
        <v>305948</v>
      </c>
      <c r="M84" s="43"/>
      <c r="N84" s="239">
        <f t="shared" si="41"/>
        <v>7012</v>
      </c>
      <c r="O84" s="187">
        <f t="shared" si="46"/>
        <v>7012</v>
      </c>
      <c r="P84" s="43"/>
      <c r="Q84" s="20">
        <f t="shared" si="47"/>
        <v>312960</v>
      </c>
      <c r="R84" s="43"/>
      <c r="S84" s="20">
        <f t="shared" si="48"/>
        <v>5758</v>
      </c>
      <c r="T84" s="187">
        <f t="shared" si="42"/>
        <v>5758</v>
      </c>
      <c r="U84" s="43"/>
      <c r="V84" s="20">
        <f t="shared" si="43"/>
        <v>318718</v>
      </c>
      <c r="W84" s="273"/>
    </row>
    <row r="85" spans="2:23">
      <c r="C85" s="1">
        <v>596</v>
      </c>
      <c r="D85" s="1" t="s">
        <v>78</v>
      </c>
      <c r="E85" s="100">
        <f>'AN Electric'!G87</f>
        <v>234206</v>
      </c>
      <c r="F85" s="49"/>
      <c r="G85" s="17">
        <f t="shared" si="38"/>
        <v>234206</v>
      </c>
      <c r="H85" s="18"/>
      <c r="I85" s="20">
        <f t="shared" si="39"/>
        <v>3408</v>
      </c>
      <c r="J85" s="20">
        <f t="shared" si="40"/>
        <v>7366</v>
      </c>
      <c r="K85" s="187">
        <f t="shared" si="44"/>
        <v>10774</v>
      </c>
      <c r="L85" s="20">
        <f t="shared" si="45"/>
        <v>244980</v>
      </c>
      <c r="M85" s="43"/>
      <c r="N85" s="239">
        <f t="shared" si="41"/>
        <v>5615</v>
      </c>
      <c r="O85" s="187">
        <f t="shared" si="46"/>
        <v>5615</v>
      </c>
      <c r="P85" s="43"/>
      <c r="Q85" s="20">
        <f t="shared" si="47"/>
        <v>250595</v>
      </c>
      <c r="R85" s="43"/>
      <c r="S85" s="20">
        <f t="shared" si="48"/>
        <v>4611</v>
      </c>
      <c r="T85" s="187">
        <f t="shared" si="42"/>
        <v>4611</v>
      </c>
      <c r="U85" s="43"/>
      <c r="V85" s="20">
        <f t="shared" si="43"/>
        <v>255206</v>
      </c>
      <c r="W85" s="273"/>
    </row>
    <row r="86" spans="2:23">
      <c r="C86" s="1">
        <v>597</v>
      </c>
      <c r="D86" s="1" t="s">
        <v>79</v>
      </c>
      <c r="E86" s="100">
        <f>'AN Electric'!G88</f>
        <v>8414</v>
      </c>
      <c r="F86" s="49"/>
      <c r="G86" s="17">
        <f t="shared" si="38"/>
        <v>8414</v>
      </c>
      <c r="H86" s="18"/>
      <c r="I86" s="20">
        <f t="shared" si="39"/>
        <v>122</v>
      </c>
      <c r="J86" s="20">
        <f t="shared" si="40"/>
        <v>265</v>
      </c>
      <c r="K86" s="187">
        <f t="shared" si="44"/>
        <v>387</v>
      </c>
      <c r="L86" s="20">
        <f t="shared" si="45"/>
        <v>8801</v>
      </c>
      <c r="M86" s="43"/>
      <c r="N86" s="239">
        <f t="shared" si="41"/>
        <v>202</v>
      </c>
      <c r="O86" s="187">
        <f t="shared" si="46"/>
        <v>202</v>
      </c>
      <c r="P86" s="43"/>
      <c r="Q86" s="20">
        <f t="shared" si="47"/>
        <v>9003</v>
      </c>
      <c r="R86" s="43"/>
      <c r="S86" s="20">
        <f t="shared" si="48"/>
        <v>166</v>
      </c>
      <c r="T86" s="187">
        <f t="shared" si="42"/>
        <v>166</v>
      </c>
      <c r="U86" s="43"/>
      <c r="V86" s="20">
        <f t="shared" si="43"/>
        <v>9169</v>
      </c>
      <c r="W86" s="273"/>
    </row>
    <row r="87" spans="2:23">
      <c r="C87" s="1">
        <v>598</v>
      </c>
      <c r="D87" s="1" t="s">
        <v>73</v>
      </c>
      <c r="E87" s="100">
        <f>'AN Electric'!G89</f>
        <v>168669</v>
      </c>
      <c r="F87" s="49"/>
      <c r="G87" s="17">
        <f t="shared" si="38"/>
        <v>168669</v>
      </c>
      <c r="H87" s="18"/>
      <c r="I87" s="20">
        <f t="shared" si="39"/>
        <v>2454</v>
      </c>
      <c r="J87" s="20">
        <f t="shared" si="40"/>
        <v>5305</v>
      </c>
      <c r="K87" s="187">
        <f t="shared" si="44"/>
        <v>7759</v>
      </c>
      <c r="L87" s="20">
        <f t="shared" si="45"/>
        <v>176428</v>
      </c>
      <c r="M87" s="43"/>
      <c r="N87" s="239">
        <f t="shared" si="41"/>
        <v>4044</v>
      </c>
      <c r="O87" s="187">
        <f t="shared" si="46"/>
        <v>4044</v>
      </c>
      <c r="P87" s="43"/>
      <c r="Q87" s="20">
        <f t="shared" si="47"/>
        <v>180472</v>
      </c>
      <c r="R87" s="43"/>
      <c r="S87" s="20">
        <f t="shared" si="48"/>
        <v>3321</v>
      </c>
      <c r="T87" s="187">
        <f t="shared" si="42"/>
        <v>3321</v>
      </c>
      <c r="U87" s="43"/>
      <c r="V87" s="20">
        <f t="shared" si="43"/>
        <v>183793</v>
      </c>
      <c r="W87" s="273"/>
    </row>
    <row r="88" spans="2:23">
      <c r="C88" s="2" t="s">
        <v>5</v>
      </c>
      <c r="E88" s="102">
        <f>SUM(E69:E87)</f>
        <v>9575309</v>
      </c>
      <c r="F88" s="158"/>
      <c r="G88" s="36">
        <f t="shared" ref="G88:N88" si="49">SUM(G69:G87)</f>
        <v>9575309</v>
      </c>
      <c r="H88" s="18"/>
      <c r="I88" s="36">
        <f t="shared" si="49"/>
        <v>135191</v>
      </c>
      <c r="J88" s="36">
        <f t="shared" si="49"/>
        <v>295137</v>
      </c>
      <c r="K88" s="188">
        <f t="shared" si="44"/>
        <v>430328</v>
      </c>
      <c r="L88" s="36">
        <f t="shared" si="45"/>
        <v>10005637</v>
      </c>
      <c r="M88" s="18"/>
      <c r="N88" s="102">
        <f t="shared" si="49"/>
        <v>233810</v>
      </c>
      <c r="O88" s="188">
        <f t="shared" si="46"/>
        <v>233810</v>
      </c>
      <c r="P88" s="18"/>
      <c r="Q88" s="36">
        <f t="shared" si="47"/>
        <v>10239447</v>
      </c>
      <c r="R88" s="18"/>
      <c r="S88" s="36">
        <f t="shared" si="48"/>
        <v>188406</v>
      </c>
      <c r="T88" s="188">
        <f t="shared" si="42"/>
        <v>188406</v>
      </c>
      <c r="U88" s="18"/>
      <c r="V88" s="36">
        <f t="shared" si="43"/>
        <v>10427853</v>
      </c>
      <c r="W88" s="273"/>
    </row>
    <row r="89" spans="2:23">
      <c r="E89" s="100"/>
      <c r="F89" s="49"/>
      <c r="G89" s="17"/>
      <c r="H89" s="18"/>
      <c r="I89" s="17"/>
      <c r="J89" s="17"/>
      <c r="K89" s="189"/>
      <c r="L89" s="17"/>
      <c r="M89" s="18"/>
      <c r="N89" s="100"/>
      <c r="O89" s="189"/>
      <c r="P89" s="18"/>
      <c r="Q89" s="17"/>
      <c r="R89" s="18"/>
      <c r="S89" s="17">
        <f t="shared" si="48"/>
        <v>0</v>
      </c>
      <c r="T89" s="189"/>
      <c r="U89" s="18"/>
      <c r="V89" s="17"/>
      <c r="W89" s="273"/>
    </row>
    <row r="90" spans="2:23">
      <c r="C90" s="2" t="s">
        <v>6</v>
      </c>
      <c r="E90" s="100"/>
      <c r="F90" s="49"/>
      <c r="G90" s="17"/>
      <c r="H90" s="18"/>
      <c r="I90" s="17"/>
      <c r="J90" s="17"/>
      <c r="K90" s="189"/>
      <c r="L90" s="17"/>
      <c r="M90" s="18"/>
      <c r="N90" s="100"/>
      <c r="O90" s="189"/>
      <c r="P90" s="18"/>
      <c r="Q90" s="17"/>
      <c r="R90" s="18"/>
      <c r="S90" s="17">
        <f t="shared" si="48"/>
        <v>0</v>
      </c>
      <c r="T90" s="189"/>
      <c r="U90" s="18"/>
      <c r="V90" s="17"/>
      <c r="W90" s="273"/>
    </row>
    <row r="91" spans="2:23">
      <c r="B91" s="2" t="s">
        <v>27</v>
      </c>
      <c r="C91" s="1">
        <v>901</v>
      </c>
      <c r="D91" s="1" t="s">
        <v>80</v>
      </c>
      <c r="E91" s="100">
        <f>'AN Electric'!G93</f>
        <v>137328</v>
      </c>
      <c r="F91" s="49"/>
      <c r="G91" s="17">
        <f>F91+E91</f>
        <v>137328</v>
      </c>
      <c r="H91" s="18"/>
      <c r="I91" s="19">
        <f>ROUND(IF($B91="a",G91*I$5,G91*I$6),0)</f>
        <v>1706</v>
      </c>
      <c r="J91" s="19">
        <f t="shared" ref="J91:J94" si="50">ROUND(IF($B91="a",(G91+I91)*J$5,(G91+I91)*J$6),0)</f>
        <v>3893</v>
      </c>
      <c r="K91" s="186">
        <f t="shared" si="44"/>
        <v>5599</v>
      </c>
      <c r="L91" s="19">
        <f t="shared" si="45"/>
        <v>142927</v>
      </c>
      <c r="M91" s="44"/>
      <c r="N91" s="19">
        <f>ROUND(IF($B91="a",(G91+I91+J91)*N$5,(G91+I91+J91)*N$6),0)</f>
        <v>3593</v>
      </c>
      <c r="O91" s="186">
        <f t="shared" si="46"/>
        <v>3593</v>
      </c>
      <c r="P91" s="44"/>
      <c r="Q91" s="19">
        <f t="shared" si="47"/>
        <v>146520</v>
      </c>
      <c r="R91" s="44"/>
      <c r="S91" s="19">
        <f t="shared" si="48"/>
        <v>2696</v>
      </c>
      <c r="T91" s="186">
        <f t="shared" ref="T91:T95" si="51">S91</f>
        <v>2696</v>
      </c>
      <c r="U91" s="44"/>
      <c r="V91" s="19">
        <f t="shared" ref="V91:V101" si="52">Q91+T91</f>
        <v>149216</v>
      </c>
      <c r="W91" s="273"/>
    </row>
    <row r="92" spans="2:23">
      <c r="B92" s="2" t="s">
        <v>27</v>
      </c>
      <c r="C92" s="1">
        <v>902</v>
      </c>
      <c r="D92" s="1" t="s">
        <v>81</v>
      </c>
      <c r="E92" s="100">
        <f>'AN Electric'!G94</f>
        <v>1440922</v>
      </c>
      <c r="F92" s="49"/>
      <c r="G92" s="17">
        <f>F92+E92</f>
        <v>1440922</v>
      </c>
      <c r="H92" s="18"/>
      <c r="I92" s="19">
        <f>ROUND(IF($B92="a",G92*I$5,G92*I$6),0)</f>
        <v>17896</v>
      </c>
      <c r="J92" s="19">
        <f t="shared" si="50"/>
        <v>40847</v>
      </c>
      <c r="K92" s="186">
        <f t="shared" si="44"/>
        <v>58743</v>
      </c>
      <c r="L92" s="19">
        <f t="shared" si="45"/>
        <v>1499665</v>
      </c>
      <c r="M92" s="44"/>
      <c r="N92" s="19">
        <f>ROUND(IF($B92="a",(G92+I92+J92)*N$5,(G92+I92+J92)*N$6),0)</f>
        <v>37702</v>
      </c>
      <c r="O92" s="186">
        <f t="shared" si="46"/>
        <v>37702</v>
      </c>
      <c r="P92" s="44"/>
      <c r="Q92" s="19">
        <f t="shared" si="47"/>
        <v>1537367</v>
      </c>
      <c r="R92" s="44"/>
      <c r="S92" s="19">
        <f t="shared" si="48"/>
        <v>28288</v>
      </c>
      <c r="T92" s="186">
        <f t="shared" si="51"/>
        <v>28288</v>
      </c>
      <c r="U92" s="44"/>
      <c r="V92" s="19">
        <f t="shared" si="52"/>
        <v>1565655</v>
      </c>
      <c r="W92" s="273"/>
    </row>
    <row r="93" spans="2:23">
      <c r="B93" s="2" t="s">
        <v>27</v>
      </c>
      <c r="C93" s="1">
        <v>903</v>
      </c>
      <c r="D93" s="1" t="s">
        <v>82</v>
      </c>
      <c r="E93" s="100">
        <f>'AN Electric'!G95</f>
        <v>2771480</v>
      </c>
      <c r="F93" s="49"/>
      <c r="G93" s="17">
        <f>F93+E93</f>
        <v>2771480</v>
      </c>
      <c r="H93" s="18"/>
      <c r="I93" s="19">
        <f>ROUND(IF($B93="a",G93*I$5,G93*I$6),0)</f>
        <v>34422</v>
      </c>
      <c r="J93" s="19">
        <f t="shared" si="50"/>
        <v>78565</v>
      </c>
      <c r="K93" s="186">
        <f t="shared" si="44"/>
        <v>112987</v>
      </c>
      <c r="L93" s="19">
        <f t="shared" si="45"/>
        <v>2884467</v>
      </c>
      <c r="M93" s="44"/>
      <c r="N93" s="19">
        <f>ROUND(IF($B93="a",(G93+I93+J93)*N$5,(G93+I93+J93)*N$6),0)</f>
        <v>72516</v>
      </c>
      <c r="O93" s="186">
        <f t="shared" si="46"/>
        <v>72516</v>
      </c>
      <c r="P93" s="44"/>
      <c r="Q93" s="19">
        <f t="shared" si="47"/>
        <v>2956983</v>
      </c>
      <c r="R93" s="44"/>
      <c r="S93" s="19">
        <f t="shared" si="48"/>
        <v>54408</v>
      </c>
      <c r="T93" s="186">
        <f t="shared" si="51"/>
        <v>54408</v>
      </c>
      <c r="U93" s="44"/>
      <c r="V93" s="19">
        <f t="shared" si="52"/>
        <v>3011391</v>
      </c>
      <c r="W93" s="273"/>
    </row>
    <row r="94" spans="2:23">
      <c r="B94" s="2" t="s">
        <v>27</v>
      </c>
      <c r="C94" s="1">
        <v>905</v>
      </c>
      <c r="D94" s="1" t="s">
        <v>83</v>
      </c>
      <c r="E94" s="100">
        <f>'AN Electric'!G96</f>
        <v>72102</v>
      </c>
      <c r="F94" s="49"/>
      <c r="G94" s="17">
        <f>F94+E94</f>
        <v>72102</v>
      </c>
      <c r="H94" s="18"/>
      <c r="I94" s="19">
        <f>ROUND(IF($B94="a",G94*I$5,G94*I$6),0)</f>
        <v>896</v>
      </c>
      <c r="J94" s="19">
        <f t="shared" si="50"/>
        <v>2044</v>
      </c>
      <c r="K94" s="186">
        <f t="shared" si="44"/>
        <v>2940</v>
      </c>
      <c r="L94" s="19">
        <f t="shared" si="45"/>
        <v>75042</v>
      </c>
      <c r="M94" s="44"/>
      <c r="N94" s="19">
        <f>ROUND(IF($B94="a",(G94+I94+J94)*N$5,(G94+I94+J94)*N$6),0)</f>
        <v>1887</v>
      </c>
      <c r="O94" s="186">
        <f t="shared" si="46"/>
        <v>1887</v>
      </c>
      <c r="P94" s="44"/>
      <c r="Q94" s="19">
        <f t="shared" si="47"/>
        <v>76929</v>
      </c>
      <c r="R94" s="44"/>
      <c r="S94" s="19">
        <f t="shared" si="48"/>
        <v>1415</v>
      </c>
      <c r="T94" s="186">
        <f t="shared" si="51"/>
        <v>1415</v>
      </c>
      <c r="U94" s="44"/>
      <c r="V94" s="19">
        <f t="shared" si="52"/>
        <v>78344</v>
      </c>
      <c r="W94" s="273"/>
    </row>
    <row r="95" spans="2:23">
      <c r="C95" s="2" t="s">
        <v>7</v>
      </c>
      <c r="E95" s="102">
        <f>SUM(E89:E94)</f>
        <v>4421832</v>
      </c>
      <c r="F95" s="158"/>
      <c r="G95" s="36">
        <f t="shared" ref="G95:N95" si="53">SUM(G91:G94)</f>
        <v>4421832</v>
      </c>
      <c r="H95" s="18"/>
      <c r="I95" s="36">
        <f t="shared" si="53"/>
        <v>54920</v>
      </c>
      <c r="J95" s="36">
        <f t="shared" si="53"/>
        <v>125349</v>
      </c>
      <c r="K95" s="188">
        <f t="shared" si="44"/>
        <v>180269</v>
      </c>
      <c r="L95" s="36">
        <f t="shared" si="45"/>
        <v>4602101</v>
      </c>
      <c r="M95" s="18"/>
      <c r="N95" s="102">
        <f t="shared" si="53"/>
        <v>115698</v>
      </c>
      <c r="O95" s="188">
        <f t="shared" si="46"/>
        <v>115698</v>
      </c>
      <c r="P95" s="18"/>
      <c r="Q95" s="36">
        <f t="shared" si="47"/>
        <v>4717799</v>
      </c>
      <c r="R95" s="18"/>
      <c r="S95" s="36">
        <f t="shared" si="48"/>
        <v>86808</v>
      </c>
      <c r="T95" s="188">
        <f t="shared" si="51"/>
        <v>86808</v>
      </c>
      <c r="U95" s="18"/>
      <c r="V95" s="36">
        <f t="shared" si="52"/>
        <v>4804607</v>
      </c>
      <c r="W95" s="273"/>
    </row>
    <row r="96" spans="2:23">
      <c r="E96" s="100"/>
      <c r="F96" s="49"/>
      <c r="G96" s="17"/>
      <c r="H96" s="18"/>
      <c r="I96" s="17"/>
      <c r="J96" s="17"/>
      <c r="K96" s="189"/>
      <c r="L96" s="17"/>
      <c r="M96" s="18"/>
      <c r="N96" s="100"/>
      <c r="O96" s="189"/>
      <c r="P96" s="18"/>
      <c r="Q96" s="17">
        <f t="shared" si="47"/>
        <v>0</v>
      </c>
      <c r="R96" s="18"/>
      <c r="S96" s="17">
        <f t="shared" si="48"/>
        <v>0</v>
      </c>
      <c r="T96" s="189"/>
      <c r="U96" s="18"/>
      <c r="V96" s="17">
        <f t="shared" si="52"/>
        <v>0</v>
      </c>
      <c r="W96" s="273"/>
    </row>
    <row r="97" spans="2:23">
      <c r="C97" s="2" t="s">
        <v>8</v>
      </c>
      <c r="E97" s="100"/>
      <c r="F97" s="49"/>
      <c r="G97" s="17"/>
      <c r="H97" s="18"/>
      <c r="I97" s="17"/>
      <c r="J97" s="17"/>
      <c r="K97" s="189"/>
      <c r="L97" s="17"/>
      <c r="M97" s="18"/>
      <c r="N97" s="100"/>
      <c r="O97" s="189"/>
      <c r="P97" s="18"/>
      <c r="Q97" s="17">
        <f t="shared" si="47"/>
        <v>0</v>
      </c>
      <c r="R97" s="18"/>
      <c r="S97" s="17">
        <f t="shared" si="48"/>
        <v>0</v>
      </c>
      <c r="T97" s="189"/>
      <c r="U97" s="18"/>
      <c r="V97" s="17">
        <f t="shared" si="52"/>
        <v>0</v>
      </c>
      <c r="W97" s="273"/>
    </row>
    <row r="98" spans="2:23">
      <c r="B98" s="2" t="s">
        <v>27</v>
      </c>
      <c r="C98" s="1">
        <v>908</v>
      </c>
      <c r="D98" s="1" t="s">
        <v>84</v>
      </c>
      <c r="E98" s="100">
        <f>'AN Electric'!G100</f>
        <v>279088</v>
      </c>
      <c r="F98" s="49"/>
      <c r="G98" s="17">
        <f>F98+E98</f>
        <v>279088</v>
      </c>
      <c r="H98" s="18"/>
      <c r="I98" s="19">
        <f>ROUND(IF($B98="a",G98*I$5,G98*I$6),0)</f>
        <v>3466</v>
      </c>
      <c r="J98" s="19">
        <f t="shared" ref="J98:J100" si="54">ROUND(IF($B98="a",(G98+I98)*J$5,(G98+I98)*J$6),0)</f>
        <v>7912</v>
      </c>
      <c r="K98" s="186">
        <f t="shared" si="44"/>
        <v>11378</v>
      </c>
      <c r="L98" s="19">
        <f t="shared" si="45"/>
        <v>290466</v>
      </c>
      <c r="M98" s="44"/>
      <c r="N98" s="19">
        <f>ROUND(IF($B98="a",(G98+I98+J98)*N$5,(G98+I98+J98)*N$6),0)</f>
        <v>7302</v>
      </c>
      <c r="O98" s="186">
        <f t="shared" si="46"/>
        <v>7302</v>
      </c>
      <c r="P98" s="44"/>
      <c r="Q98" s="19">
        <f t="shared" si="47"/>
        <v>297768</v>
      </c>
      <c r="R98" s="44"/>
      <c r="S98" s="19">
        <f t="shared" si="48"/>
        <v>5479</v>
      </c>
      <c r="T98" s="186">
        <f t="shared" ref="T98:T101" si="55">S98</f>
        <v>5479</v>
      </c>
      <c r="U98" s="44"/>
      <c r="V98" s="19">
        <f t="shared" si="52"/>
        <v>303247</v>
      </c>
      <c r="W98" s="273"/>
    </row>
    <row r="99" spans="2:23">
      <c r="B99" s="2" t="s">
        <v>27</v>
      </c>
      <c r="C99" s="1">
        <v>909</v>
      </c>
      <c r="D99" s="1" t="s">
        <v>85</v>
      </c>
      <c r="E99" s="100">
        <f>'AN Electric'!G101</f>
        <v>127642</v>
      </c>
      <c r="F99" s="49"/>
      <c r="G99" s="17">
        <f>F99+E99</f>
        <v>127642</v>
      </c>
      <c r="H99" s="18"/>
      <c r="I99" s="19">
        <f>ROUND(IF($B99="a",G99*I$5,G99*I$6),0)</f>
        <v>1585</v>
      </c>
      <c r="J99" s="19">
        <f t="shared" si="54"/>
        <v>3618</v>
      </c>
      <c r="K99" s="186">
        <f t="shared" si="44"/>
        <v>5203</v>
      </c>
      <c r="L99" s="19">
        <f t="shared" si="45"/>
        <v>132845</v>
      </c>
      <c r="M99" s="44"/>
      <c r="N99" s="19">
        <f>ROUND(IF($B99="a",(G99+I99+J99)*N$5,(G99+I99+J99)*N$6),0)</f>
        <v>3340</v>
      </c>
      <c r="O99" s="186">
        <f t="shared" si="46"/>
        <v>3340</v>
      </c>
      <c r="P99" s="44"/>
      <c r="Q99" s="19">
        <f t="shared" si="47"/>
        <v>136185</v>
      </c>
      <c r="R99" s="44"/>
      <c r="S99" s="19">
        <f t="shared" si="48"/>
        <v>2506</v>
      </c>
      <c r="T99" s="186">
        <f t="shared" si="55"/>
        <v>2506</v>
      </c>
      <c r="U99" s="44"/>
      <c r="V99" s="19">
        <f t="shared" si="52"/>
        <v>138691</v>
      </c>
      <c r="W99" s="273"/>
    </row>
    <row r="100" spans="2:23">
      <c r="B100" s="2" t="s">
        <v>27</v>
      </c>
      <c r="C100" s="1">
        <v>910</v>
      </c>
      <c r="D100" s="1" t="s">
        <v>86</v>
      </c>
      <c r="E100" s="100">
        <f>'AN Electric'!G102</f>
        <v>-264</v>
      </c>
      <c r="F100" s="49"/>
      <c r="G100" s="17">
        <f>F100+E100</f>
        <v>-264</v>
      </c>
      <c r="H100" s="18"/>
      <c r="I100" s="19">
        <f>ROUND(IF($B100="a",G100*I$5,G100*I$6),0)</f>
        <v>-3</v>
      </c>
      <c r="J100" s="19">
        <f t="shared" si="54"/>
        <v>-7</v>
      </c>
      <c r="K100" s="186">
        <f t="shared" si="44"/>
        <v>-10</v>
      </c>
      <c r="L100" s="19">
        <f t="shared" si="45"/>
        <v>-274</v>
      </c>
      <c r="M100" s="44"/>
      <c r="N100" s="19">
        <f>ROUND(IF($B100="a",(G100+I100+J100)*N$5,(G100+I100+J100)*N$6),0)</f>
        <v>-7</v>
      </c>
      <c r="O100" s="186">
        <f t="shared" si="46"/>
        <v>-7</v>
      </c>
      <c r="P100" s="44"/>
      <c r="Q100" s="19">
        <f t="shared" si="47"/>
        <v>-281</v>
      </c>
      <c r="R100" s="44"/>
      <c r="S100" s="19">
        <f t="shared" si="48"/>
        <v>-5</v>
      </c>
      <c r="T100" s="186">
        <f t="shared" si="55"/>
        <v>-5</v>
      </c>
      <c r="U100" s="44"/>
      <c r="V100" s="19">
        <f t="shared" si="52"/>
        <v>-286</v>
      </c>
      <c r="W100" s="273"/>
    </row>
    <row r="101" spans="2:23">
      <c r="C101" s="2" t="s">
        <v>9</v>
      </c>
      <c r="E101" s="102">
        <f>SUM(E98:E100)</f>
        <v>406466</v>
      </c>
      <c r="F101" s="158"/>
      <c r="G101" s="36">
        <f>SUM(G98:G100)</f>
        <v>406466</v>
      </c>
      <c r="H101" s="18"/>
      <c r="I101" s="36">
        <f>SUM(I98:I100)</f>
        <v>5048</v>
      </c>
      <c r="J101" s="36">
        <f>SUM(J98:J100)</f>
        <v>11523</v>
      </c>
      <c r="K101" s="188">
        <f t="shared" si="44"/>
        <v>16571</v>
      </c>
      <c r="L101" s="36">
        <f t="shared" si="45"/>
        <v>423037</v>
      </c>
      <c r="M101" s="18"/>
      <c r="N101" s="102">
        <f>SUM(N98:N100)</f>
        <v>10635</v>
      </c>
      <c r="O101" s="188">
        <f t="shared" si="46"/>
        <v>10635</v>
      </c>
      <c r="P101" s="18"/>
      <c r="Q101" s="36">
        <f t="shared" si="47"/>
        <v>433672</v>
      </c>
      <c r="R101" s="18"/>
      <c r="S101" s="36">
        <f t="shared" si="48"/>
        <v>7980</v>
      </c>
      <c r="T101" s="188">
        <f t="shared" si="55"/>
        <v>7980</v>
      </c>
      <c r="U101" s="18"/>
      <c r="V101" s="36">
        <f t="shared" si="52"/>
        <v>441652</v>
      </c>
      <c r="W101" s="273"/>
    </row>
    <row r="102" spans="2:23">
      <c r="E102" s="100"/>
      <c r="F102" s="49"/>
      <c r="G102" s="17"/>
      <c r="H102" s="18"/>
      <c r="I102" s="17"/>
      <c r="J102" s="17"/>
      <c r="K102" s="189">
        <f t="shared" si="44"/>
        <v>0</v>
      </c>
      <c r="L102" s="17">
        <f t="shared" si="45"/>
        <v>0</v>
      </c>
      <c r="M102" s="18"/>
      <c r="N102" s="100"/>
      <c r="O102" s="189"/>
      <c r="P102" s="18"/>
      <c r="Q102" s="17"/>
      <c r="R102" s="18"/>
      <c r="S102" s="17">
        <f t="shared" si="48"/>
        <v>0</v>
      </c>
      <c r="T102" s="189"/>
      <c r="U102" s="18"/>
      <c r="V102" s="17"/>
      <c r="W102" s="273"/>
    </row>
    <row r="103" spans="2:23">
      <c r="C103" s="2" t="s">
        <v>10</v>
      </c>
      <c r="E103" s="100"/>
      <c r="F103" s="49"/>
      <c r="G103" s="17"/>
      <c r="H103" s="18"/>
      <c r="I103" s="17"/>
      <c r="J103" s="17"/>
      <c r="K103" s="189">
        <f t="shared" si="44"/>
        <v>0</v>
      </c>
      <c r="L103" s="17">
        <f t="shared" si="45"/>
        <v>0</v>
      </c>
      <c r="M103" s="18"/>
      <c r="N103" s="100"/>
      <c r="O103" s="189"/>
      <c r="P103" s="18"/>
      <c r="Q103" s="17"/>
      <c r="R103" s="18"/>
      <c r="S103" s="17">
        <f t="shared" si="48"/>
        <v>0</v>
      </c>
      <c r="T103" s="189"/>
      <c r="U103" s="18"/>
      <c r="V103" s="17"/>
      <c r="W103" s="273"/>
    </row>
    <row r="104" spans="2:23">
      <c r="B104" s="2" t="s">
        <v>27</v>
      </c>
      <c r="C104" s="1">
        <v>911</v>
      </c>
      <c r="D104" s="2" t="s">
        <v>80</v>
      </c>
      <c r="E104" s="100">
        <f>'AN Electric'!G106</f>
        <v>0</v>
      </c>
      <c r="F104" s="49"/>
      <c r="G104" s="17">
        <f>F104+E104</f>
        <v>0</v>
      </c>
      <c r="H104" s="18"/>
      <c r="I104" s="19">
        <f>ROUND(IF($B104="a",G104*I$5,G104*I$6),0)</f>
        <v>0</v>
      </c>
      <c r="J104" s="19">
        <f t="shared" ref="J104:J107" si="56">ROUND(IF($B104="a",(G104+I104)*J$5,(G104+I104)*J$6),0)</f>
        <v>0</v>
      </c>
      <c r="K104" s="186">
        <f t="shared" si="44"/>
        <v>0</v>
      </c>
      <c r="L104" s="19">
        <f t="shared" si="45"/>
        <v>0</v>
      </c>
      <c r="M104" s="44"/>
      <c r="N104" s="19">
        <f>ROUND(IF($B104="a",(G104+I104)*N$5,(G104+I104+J104)*N$6),0)</f>
        <v>0</v>
      </c>
      <c r="O104" s="186">
        <f t="shared" si="46"/>
        <v>0</v>
      </c>
      <c r="P104" s="44"/>
      <c r="Q104" s="19">
        <f t="shared" si="47"/>
        <v>0</v>
      </c>
      <c r="R104" s="44"/>
      <c r="S104" s="19">
        <f t="shared" si="48"/>
        <v>0</v>
      </c>
      <c r="T104" s="186">
        <f t="shared" ref="T104:T108" si="57">S104</f>
        <v>0</v>
      </c>
      <c r="U104" s="44"/>
      <c r="V104" s="19">
        <f t="shared" ref="V104:V108" si="58">Q104+T104</f>
        <v>0</v>
      </c>
      <c r="W104" s="273"/>
    </row>
    <row r="105" spans="2:23">
      <c r="B105" s="2" t="s">
        <v>27</v>
      </c>
      <c r="C105" s="1">
        <v>912</v>
      </c>
      <c r="D105" s="1" t="s">
        <v>87</v>
      </c>
      <c r="E105" s="100">
        <f>'AN Electric'!G107</f>
        <v>0</v>
      </c>
      <c r="F105" s="49"/>
      <c r="G105" s="17">
        <f>F105+E105</f>
        <v>0</v>
      </c>
      <c r="H105" s="18"/>
      <c r="I105" s="19">
        <f>ROUND(IF($B105="a",G105*I$5,G105*I$6),0)</f>
        <v>0</v>
      </c>
      <c r="J105" s="19">
        <f t="shared" si="56"/>
        <v>0</v>
      </c>
      <c r="K105" s="186">
        <f t="shared" si="44"/>
        <v>0</v>
      </c>
      <c r="L105" s="19">
        <f t="shared" si="45"/>
        <v>0</v>
      </c>
      <c r="M105" s="44"/>
      <c r="N105" s="19">
        <f>ROUND(IF($B105="a",(G105+I105)*N$5,(G105+I105+J105)*N$6),0)</f>
        <v>0</v>
      </c>
      <c r="O105" s="186">
        <f t="shared" si="46"/>
        <v>0</v>
      </c>
      <c r="P105" s="44"/>
      <c r="Q105" s="19">
        <f t="shared" si="47"/>
        <v>0</v>
      </c>
      <c r="R105" s="44"/>
      <c r="S105" s="19">
        <f t="shared" si="48"/>
        <v>0</v>
      </c>
      <c r="T105" s="186">
        <f t="shared" si="57"/>
        <v>0</v>
      </c>
      <c r="U105" s="44"/>
      <c r="V105" s="19">
        <f t="shared" si="58"/>
        <v>0</v>
      </c>
      <c r="W105" s="273"/>
    </row>
    <row r="106" spans="2:23">
      <c r="B106" s="2" t="s">
        <v>27</v>
      </c>
      <c r="C106" s="1">
        <v>913</v>
      </c>
      <c r="D106" s="1" t="s">
        <v>85</v>
      </c>
      <c r="E106" s="100">
        <f>'AN Electric'!G108</f>
        <v>0</v>
      </c>
      <c r="F106" s="49"/>
      <c r="G106" s="17">
        <f>F106+E106</f>
        <v>0</v>
      </c>
      <c r="H106" s="18"/>
      <c r="I106" s="19">
        <f>ROUND(IF($B106="a",G106*I$5,G106*I$6),0)</f>
        <v>0</v>
      </c>
      <c r="J106" s="19">
        <f t="shared" si="56"/>
        <v>0</v>
      </c>
      <c r="K106" s="186">
        <f t="shared" si="44"/>
        <v>0</v>
      </c>
      <c r="L106" s="19">
        <f t="shared" si="45"/>
        <v>0</v>
      </c>
      <c r="M106" s="44"/>
      <c r="N106" s="19">
        <f>ROUND(IF($B106="a",(G106+I106)*N$5,(G106+I106+J106)*N$6),0)</f>
        <v>0</v>
      </c>
      <c r="O106" s="186">
        <f t="shared" si="46"/>
        <v>0</v>
      </c>
      <c r="P106" s="44"/>
      <c r="Q106" s="19">
        <f t="shared" si="47"/>
        <v>0</v>
      </c>
      <c r="R106" s="44"/>
      <c r="S106" s="19">
        <f t="shared" si="48"/>
        <v>0</v>
      </c>
      <c r="T106" s="186">
        <f t="shared" si="57"/>
        <v>0</v>
      </c>
      <c r="U106" s="44"/>
      <c r="V106" s="19">
        <f t="shared" si="58"/>
        <v>0</v>
      </c>
      <c r="W106" s="273"/>
    </row>
    <row r="107" spans="2:23">
      <c r="B107" s="2" t="s">
        <v>27</v>
      </c>
      <c r="C107" s="1">
        <v>916</v>
      </c>
      <c r="D107" s="1" t="s">
        <v>88</v>
      </c>
      <c r="E107" s="100">
        <f>'AN Electric'!G109</f>
        <v>0</v>
      </c>
      <c r="F107" s="49"/>
      <c r="G107" s="17">
        <f>F107+E107</f>
        <v>0</v>
      </c>
      <c r="H107" s="18"/>
      <c r="I107" s="19">
        <f>ROUND(IF($B107="a",G107*I$5,G107*I$6),0)</f>
        <v>0</v>
      </c>
      <c r="J107" s="19">
        <f t="shared" si="56"/>
        <v>0</v>
      </c>
      <c r="K107" s="186">
        <f t="shared" si="44"/>
        <v>0</v>
      </c>
      <c r="L107" s="19">
        <f t="shared" si="45"/>
        <v>0</v>
      </c>
      <c r="M107" s="44"/>
      <c r="N107" s="19">
        <f>ROUND(IF($B107="a",(G107+I107)*N$5,(G107+I107+J107)*N$6),0)</f>
        <v>0</v>
      </c>
      <c r="O107" s="186">
        <f t="shared" si="46"/>
        <v>0</v>
      </c>
      <c r="P107" s="44"/>
      <c r="Q107" s="19">
        <f t="shared" si="47"/>
        <v>0</v>
      </c>
      <c r="R107" s="44"/>
      <c r="S107" s="19">
        <f t="shared" si="48"/>
        <v>0</v>
      </c>
      <c r="T107" s="186">
        <f t="shared" si="57"/>
        <v>0</v>
      </c>
      <c r="U107" s="44"/>
      <c r="V107" s="19">
        <f t="shared" si="58"/>
        <v>0</v>
      </c>
      <c r="W107" s="273"/>
    </row>
    <row r="108" spans="2:23">
      <c r="C108" s="2" t="s">
        <v>11</v>
      </c>
      <c r="E108" s="102">
        <f>'AN Electric'!G110</f>
        <v>0</v>
      </c>
      <c r="F108" s="158"/>
      <c r="G108" s="36">
        <f t="shared" ref="G108:I108" si="59">SUM(G104:G107)</f>
        <v>0</v>
      </c>
      <c r="H108" s="18"/>
      <c r="I108" s="36">
        <f t="shared" si="59"/>
        <v>0</v>
      </c>
      <c r="J108" s="36">
        <f>SUM(J104:J107)</f>
        <v>0</v>
      </c>
      <c r="K108" s="188">
        <f t="shared" si="44"/>
        <v>0</v>
      </c>
      <c r="L108" s="36">
        <f t="shared" si="45"/>
        <v>0</v>
      </c>
      <c r="M108" s="18"/>
      <c r="N108" s="102">
        <f>SUM(N104:N107)</f>
        <v>0</v>
      </c>
      <c r="O108" s="188">
        <f t="shared" si="46"/>
        <v>0</v>
      </c>
      <c r="P108" s="18"/>
      <c r="Q108" s="36">
        <f t="shared" si="47"/>
        <v>0</v>
      </c>
      <c r="R108" s="18"/>
      <c r="S108" s="36">
        <f t="shared" si="48"/>
        <v>0</v>
      </c>
      <c r="T108" s="188">
        <f t="shared" si="57"/>
        <v>0</v>
      </c>
      <c r="U108" s="18"/>
      <c r="V108" s="36">
        <f t="shared" si="58"/>
        <v>0</v>
      </c>
      <c r="W108" s="273"/>
    </row>
    <row r="109" spans="2:23">
      <c r="E109" s="100"/>
      <c r="F109" s="49"/>
      <c r="G109" s="17"/>
      <c r="H109" s="18"/>
      <c r="I109" s="17"/>
      <c r="J109" s="17"/>
      <c r="K109" s="189"/>
      <c r="L109" s="17"/>
      <c r="M109" s="18"/>
      <c r="N109" s="100"/>
      <c r="O109" s="189"/>
      <c r="P109" s="18"/>
      <c r="Q109" s="17"/>
      <c r="R109" s="18"/>
      <c r="S109" s="17">
        <f t="shared" si="48"/>
        <v>0</v>
      </c>
      <c r="T109" s="189"/>
      <c r="U109" s="18"/>
      <c r="V109" s="17"/>
      <c r="W109" s="273"/>
    </row>
    <row r="110" spans="2:23">
      <c r="C110" s="2" t="s">
        <v>12</v>
      </c>
      <c r="E110" s="100"/>
      <c r="F110" s="49"/>
      <c r="G110" s="17"/>
      <c r="H110" s="18"/>
      <c r="I110" s="17"/>
      <c r="J110" s="17"/>
      <c r="K110" s="189"/>
      <c r="L110" s="17"/>
      <c r="M110" s="18"/>
      <c r="N110" s="100"/>
      <c r="O110" s="189"/>
      <c r="P110" s="18"/>
      <c r="Q110" s="17"/>
      <c r="R110" s="18"/>
      <c r="S110" s="17">
        <f t="shared" si="48"/>
        <v>0</v>
      </c>
      <c r="T110" s="189"/>
      <c r="U110" s="18"/>
      <c r="V110" s="17"/>
      <c r="W110" s="273"/>
    </row>
    <row r="111" spans="2:23">
      <c r="B111" s="2" t="s">
        <v>27</v>
      </c>
      <c r="C111" s="1">
        <v>920</v>
      </c>
      <c r="D111" s="1" t="s">
        <v>89</v>
      </c>
      <c r="E111" s="100">
        <f>'AN Electric'!G113+4</f>
        <v>9844230</v>
      </c>
      <c r="F111" s="49"/>
      <c r="G111" s="17">
        <f t="shared" ref="G111:G119" si="60">F111+E111</f>
        <v>9844230</v>
      </c>
      <c r="H111" s="18"/>
      <c r="I111" s="19">
        <f t="shared" ref="I111:I119" si="61">ROUND(IF($B111="a",G111*I$5,G111*I$6),0)</f>
        <v>122265</v>
      </c>
      <c r="J111" s="19">
        <f>ROUND(IF($B111="a",(G111+I111)*J$5,(G111+I111)*J$6),0)</f>
        <v>279062</v>
      </c>
      <c r="K111" s="186">
        <f t="shared" si="44"/>
        <v>401327</v>
      </c>
      <c r="L111" s="19">
        <f t="shared" si="45"/>
        <v>10245557</v>
      </c>
      <c r="M111" s="44"/>
      <c r="N111" s="19">
        <f t="shared" ref="N111:N119" si="62">ROUND(IF($B111="a",(G111+I111+J111)*N$5,(G111+I111+J111)*N$6),0)</f>
        <v>257573</v>
      </c>
      <c r="O111" s="186">
        <f t="shared" si="46"/>
        <v>257573</v>
      </c>
      <c r="P111" s="44"/>
      <c r="Q111" s="19">
        <f t="shared" si="47"/>
        <v>10503130</v>
      </c>
      <c r="R111" s="44"/>
      <c r="S111" s="19">
        <f t="shared" si="48"/>
        <v>193258</v>
      </c>
      <c r="T111" s="186">
        <f t="shared" ref="T111:T120" si="63">S111</f>
        <v>193258</v>
      </c>
      <c r="U111" s="44"/>
      <c r="V111" s="19">
        <f t="shared" ref="V111:V120" si="64">Q111+T111</f>
        <v>10696388</v>
      </c>
      <c r="W111" s="273"/>
    </row>
    <row r="112" spans="2:23">
      <c r="B112" s="2" t="s">
        <v>27</v>
      </c>
      <c r="C112" s="1">
        <v>921</v>
      </c>
      <c r="D112" s="1" t="s">
        <v>90</v>
      </c>
      <c r="E112" s="100">
        <f>'AN Electric'!G114</f>
        <v>103149</v>
      </c>
      <c r="F112" s="49"/>
      <c r="G112" s="17">
        <f t="shared" si="60"/>
        <v>103149</v>
      </c>
      <c r="H112" s="18"/>
      <c r="I112" s="19">
        <f t="shared" si="61"/>
        <v>1281</v>
      </c>
      <c r="J112" s="19">
        <f t="shared" ref="J112:J119" si="65">ROUND(IF($B112="a",(G112+I112)*J$5,(G112+I112)*J$6),0)</f>
        <v>2924</v>
      </c>
      <c r="K112" s="186">
        <f t="shared" si="44"/>
        <v>4205</v>
      </c>
      <c r="L112" s="19">
        <f t="shared" si="45"/>
        <v>107354</v>
      </c>
      <c r="M112" s="44"/>
      <c r="N112" s="19">
        <f t="shared" si="62"/>
        <v>2699</v>
      </c>
      <c r="O112" s="186">
        <f t="shared" si="46"/>
        <v>2699</v>
      </c>
      <c r="P112" s="44"/>
      <c r="Q112" s="19">
        <f t="shared" si="47"/>
        <v>110053</v>
      </c>
      <c r="R112" s="44"/>
      <c r="S112" s="19">
        <f t="shared" si="48"/>
        <v>2025</v>
      </c>
      <c r="T112" s="186">
        <f t="shared" si="63"/>
        <v>2025</v>
      </c>
      <c r="U112" s="44"/>
      <c r="V112" s="19">
        <f t="shared" si="64"/>
        <v>112078</v>
      </c>
      <c r="W112" s="273"/>
    </row>
    <row r="113" spans="2:28">
      <c r="B113" s="2" t="s">
        <v>27</v>
      </c>
      <c r="C113" s="1">
        <v>923</v>
      </c>
      <c r="D113" s="1" t="s">
        <v>91</v>
      </c>
      <c r="E113" s="100">
        <f>'AN Electric'!G115</f>
        <v>14842</v>
      </c>
      <c r="F113" s="49"/>
      <c r="G113" s="17">
        <f t="shared" si="60"/>
        <v>14842</v>
      </c>
      <c r="H113" s="18"/>
      <c r="I113" s="19">
        <f t="shared" si="61"/>
        <v>184</v>
      </c>
      <c r="J113" s="19">
        <f t="shared" si="65"/>
        <v>421</v>
      </c>
      <c r="K113" s="186">
        <f t="shared" si="44"/>
        <v>605</v>
      </c>
      <c r="L113" s="19">
        <f t="shared" si="45"/>
        <v>15447</v>
      </c>
      <c r="M113" s="44"/>
      <c r="N113" s="19">
        <f t="shared" si="62"/>
        <v>388</v>
      </c>
      <c r="O113" s="186">
        <f t="shared" si="46"/>
        <v>388</v>
      </c>
      <c r="P113" s="44"/>
      <c r="Q113" s="19">
        <f t="shared" si="47"/>
        <v>15835</v>
      </c>
      <c r="R113" s="44"/>
      <c r="S113" s="19">
        <f t="shared" si="48"/>
        <v>291</v>
      </c>
      <c r="T113" s="186">
        <f t="shared" si="63"/>
        <v>291</v>
      </c>
      <c r="U113" s="44"/>
      <c r="V113" s="19">
        <f t="shared" si="64"/>
        <v>16126</v>
      </c>
      <c r="W113" s="273"/>
    </row>
    <row r="114" spans="2:28">
      <c r="B114" s="2" t="s">
        <v>27</v>
      </c>
      <c r="C114" s="1">
        <v>925</v>
      </c>
      <c r="D114" s="1" t="s">
        <v>92</v>
      </c>
      <c r="E114" s="100">
        <f>'AN Electric'!G116</f>
        <v>0</v>
      </c>
      <c r="F114" s="49"/>
      <c r="G114" s="17">
        <f t="shared" si="60"/>
        <v>0</v>
      </c>
      <c r="H114" s="18"/>
      <c r="I114" s="19">
        <f t="shared" si="61"/>
        <v>0</v>
      </c>
      <c r="J114" s="19">
        <f t="shared" si="65"/>
        <v>0</v>
      </c>
      <c r="K114" s="186">
        <f t="shared" si="44"/>
        <v>0</v>
      </c>
      <c r="L114" s="19">
        <f t="shared" si="45"/>
        <v>0</v>
      </c>
      <c r="M114" s="44"/>
      <c r="N114" s="19">
        <f t="shared" si="62"/>
        <v>0</v>
      </c>
      <c r="O114" s="186">
        <f t="shared" si="46"/>
        <v>0</v>
      </c>
      <c r="P114" s="44"/>
      <c r="Q114" s="19">
        <f t="shared" si="47"/>
        <v>0</v>
      </c>
      <c r="R114" s="44"/>
      <c r="S114" s="19">
        <f t="shared" si="48"/>
        <v>0</v>
      </c>
      <c r="T114" s="186">
        <f t="shared" si="63"/>
        <v>0</v>
      </c>
      <c r="U114" s="44"/>
      <c r="V114" s="19">
        <f t="shared" si="64"/>
        <v>0</v>
      </c>
      <c r="W114" s="273"/>
    </row>
    <row r="115" spans="2:28">
      <c r="B115" s="2" t="s">
        <v>27</v>
      </c>
      <c r="C115" s="1">
        <v>926</v>
      </c>
      <c r="D115" s="1" t="s">
        <v>93</v>
      </c>
      <c r="E115" s="100">
        <f>'AN Electric'!G117</f>
        <v>0</v>
      </c>
      <c r="F115" s="49"/>
      <c r="G115" s="17">
        <f>F115+E115</f>
        <v>0</v>
      </c>
      <c r="H115" s="18"/>
      <c r="I115" s="19">
        <f t="shared" si="61"/>
        <v>0</v>
      </c>
      <c r="J115" s="19">
        <f t="shared" si="65"/>
        <v>0</v>
      </c>
      <c r="K115" s="186">
        <f t="shared" si="44"/>
        <v>0</v>
      </c>
      <c r="L115" s="19">
        <f t="shared" si="45"/>
        <v>0</v>
      </c>
      <c r="M115" s="44"/>
      <c r="N115" s="19">
        <f t="shared" si="62"/>
        <v>0</v>
      </c>
      <c r="O115" s="186">
        <f t="shared" si="46"/>
        <v>0</v>
      </c>
      <c r="P115" s="44"/>
      <c r="Q115" s="19">
        <f t="shared" si="47"/>
        <v>0</v>
      </c>
      <c r="R115" s="44"/>
      <c r="S115" s="19">
        <f t="shared" si="48"/>
        <v>0</v>
      </c>
      <c r="T115" s="186">
        <f t="shared" si="63"/>
        <v>0</v>
      </c>
      <c r="U115" s="44"/>
      <c r="V115" s="19">
        <f t="shared" si="64"/>
        <v>0</v>
      </c>
      <c r="W115" s="273"/>
    </row>
    <row r="116" spans="2:28">
      <c r="B116" s="2" t="s">
        <v>27</v>
      </c>
      <c r="C116" s="1">
        <v>927</v>
      </c>
      <c r="D116" s="1" t="s">
        <v>94</v>
      </c>
      <c r="E116" s="100">
        <f>'AN Electric'!G118</f>
        <v>0</v>
      </c>
      <c r="F116" s="49"/>
      <c r="G116" s="17">
        <f>F116+E116</f>
        <v>0</v>
      </c>
      <c r="H116" s="18"/>
      <c r="I116" s="19">
        <f t="shared" si="61"/>
        <v>0</v>
      </c>
      <c r="J116" s="19">
        <f t="shared" si="65"/>
        <v>0</v>
      </c>
      <c r="K116" s="186">
        <f t="shared" si="44"/>
        <v>0</v>
      </c>
      <c r="L116" s="19">
        <f t="shared" si="45"/>
        <v>0</v>
      </c>
      <c r="M116" s="44"/>
      <c r="N116" s="19">
        <f t="shared" si="62"/>
        <v>0</v>
      </c>
      <c r="O116" s="186">
        <f t="shared" si="46"/>
        <v>0</v>
      </c>
      <c r="P116" s="44"/>
      <c r="Q116" s="19">
        <f t="shared" si="47"/>
        <v>0</v>
      </c>
      <c r="R116" s="44"/>
      <c r="S116" s="19">
        <f t="shared" si="48"/>
        <v>0</v>
      </c>
      <c r="T116" s="186">
        <f t="shared" si="63"/>
        <v>0</v>
      </c>
      <c r="U116" s="44"/>
      <c r="V116" s="19">
        <f t="shared" si="64"/>
        <v>0</v>
      </c>
      <c r="W116" s="273"/>
    </row>
    <row r="117" spans="2:28">
      <c r="B117" s="2" t="s">
        <v>27</v>
      </c>
      <c r="C117" s="1">
        <v>928</v>
      </c>
      <c r="D117" s="1" t="s">
        <v>95</v>
      </c>
      <c r="E117" s="100">
        <f>'AN Electric'!G119</f>
        <v>846165</v>
      </c>
      <c r="F117" s="49"/>
      <c r="G117" s="17">
        <f t="shared" si="60"/>
        <v>846165</v>
      </c>
      <c r="H117" s="18"/>
      <c r="I117" s="19">
        <f t="shared" si="61"/>
        <v>10509</v>
      </c>
      <c r="J117" s="19">
        <f t="shared" si="65"/>
        <v>23987</v>
      </c>
      <c r="K117" s="186">
        <f t="shared" si="44"/>
        <v>34496</v>
      </c>
      <c r="L117" s="19">
        <f t="shared" si="45"/>
        <v>880661</v>
      </c>
      <c r="M117" s="44"/>
      <c r="N117" s="19">
        <f t="shared" si="62"/>
        <v>22140</v>
      </c>
      <c r="O117" s="186">
        <f t="shared" si="46"/>
        <v>22140</v>
      </c>
      <c r="P117" s="44"/>
      <c r="Q117" s="19">
        <f t="shared" si="47"/>
        <v>902801</v>
      </c>
      <c r="R117" s="44"/>
      <c r="S117" s="19">
        <f t="shared" si="48"/>
        <v>16612</v>
      </c>
      <c r="T117" s="186">
        <f t="shared" si="63"/>
        <v>16612</v>
      </c>
      <c r="U117" s="44"/>
      <c r="V117" s="19">
        <f t="shared" si="64"/>
        <v>919413</v>
      </c>
      <c r="W117" s="273"/>
    </row>
    <row r="118" spans="2:28">
      <c r="B118" s="2" t="s">
        <v>27</v>
      </c>
      <c r="C118" s="1">
        <v>930</v>
      </c>
      <c r="D118" s="1" t="s">
        <v>96</v>
      </c>
      <c r="E118" s="100">
        <f>'AN Electric'!G120</f>
        <v>142076</v>
      </c>
      <c r="F118" s="49"/>
      <c r="G118" s="17">
        <f t="shared" si="60"/>
        <v>142076</v>
      </c>
      <c r="H118" s="18"/>
      <c r="I118" s="19">
        <f t="shared" si="61"/>
        <v>1765</v>
      </c>
      <c r="J118" s="19">
        <f t="shared" si="65"/>
        <v>4028</v>
      </c>
      <c r="K118" s="186">
        <f t="shared" si="44"/>
        <v>5793</v>
      </c>
      <c r="L118" s="19">
        <f t="shared" si="45"/>
        <v>147869</v>
      </c>
      <c r="M118" s="44"/>
      <c r="N118" s="19">
        <f t="shared" si="62"/>
        <v>3717</v>
      </c>
      <c r="O118" s="186">
        <f t="shared" si="46"/>
        <v>3717</v>
      </c>
      <c r="P118" s="44"/>
      <c r="Q118" s="19">
        <f t="shared" si="47"/>
        <v>151586</v>
      </c>
      <c r="R118" s="44"/>
      <c r="S118" s="19">
        <f t="shared" si="48"/>
        <v>2789</v>
      </c>
      <c r="T118" s="186">
        <f t="shared" si="63"/>
        <v>2789</v>
      </c>
      <c r="U118" s="44"/>
      <c r="V118" s="19">
        <f t="shared" si="64"/>
        <v>154375</v>
      </c>
      <c r="W118" s="273"/>
    </row>
    <row r="119" spans="2:28">
      <c r="B119" s="151" t="s">
        <v>27</v>
      </c>
      <c r="C119" s="1">
        <v>935</v>
      </c>
      <c r="D119" s="1" t="s">
        <v>97</v>
      </c>
      <c r="E119" s="100">
        <f>'AN Electric'!G121</f>
        <v>940605</v>
      </c>
      <c r="F119" s="49"/>
      <c r="G119" s="17">
        <f t="shared" si="60"/>
        <v>940605</v>
      </c>
      <c r="H119" s="18"/>
      <c r="I119" s="19">
        <f t="shared" si="61"/>
        <v>11682</v>
      </c>
      <c r="J119" s="19">
        <f t="shared" si="65"/>
        <v>26664</v>
      </c>
      <c r="K119" s="186">
        <f t="shared" si="44"/>
        <v>38346</v>
      </c>
      <c r="L119" s="19">
        <f t="shared" si="45"/>
        <v>978951</v>
      </c>
      <c r="M119" s="44"/>
      <c r="N119" s="19">
        <f t="shared" si="62"/>
        <v>24611</v>
      </c>
      <c r="O119" s="186">
        <f t="shared" si="46"/>
        <v>24611</v>
      </c>
      <c r="P119" s="44"/>
      <c r="Q119" s="19">
        <f t="shared" si="47"/>
        <v>1003562</v>
      </c>
      <c r="R119" s="44"/>
      <c r="S119" s="19">
        <f t="shared" si="48"/>
        <v>18466</v>
      </c>
      <c r="T119" s="186">
        <f t="shared" si="63"/>
        <v>18466</v>
      </c>
      <c r="U119" s="44"/>
      <c r="V119" s="19">
        <f t="shared" si="64"/>
        <v>1022028</v>
      </c>
      <c r="W119" s="273"/>
    </row>
    <row r="120" spans="2:28">
      <c r="C120" s="2" t="s">
        <v>13</v>
      </c>
      <c r="E120" s="102">
        <f>SUM(E111:E119)</f>
        <v>11891067</v>
      </c>
      <c r="F120" s="158"/>
      <c r="G120" s="36">
        <f>SUM(G111:G119)</f>
        <v>11891067</v>
      </c>
      <c r="H120" s="18"/>
      <c r="I120" s="36">
        <f>SUM(I111:I119)</f>
        <v>147686</v>
      </c>
      <c r="J120" s="36">
        <f>SUM(J111:J119)</f>
        <v>337086</v>
      </c>
      <c r="K120" s="188">
        <f t="shared" si="44"/>
        <v>484772</v>
      </c>
      <c r="L120" s="36">
        <f t="shared" si="45"/>
        <v>12375839</v>
      </c>
      <c r="M120" s="18"/>
      <c r="N120" s="102">
        <f>SUM(N111:N119)</f>
        <v>311128</v>
      </c>
      <c r="O120" s="188">
        <f t="shared" si="46"/>
        <v>311128</v>
      </c>
      <c r="P120" s="18"/>
      <c r="Q120" s="36">
        <f t="shared" si="47"/>
        <v>12686967</v>
      </c>
      <c r="R120" s="18"/>
      <c r="S120" s="36">
        <f t="shared" si="48"/>
        <v>233440</v>
      </c>
      <c r="T120" s="188">
        <f t="shared" si="63"/>
        <v>233440</v>
      </c>
      <c r="U120" s="18"/>
      <c r="V120" s="36">
        <f t="shared" si="64"/>
        <v>12920407</v>
      </c>
      <c r="W120" s="273"/>
    </row>
    <row r="121" spans="2:28">
      <c r="E121" s="100"/>
      <c r="F121" s="49"/>
      <c r="G121" s="17"/>
      <c r="H121" s="18"/>
      <c r="I121" s="17"/>
      <c r="J121" s="17"/>
      <c r="K121" s="189"/>
      <c r="L121" s="17"/>
      <c r="M121" s="18"/>
      <c r="N121" s="100"/>
      <c r="O121" s="189"/>
      <c r="P121" s="18"/>
      <c r="Q121" s="17"/>
      <c r="R121" s="18"/>
      <c r="S121" s="17">
        <f t="shared" si="48"/>
        <v>0</v>
      </c>
      <c r="T121" s="189"/>
      <c r="U121" s="18"/>
      <c r="V121" s="17"/>
      <c r="W121" s="273"/>
    </row>
    <row r="122" spans="2:28" ht="13.5" thickBot="1">
      <c r="C122" s="2" t="s">
        <v>98</v>
      </c>
      <c r="E122" s="158">
        <f>E120+E108+E101+E95+E88+E66+E50</f>
        <v>39483642</v>
      </c>
      <c r="F122" s="158"/>
      <c r="G122" s="36">
        <f>G120+G108+G101+G95+G88+G66+G50</f>
        <v>39483642</v>
      </c>
      <c r="H122" s="18"/>
      <c r="I122" s="36">
        <f>I120+I108+I101+I95+I88+I66+I50</f>
        <v>522295</v>
      </c>
      <c r="J122" s="36">
        <f>J120+J108+J101+J95+J88+J66+J50</f>
        <v>1165767</v>
      </c>
      <c r="K122" s="191">
        <f t="shared" si="44"/>
        <v>1688062</v>
      </c>
      <c r="L122" s="36">
        <f>G122+K122</f>
        <v>41171704</v>
      </c>
      <c r="M122" s="18"/>
      <c r="N122" s="102">
        <f>N120+N108+N101+N95+N88+N66+N50</f>
        <v>1000272</v>
      </c>
      <c r="O122" s="191">
        <f t="shared" si="46"/>
        <v>1000272</v>
      </c>
      <c r="P122" s="18"/>
      <c r="Q122" s="36">
        <f>L122+O122</f>
        <v>42171976</v>
      </c>
      <c r="R122" s="18"/>
      <c r="S122" s="36">
        <f t="shared" si="48"/>
        <v>775964</v>
      </c>
      <c r="T122" s="191">
        <f t="shared" ref="T122" si="66">S122</f>
        <v>775964</v>
      </c>
      <c r="U122" s="18"/>
      <c r="V122" s="36">
        <f>Q122+T122</f>
        <v>42947940</v>
      </c>
    </row>
    <row r="123" spans="2:28" s="84" customFormat="1">
      <c r="E123" s="106">
        <f>'AN Electric'!G124</f>
        <v>39483639</v>
      </c>
      <c r="F123" s="106"/>
      <c r="H123" s="86"/>
      <c r="I123" s="150"/>
      <c r="J123" s="150"/>
      <c r="K123" s="150"/>
      <c r="L123" s="118"/>
      <c r="M123" s="251"/>
      <c r="N123" s="150"/>
      <c r="O123" s="150"/>
      <c r="P123" s="165"/>
      <c r="Q123" s="118"/>
      <c r="R123" s="165"/>
      <c r="S123" s="118"/>
      <c r="T123" s="150"/>
      <c r="U123" s="165"/>
      <c r="V123" s="118"/>
      <c r="X123" s="2"/>
      <c r="Y123" s="2"/>
      <c r="Z123" s="2"/>
      <c r="AA123" s="2"/>
      <c r="AB123" s="2"/>
    </row>
    <row r="124" spans="2:28">
      <c r="G124" s="122"/>
      <c r="H124" s="163"/>
      <c r="I124" s="123"/>
      <c r="J124" s="150"/>
      <c r="K124" s="150" t="s">
        <v>230</v>
      </c>
      <c r="L124" s="271">
        <f>L122-L125</f>
        <v>15405197</v>
      </c>
      <c r="M124" s="272"/>
      <c r="N124" s="150" t="s">
        <v>230</v>
      </c>
      <c r="O124" s="271">
        <f t="shared" ref="O124" si="67">O122-O125</f>
        <v>353090</v>
      </c>
      <c r="P124" s="308">
        <f>O124/O122</f>
        <v>0.35</v>
      </c>
      <c r="Q124" s="271">
        <f>Q122-Q125</f>
        <v>15758287</v>
      </c>
      <c r="R124" s="288"/>
      <c r="S124" s="150" t="s">
        <v>230</v>
      </c>
      <c r="T124" s="271">
        <f t="shared" ref="T124" si="68">T122-T125</f>
        <v>289951</v>
      </c>
      <c r="U124" s="271"/>
      <c r="V124" s="271">
        <f>V122-V125</f>
        <v>16048238</v>
      </c>
    </row>
    <row r="125" spans="2:28">
      <c r="D125" s="9"/>
      <c r="E125" s="100"/>
      <c r="F125" s="49"/>
      <c r="G125" s="123"/>
      <c r="H125" s="124"/>
      <c r="I125" s="123"/>
      <c r="J125" s="150"/>
      <c r="K125" s="150" t="s">
        <v>231</v>
      </c>
      <c r="L125" s="309">
        <f>L120+L108+L101+L95+L79+L70+L69+L60+L54+L53+L48+L39+L36+L28+L25+L23+L15+L9</f>
        <v>25766507</v>
      </c>
      <c r="M125" s="272"/>
      <c r="N125" s="150" t="s">
        <v>231</v>
      </c>
      <c r="O125" s="309">
        <f t="shared" ref="O125" si="69">O120+O108+O101+O95+O79+O70+O69+O60+O54+O53+O48+O39+O36+O28+O25+O23+O15+O9</f>
        <v>647182</v>
      </c>
      <c r="P125" s="308">
        <f>O125/O122</f>
        <v>0.65</v>
      </c>
      <c r="Q125" s="271">
        <f>Q120+Q108+Q101+Q95+Q79+Q70+Q69+Q60+Q54+Q53+Q48+Q39+Q36+Q28+Q25+Q23+Q15+Q9</f>
        <v>26413689</v>
      </c>
      <c r="R125" s="288"/>
      <c r="S125" s="150" t="s">
        <v>231</v>
      </c>
      <c r="T125" s="309">
        <f t="shared" ref="T125" si="70">T120+T108+T101+T95+T79+T70+T69+T60+T54+T53+T48+T39+T36+T28+T25+T23+T15+T9</f>
        <v>486013</v>
      </c>
      <c r="U125" s="271"/>
      <c r="V125" s="271">
        <f>V120+V108+V101+V95+V79+V70+V69+V60+V54+V53+V48+V39+V36+V28+V25+V23+V15+V9</f>
        <v>26899702</v>
      </c>
    </row>
    <row r="126" spans="2:28">
      <c r="G126" s="123"/>
      <c r="H126" s="124"/>
      <c r="I126" s="123"/>
      <c r="J126" s="150"/>
      <c r="K126" s="150"/>
      <c r="L126" s="271">
        <f>L124+L125</f>
        <v>41171704</v>
      </c>
      <c r="M126" s="124"/>
      <c r="N126" s="150"/>
      <c r="O126" s="271">
        <f>SUM(O124:O125)</f>
        <v>1000272</v>
      </c>
      <c r="P126" s="124"/>
      <c r="Q126" s="123"/>
      <c r="R126" s="124"/>
      <c r="S126" s="123"/>
      <c r="T126" s="271">
        <f>SUM(T124:T125)</f>
        <v>775964</v>
      </c>
      <c r="U126" s="124"/>
      <c r="V126" s="123"/>
      <c r="X126" s="84"/>
      <c r="Y126" s="84"/>
      <c r="Z126" s="84"/>
      <c r="AA126" s="84"/>
      <c r="AB126" s="84"/>
    </row>
    <row r="127" spans="2:28">
      <c r="G127" s="123"/>
      <c r="H127" s="124"/>
      <c r="I127" s="123"/>
      <c r="J127" s="123"/>
      <c r="K127" s="123"/>
      <c r="L127" s="123"/>
      <c r="M127" s="124"/>
      <c r="N127" s="123"/>
      <c r="O127" s="123"/>
      <c r="P127" s="124"/>
      <c r="Q127" s="123"/>
      <c r="R127" s="124"/>
      <c r="S127" s="123"/>
      <c r="T127" s="123"/>
      <c r="U127" s="124"/>
      <c r="V127" s="123"/>
    </row>
    <row r="128" spans="2:28">
      <c r="G128" s="123"/>
      <c r="H128" s="124"/>
      <c r="I128" s="123"/>
      <c r="J128" s="123"/>
      <c r="K128" s="123"/>
      <c r="L128" s="123"/>
      <c r="M128" s="124"/>
      <c r="N128" s="123"/>
      <c r="O128" s="123"/>
      <c r="P128" s="124"/>
      <c r="Q128" s="123"/>
      <c r="R128" s="124"/>
      <c r="S128" s="123"/>
      <c r="T128" s="123"/>
      <c r="U128" s="124"/>
      <c r="V128" s="123"/>
    </row>
    <row r="129" spans="6:22">
      <c r="G129" s="123"/>
      <c r="H129" s="124"/>
      <c r="I129" s="123"/>
      <c r="J129" s="123"/>
      <c r="K129" s="123"/>
      <c r="L129" s="123"/>
      <c r="M129" s="124"/>
      <c r="N129" s="123"/>
      <c r="O129" s="123"/>
      <c r="P129" s="124"/>
      <c r="Q129" s="123"/>
      <c r="R129" s="124"/>
      <c r="S129" s="123"/>
      <c r="T129" s="123"/>
      <c r="U129" s="124"/>
      <c r="V129" s="123"/>
    </row>
    <row r="131" spans="6:22">
      <c r="K131" s="150" t="s">
        <v>230</v>
      </c>
      <c r="L131" s="271">
        <v>15390254</v>
      </c>
      <c r="M131" s="272"/>
      <c r="N131" s="150" t="s">
        <v>230</v>
      </c>
      <c r="O131" s="271">
        <v>352746</v>
      </c>
    </row>
    <row r="132" spans="6:22">
      <c r="K132" s="150" t="s">
        <v>231</v>
      </c>
      <c r="L132" s="309">
        <v>25815862</v>
      </c>
      <c r="M132" s="272"/>
      <c r="N132" s="150" t="s">
        <v>231</v>
      </c>
      <c r="O132" s="309">
        <v>648422</v>
      </c>
    </row>
    <row r="133" spans="6:22">
      <c r="F133" s="49"/>
      <c r="I133" s="17"/>
      <c r="J133" s="17"/>
      <c r="K133" s="150"/>
      <c r="L133" s="271">
        <f>L131+L132</f>
        <v>41206116</v>
      </c>
      <c r="M133" s="124"/>
      <c r="N133" s="150"/>
      <c r="O133" s="271">
        <v>1001168</v>
      </c>
    </row>
    <row r="135" spans="6:22">
      <c r="L135" s="17">
        <f>L126-L133</f>
        <v>-34412</v>
      </c>
    </row>
  </sheetData>
  <phoneticPr fontId="0" type="noConversion"/>
  <pageMargins left="0.24" right="0.21" top="0.5" bottom="0.5" header="0.25" footer="0.25"/>
  <pageSetup scale="60" fitToHeight="3" orientation="landscape" r:id="rId1"/>
  <headerFooter scaleWithDoc="0" alignWithMargins="0">
    <oddHeader>&amp;CBench Request 10.1 - Attachment A&amp;RAdjustment No. 3.02 (Electric) and 
3.00 (Natural Gas)</oddHeader>
    <oddFooter>&amp;RPage &amp;P of &amp;N</oddFooter>
  </headerFooter>
  <rowBreaks count="1" manualBreakCount="1">
    <brk id="66" min="13" max="2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AB241"/>
  <sheetViews>
    <sheetView tabSelected="1" zoomScaleNormal="100" zoomScaleSheetLayoutView="100" workbookViewId="0">
      <pane xSplit="1" ySplit="6" topLeftCell="B61" activePane="bottomRight" state="frozen"/>
      <selection activeCell="I46" sqref="I46"/>
      <selection pane="topRight" activeCell="I46" sqref="I46"/>
      <selection pane="bottomLeft" activeCell="I46" sqref="I46"/>
      <selection pane="bottomRight" activeCell="I46" sqref="I46"/>
    </sheetView>
  </sheetViews>
  <sheetFormatPr defaultColWidth="9.33203125" defaultRowHeight="12.75"/>
  <cols>
    <col min="1" max="1" width="2.33203125" style="2" customWidth="1"/>
    <col min="2" max="2" width="3" style="2" customWidth="1"/>
    <col min="3" max="3" width="5.5" style="14" customWidth="1"/>
    <col min="4" max="4" width="33.5" style="14" customWidth="1"/>
    <col min="5" max="5" width="12.1640625" style="2" bestFit="1" customWidth="1"/>
    <col min="6" max="6" width="12.1640625" style="2" hidden="1" customWidth="1"/>
    <col min="7" max="7" width="14.33203125" style="2" bestFit="1" customWidth="1"/>
    <col min="8" max="8" width="5.33203125" style="2" customWidth="1"/>
    <col min="9" max="9" width="16.6640625" style="2" customWidth="1"/>
    <col min="10" max="10" width="14.33203125" style="2" bestFit="1" customWidth="1"/>
    <col min="11" max="11" width="17" style="2" customWidth="1"/>
    <col min="12" max="12" width="13.83203125" style="2" customWidth="1"/>
    <col min="13" max="13" width="4.33203125" style="71" customWidth="1"/>
    <col min="14" max="14" width="14.33203125" style="2" bestFit="1" customWidth="1"/>
    <col min="15" max="15" width="17" style="2" customWidth="1"/>
    <col min="16" max="16" width="6" style="2" customWidth="1"/>
    <col min="17" max="17" width="13.83203125" style="2" customWidth="1"/>
    <col min="18" max="18" width="5.6640625" style="11" customWidth="1"/>
    <col min="19" max="19" width="13.83203125" style="2" customWidth="1"/>
    <col min="20" max="20" width="17" style="2" customWidth="1"/>
    <col min="21" max="21" width="4.33203125" style="2" customWidth="1"/>
    <col min="22" max="22" width="13.83203125" style="2" customWidth="1"/>
    <col min="23" max="16384" width="9.33203125" style="2"/>
  </cols>
  <sheetData>
    <row r="1" spans="2:28" ht="15.75">
      <c r="C1" s="50" t="s">
        <v>24</v>
      </c>
      <c r="D1" s="13"/>
    </row>
    <row r="2" spans="2:28">
      <c r="C2" s="15" t="s">
        <v>108</v>
      </c>
      <c r="D2" s="15"/>
    </row>
    <row r="3" spans="2:28" ht="13.5" thickBot="1">
      <c r="C3" s="15" t="str">
        <f>'Washington Electric'!C3</f>
        <v>12 Months Ending 09/30/15</v>
      </c>
      <c r="D3" s="15"/>
    </row>
    <row r="4" spans="2:28">
      <c r="C4" s="16"/>
      <c r="D4" s="16"/>
      <c r="E4" s="3"/>
      <c r="F4" s="3"/>
      <c r="G4" s="3"/>
      <c r="H4" s="3"/>
      <c r="I4" s="67">
        <f>'Washington Electric'!I4</f>
        <v>2015</v>
      </c>
      <c r="J4" s="67">
        <f>'Washington Electric'!J4</f>
        <v>2016</v>
      </c>
      <c r="K4" s="166" t="s">
        <v>205</v>
      </c>
      <c r="L4" s="67" t="s">
        <v>0</v>
      </c>
      <c r="M4" s="252"/>
      <c r="N4" s="67">
        <f>'Washington Electric'!N4</f>
        <v>2017</v>
      </c>
      <c r="O4" s="166" t="s">
        <v>205</v>
      </c>
      <c r="P4" s="85"/>
      <c r="Q4" s="67" t="s">
        <v>0</v>
      </c>
      <c r="R4" s="25"/>
      <c r="S4" s="67">
        <f>'Washington Electric'!S4</f>
        <v>2018</v>
      </c>
      <c r="T4" s="166" t="s">
        <v>205</v>
      </c>
      <c r="U4" s="85"/>
      <c r="V4" s="67" t="s">
        <v>0</v>
      </c>
    </row>
    <row r="5" spans="2:28">
      <c r="C5" s="16"/>
      <c r="D5" s="16"/>
      <c r="E5" s="3"/>
      <c r="F5" s="3"/>
      <c r="G5" s="3" t="s">
        <v>1</v>
      </c>
      <c r="H5" s="3"/>
      <c r="I5" s="121">
        <f>'Washington Electric'!I5</f>
        <v>1.242E-2</v>
      </c>
      <c r="J5" s="121">
        <f>'Washington Electric'!J5</f>
        <v>2.8000000000000001E-2</v>
      </c>
      <c r="K5" s="192" t="s">
        <v>202</v>
      </c>
      <c r="L5" s="121" t="s">
        <v>206</v>
      </c>
      <c r="M5" s="253"/>
      <c r="N5" s="121">
        <f>'Washington Electric'!N5</f>
        <v>2.5139999999999999E-2</v>
      </c>
      <c r="O5" s="192" t="str">
        <f>'Washington Electric'!O5</f>
        <v>Pro-Forma Labor</v>
      </c>
      <c r="P5" s="167"/>
      <c r="Q5" s="121" t="s">
        <v>206</v>
      </c>
      <c r="R5" s="260"/>
      <c r="S5" s="121">
        <f>'Washington Electric'!S5</f>
        <v>1.84E-2</v>
      </c>
      <c r="T5" s="192" t="str">
        <f>'Washington Electric'!T5</f>
        <v>Pro-Forma Labor</v>
      </c>
      <c r="U5" s="167"/>
      <c r="V5" s="121" t="s">
        <v>206</v>
      </c>
    </row>
    <row r="6" spans="2:28">
      <c r="D6" s="14" t="s">
        <v>187</v>
      </c>
      <c r="E6" s="5" t="s">
        <v>31</v>
      </c>
      <c r="F6" s="5"/>
      <c r="G6" s="5" t="s">
        <v>31</v>
      </c>
      <c r="H6" s="5"/>
      <c r="I6" s="120">
        <f>'Washington Electric'!I6</f>
        <v>1.455E-2</v>
      </c>
      <c r="J6" s="120">
        <f>'Washington Electric'!J6</f>
        <v>3.1E-2</v>
      </c>
      <c r="K6" s="193" t="s">
        <v>225</v>
      </c>
      <c r="L6" s="120" t="s">
        <v>228</v>
      </c>
      <c r="M6" s="254"/>
      <c r="N6" s="120">
        <f>'Washington Electric'!N6</f>
        <v>2.2919999999999999E-2</v>
      </c>
      <c r="O6" s="193" t="str">
        <f>'Washington Electric'!O6</f>
        <v>2017 Adjustment</v>
      </c>
      <c r="P6" s="168"/>
      <c r="Q6" s="120" t="s">
        <v>229</v>
      </c>
      <c r="R6" s="5"/>
      <c r="S6" s="120">
        <f>'Washington Electric'!S6</f>
        <v>1.84E-2</v>
      </c>
      <c r="T6" s="193" t="str">
        <f>'Washington Electric'!T6</f>
        <v>2018 Adjustment</v>
      </c>
      <c r="U6" s="168"/>
      <c r="V6" s="120" t="s">
        <v>247</v>
      </c>
    </row>
    <row r="7" spans="2:28">
      <c r="E7" s="5"/>
      <c r="F7" s="5"/>
      <c r="G7" s="5"/>
      <c r="H7" s="5"/>
      <c r="I7" s="5"/>
      <c r="J7" s="5"/>
      <c r="K7" s="194"/>
      <c r="L7" s="5"/>
      <c r="M7" s="255"/>
      <c r="N7" s="5"/>
      <c r="O7" s="194"/>
      <c r="P7" s="149"/>
      <c r="Q7" s="5"/>
      <c r="R7" s="5"/>
      <c r="S7" s="5"/>
      <c r="T7" s="194"/>
      <c r="U7" s="149"/>
      <c r="V7" s="5"/>
    </row>
    <row r="8" spans="2:28">
      <c r="C8" s="14" t="s">
        <v>32</v>
      </c>
      <c r="E8" s="5"/>
      <c r="F8" s="5"/>
      <c r="G8" s="5"/>
      <c r="H8" s="5"/>
      <c r="I8" s="5"/>
      <c r="J8" s="5"/>
      <c r="K8" s="195"/>
      <c r="N8" s="5"/>
      <c r="O8" s="195"/>
      <c r="P8" s="5"/>
      <c r="R8" s="5"/>
      <c r="T8" s="195"/>
      <c r="U8" s="5"/>
    </row>
    <row r="9" spans="2:28" s="84" customFormat="1">
      <c r="B9" s="84" t="s">
        <v>27</v>
      </c>
      <c r="C9" s="34" t="s">
        <v>128</v>
      </c>
      <c r="D9" s="13"/>
      <c r="E9" s="49">
        <f>'AN Gas'!F10</f>
        <v>0</v>
      </c>
      <c r="F9" s="49"/>
      <c r="G9" s="49">
        <f>F9+E9</f>
        <v>0</v>
      </c>
      <c r="H9" s="49"/>
      <c r="I9" s="49">
        <f>ROUND(IF($B9="a",G9*I$5,G9*I$6),0)</f>
        <v>0</v>
      </c>
      <c r="J9" s="49">
        <f>ROUND(IF($B9="a",(G9+I9)*J$5,(G9+I9)*J$6),0)</f>
        <v>0</v>
      </c>
      <c r="K9" s="294">
        <f>I9+J9</f>
        <v>0</v>
      </c>
      <c r="L9" s="49">
        <f>K9+G9</f>
        <v>0</v>
      </c>
      <c r="M9" s="295"/>
      <c r="N9" s="49">
        <f>ROUND(IF($B9="a",(G9+I9+J9)*N$5,(G9+I9+J9)*N$6),0)</f>
        <v>0</v>
      </c>
      <c r="O9" s="294">
        <f>N9</f>
        <v>0</v>
      </c>
      <c r="P9" s="296"/>
      <c r="Q9" s="49">
        <f>O9+L9</f>
        <v>0</v>
      </c>
      <c r="R9" s="296"/>
      <c r="S9" s="49">
        <f>ROUND(IF($B9="a",Q9*S$5,Q9*S$6),0)</f>
        <v>0</v>
      </c>
      <c r="T9" s="294">
        <f>S9</f>
        <v>0</v>
      </c>
      <c r="U9" s="296"/>
      <c r="V9" s="49">
        <f>T9+Q9</f>
        <v>0</v>
      </c>
      <c r="X9" s="274" t="s">
        <v>233</v>
      </c>
      <c r="Y9" s="275"/>
      <c r="Z9" s="275"/>
      <c r="AA9" s="275" t="s">
        <v>230</v>
      </c>
      <c r="AB9" s="276"/>
    </row>
    <row r="10" spans="2:28" s="84" customFormat="1">
      <c r="B10" s="84" t="s">
        <v>27</v>
      </c>
      <c r="C10" s="34" t="s">
        <v>129</v>
      </c>
      <c r="D10" s="13"/>
      <c r="E10" s="49">
        <f>'AN Gas'!F11</f>
        <v>0</v>
      </c>
      <c r="F10" s="49"/>
      <c r="G10" s="49">
        <f>F10+E10</f>
        <v>0</v>
      </c>
      <c r="H10" s="49"/>
      <c r="I10" s="49">
        <f t="shared" ref="I10:I72" si="0">ROUND(IF($B10="a",G10*I$5,G10*I$6),0)</f>
        <v>0</v>
      </c>
      <c r="J10" s="49">
        <f t="shared" ref="J10:J72" si="1">ROUND(IF($B10="a",(G10+I10)*J$5,(G10+I10)*J$6),0)</f>
        <v>0</v>
      </c>
      <c r="K10" s="294">
        <f t="shared" ref="K10:K73" si="2">I10+J10</f>
        <v>0</v>
      </c>
      <c r="L10" s="49">
        <f t="shared" ref="L10:L73" si="3">K10+G10</f>
        <v>0</v>
      </c>
      <c r="M10" s="295"/>
      <c r="N10" s="49">
        <f t="shared" ref="N10:N11" si="4">ROUND(IF($B10="a",(G10+I10+J10)*N$5,(G10+I10+J10)*N$6),0)</f>
        <v>0</v>
      </c>
      <c r="O10" s="294">
        <f t="shared" ref="O10:O73" si="5">N10</f>
        <v>0</v>
      </c>
      <c r="P10" s="296"/>
      <c r="Q10" s="49">
        <f t="shared" ref="Q10:Q73" si="6">O10+L10</f>
        <v>0</v>
      </c>
      <c r="R10" s="296"/>
      <c r="S10" s="49">
        <f t="shared" ref="S10:S73" si="7">ROUND(IF($B10="a",Q10*S$5,Q10*S$6),0)</f>
        <v>0</v>
      </c>
      <c r="T10" s="294">
        <f t="shared" ref="T10:T12" si="8">S10</f>
        <v>0</v>
      </c>
      <c r="U10" s="296"/>
      <c r="V10" s="49">
        <f t="shared" ref="V10:V12" si="9">T10+Q10</f>
        <v>0</v>
      </c>
      <c r="X10" s="277"/>
      <c r="Y10" s="11"/>
      <c r="Z10" s="11"/>
      <c r="AA10" s="11"/>
      <c r="AB10" s="278"/>
    </row>
    <row r="11" spans="2:28" s="84" customFormat="1">
      <c r="B11" s="84" t="s">
        <v>27</v>
      </c>
      <c r="C11" s="34" t="s">
        <v>130</v>
      </c>
      <c r="D11" s="13"/>
      <c r="E11" s="49">
        <f>'AN Gas'!F12</f>
        <v>389974</v>
      </c>
      <c r="F11" s="49"/>
      <c r="G11" s="49">
        <f>F11+E11</f>
        <v>389974</v>
      </c>
      <c r="H11" s="49"/>
      <c r="I11" s="49">
        <f t="shared" si="0"/>
        <v>4843</v>
      </c>
      <c r="J11" s="49">
        <f t="shared" si="1"/>
        <v>11055</v>
      </c>
      <c r="K11" s="294">
        <f t="shared" si="2"/>
        <v>15898</v>
      </c>
      <c r="L11" s="49">
        <f t="shared" si="3"/>
        <v>405872</v>
      </c>
      <c r="M11" s="295"/>
      <c r="N11" s="49">
        <f t="shared" si="4"/>
        <v>10204</v>
      </c>
      <c r="O11" s="294">
        <f t="shared" si="5"/>
        <v>10204</v>
      </c>
      <c r="P11" s="296"/>
      <c r="Q11" s="49">
        <f t="shared" si="6"/>
        <v>416076</v>
      </c>
      <c r="R11" s="296"/>
      <c r="S11" s="49">
        <f t="shared" si="7"/>
        <v>7656</v>
      </c>
      <c r="T11" s="294">
        <f t="shared" si="8"/>
        <v>7656</v>
      </c>
      <c r="U11" s="296"/>
      <c r="V11" s="49">
        <f t="shared" si="9"/>
        <v>423732</v>
      </c>
      <c r="X11" s="316" t="s">
        <v>234</v>
      </c>
      <c r="Y11" s="317"/>
      <c r="Z11" s="317"/>
      <c r="AA11" s="317"/>
      <c r="AB11" s="318">
        <v>7.6E-3</v>
      </c>
    </row>
    <row r="12" spans="2:28">
      <c r="C12" s="14" t="s">
        <v>29</v>
      </c>
      <c r="E12" s="21">
        <f>SUM(E9:E11)</f>
        <v>389974</v>
      </c>
      <c r="F12" s="21"/>
      <c r="G12" s="21">
        <f t="shared" ref="G12:N12" si="10">SUM(G9:G11)</f>
        <v>389974</v>
      </c>
      <c r="H12" s="21"/>
      <c r="I12" s="21">
        <f t="shared" si="10"/>
        <v>4843</v>
      </c>
      <c r="J12" s="21">
        <f t="shared" si="10"/>
        <v>11055</v>
      </c>
      <c r="K12" s="196">
        <f t="shared" si="2"/>
        <v>15898</v>
      </c>
      <c r="L12" s="64">
        <f t="shared" si="3"/>
        <v>405872</v>
      </c>
      <c r="M12" s="257"/>
      <c r="N12" s="240">
        <f t="shared" si="10"/>
        <v>10204</v>
      </c>
      <c r="O12" s="196">
        <f t="shared" si="5"/>
        <v>10204</v>
      </c>
      <c r="P12" s="21"/>
      <c r="Q12" s="64">
        <f t="shared" si="6"/>
        <v>416076</v>
      </c>
      <c r="R12" s="26"/>
      <c r="S12" s="64">
        <f t="shared" si="7"/>
        <v>7656</v>
      </c>
      <c r="T12" s="196">
        <f t="shared" si="8"/>
        <v>7656</v>
      </c>
      <c r="U12" s="21"/>
      <c r="V12" s="64">
        <f t="shared" si="9"/>
        <v>423732</v>
      </c>
      <c r="X12" s="277"/>
      <c r="Y12" s="11"/>
      <c r="Z12" s="11"/>
      <c r="AA12" s="11"/>
      <c r="AB12" s="278"/>
    </row>
    <row r="13" spans="2:28">
      <c r="E13" s="22"/>
      <c r="F13" s="22"/>
      <c r="G13" s="22"/>
      <c r="H13" s="22"/>
      <c r="I13" s="22"/>
      <c r="J13" s="22"/>
      <c r="K13" s="197"/>
      <c r="L13" s="22"/>
      <c r="M13" s="257"/>
      <c r="N13" s="153"/>
      <c r="O13" s="197"/>
      <c r="P13" s="26"/>
      <c r="Q13" s="22"/>
      <c r="R13" s="26"/>
      <c r="S13" s="22">
        <f t="shared" si="7"/>
        <v>0</v>
      </c>
      <c r="T13" s="197"/>
      <c r="U13" s="26"/>
      <c r="V13" s="22"/>
      <c r="X13" s="279" t="s">
        <v>237</v>
      </c>
      <c r="Y13" s="25"/>
      <c r="Z13" s="25"/>
      <c r="AA13" s="25"/>
      <c r="AB13" s="280">
        <v>0.03</v>
      </c>
    </row>
    <row r="14" spans="2:28">
      <c r="C14" s="14" t="s">
        <v>109</v>
      </c>
      <c r="E14" s="22"/>
      <c r="F14" s="22"/>
      <c r="G14" s="22"/>
      <c r="H14" s="22"/>
      <c r="I14" s="22"/>
      <c r="J14" s="22"/>
      <c r="K14" s="197"/>
      <c r="L14" s="18"/>
      <c r="M14" s="256"/>
      <c r="N14" s="153"/>
      <c r="O14" s="197"/>
      <c r="P14" s="26"/>
      <c r="Q14" s="18"/>
      <c r="R14" s="18"/>
      <c r="S14" s="18">
        <f t="shared" si="7"/>
        <v>0</v>
      </c>
      <c r="T14" s="197"/>
      <c r="U14" s="26"/>
      <c r="V14" s="18"/>
      <c r="X14" s="279"/>
      <c r="Y14" s="281" t="s">
        <v>238</v>
      </c>
      <c r="Z14" s="25"/>
      <c r="AA14" s="25"/>
      <c r="AB14" s="282">
        <f>ROUND(94/365,3)</f>
        <v>0.25800000000000001</v>
      </c>
    </row>
    <row r="15" spans="2:28" s="84" customFormat="1" ht="13.5" thickBot="1">
      <c r="B15" s="84" t="s">
        <v>27</v>
      </c>
      <c r="C15" s="34" t="s">
        <v>131</v>
      </c>
      <c r="D15" s="13"/>
      <c r="E15" s="49">
        <f>'AN Gas'!F16</f>
        <v>3679</v>
      </c>
      <c r="F15" s="49"/>
      <c r="G15" s="49">
        <f>F15+E15</f>
        <v>3679</v>
      </c>
      <c r="H15" s="49"/>
      <c r="I15" s="49">
        <f t="shared" si="0"/>
        <v>46</v>
      </c>
      <c r="J15" s="49">
        <f t="shared" si="1"/>
        <v>104</v>
      </c>
      <c r="K15" s="294">
        <f t="shared" si="2"/>
        <v>150</v>
      </c>
      <c r="L15" s="49">
        <f t="shared" si="3"/>
        <v>3829</v>
      </c>
      <c r="M15" s="295"/>
      <c r="N15" s="49">
        <f t="shared" ref="N15:N16" si="11">ROUND(IF($B15="a",(G15+I15+J15)*N$5,(G15+I15+J15)*N$6),0)</f>
        <v>96</v>
      </c>
      <c r="O15" s="294">
        <f t="shared" si="5"/>
        <v>96</v>
      </c>
      <c r="P15" s="296"/>
      <c r="Q15" s="49">
        <f t="shared" si="6"/>
        <v>3925</v>
      </c>
      <c r="R15" s="296"/>
      <c r="S15" s="49">
        <f t="shared" si="7"/>
        <v>72</v>
      </c>
      <c r="T15" s="294">
        <f t="shared" ref="T15:T17" si="12">S15</f>
        <v>72</v>
      </c>
      <c r="U15" s="296"/>
      <c r="V15" s="49">
        <f t="shared" ref="V15:V17" si="13">T15+Q15</f>
        <v>3997</v>
      </c>
      <c r="X15" s="279" t="s">
        <v>218</v>
      </c>
      <c r="Y15" s="5"/>
      <c r="Z15" s="5"/>
      <c r="AA15" s="5"/>
      <c r="AB15" s="283">
        <f>AB13*AB14</f>
        <v>7.7400000000000004E-3</v>
      </c>
    </row>
    <row r="16" spans="2:28" ht="13.5" thickTop="1">
      <c r="C16" s="1" t="s">
        <v>132</v>
      </c>
      <c r="D16" s="15"/>
      <c r="E16" s="17">
        <f>'AN Gas'!F17</f>
        <v>0</v>
      </c>
      <c r="F16" s="17"/>
      <c r="G16" s="17">
        <f>F16+E16</f>
        <v>0</v>
      </c>
      <c r="H16" s="17"/>
      <c r="I16" s="17">
        <f t="shared" si="0"/>
        <v>0</v>
      </c>
      <c r="J16" s="17">
        <f t="shared" si="1"/>
        <v>0</v>
      </c>
      <c r="K16" s="189">
        <f t="shared" si="2"/>
        <v>0</v>
      </c>
      <c r="L16" s="17">
        <f t="shared" si="3"/>
        <v>0</v>
      </c>
      <c r="M16" s="256"/>
      <c r="N16" s="100">
        <f t="shared" si="11"/>
        <v>0</v>
      </c>
      <c r="O16" s="189">
        <f t="shared" si="5"/>
        <v>0</v>
      </c>
      <c r="P16" s="18"/>
      <c r="Q16" s="17">
        <f t="shared" si="6"/>
        <v>0</v>
      </c>
      <c r="R16" s="18"/>
      <c r="S16" s="17">
        <f t="shared" si="7"/>
        <v>0</v>
      </c>
      <c r="T16" s="189">
        <f t="shared" si="12"/>
        <v>0</v>
      </c>
      <c r="U16" s="18"/>
      <c r="V16" s="17">
        <f t="shared" si="13"/>
        <v>0</v>
      </c>
      <c r="X16" s="284"/>
      <c r="Y16" s="285"/>
      <c r="Z16" s="285"/>
      <c r="AA16" s="285"/>
      <c r="AB16" s="286"/>
    </row>
    <row r="17" spans="2:28">
      <c r="C17" s="15" t="s">
        <v>30</v>
      </c>
      <c r="D17" s="15"/>
      <c r="E17" s="21">
        <f>SUM(E13:E16)</f>
        <v>3679</v>
      </c>
      <c r="F17" s="21"/>
      <c r="G17" s="21">
        <f t="shared" ref="G17:N17" si="14">SUM(G14:G16)</f>
        <v>3679</v>
      </c>
      <c r="H17" s="21"/>
      <c r="I17" s="21">
        <f t="shared" si="14"/>
        <v>46</v>
      </c>
      <c r="J17" s="21">
        <f t="shared" si="14"/>
        <v>104</v>
      </c>
      <c r="K17" s="196">
        <f t="shared" si="2"/>
        <v>150</v>
      </c>
      <c r="L17" s="64">
        <f t="shared" si="3"/>
        <v>3829</v>
      </c>
      <c r="M17" s="257"/>
      <c r="N17" s="240">
        <f t="shared" si="14"/>
        <v>96</v>
      </c>
      <c r="O17" s="196">
        <f t="shared" si="5"/>
        <v>96</v>
      </c>
      <c r="P17" s="21"/>
      <c r="Q17" s="64">
        <f t="shared" si="6"/>
        <v>3925</v>
      </c>
      <c r="R17" s="26"/>
      <c r="S17" s="64">
        <f t="shared" si="7"/>
        <v>72</v>
      </c>
      <c r="T17" s="196">
        <f t="shared" si="12"/>
        <v>72</v>
      </c>
      <c r="U17" s="21"/>
      <c r="V17" s="64">
        <f t="shared" si="13"/>
        <v>3997</v>
      </c>
    </row>
    <row r="18" spans="2:28">
      <c r="E18" s="22"/>
      <c r="F18" s="22"/>
      <c r="G18" s="22"/>
      <c r="H18" s="22"/>
      <c r="I18" s="22"/>
      <c r="J18" s="22"/>
      <c r="K18" s="197"/>
      <c r="L18" s="18"/>
      <c r="M18" s="256"/>
      <c r="N18" s="153"/>
      <c r="O18" s="197"/>
      <c r="P18" s="26"/>
      <c r="Q18" s="18"/>
      <c r="R18" s="18"/>
      <c r="S18" s="18">
        <f t="shared" si="7"/>
        <v>0</v>
      </c>
      <c r="T18" s="197"/>
      <c r="U18" s="26"/>
      <c r="V18" s="18"/>
      <c r="X18" s="274" t="s">
        <v>233</v>
      </c>
      <c r="Y18" s="275"/>
      <c r="Z18" s="275"/>
      <c r="AA18" s="275" t="s">
        <v>231</v>
      </c>
      <c r="AB18" s="276"/>
    </row>
    <row r="19" spans="2:28">
      <c r="C19" s="14" t="s">
        <v>4</v>
      </c>
      <c r="E19" s="22"/>
      <c r="F19" s="22"/>
      <c r="G19" s="22"/>
      <c r="H19" s="22"/>
      <c r="I19" s="22"/>
      <c r="J19" s="22"/>
      <c r="K19" s="197"/>
      <c r="L19" s="18"/>
      <c r="M19" s="256"/>
      <c r="N19" s="153"/>
      <c r="O19" s="197"/>
      <c r="P19" s="26"/>
      <c r="Q19" s="18"/>
      <c r="R19" s="18"/>
      <c r="S19" s="18">
        <f t="shared" si="7"/>
        <v>0</v>
      </c>
      <c r="T19" s="197"/>
      <c r="U19" s="26"/>
      <c r="V19" s="18"/>
      <c r="X19" s="277"/>
      <c r="Y19" s="11"/>
      <c r="Z19" s="11"/>
      <c r="AA19" s="11"/>
      <c r="AB19" s="278"/>
    </row>
    <row r="20" spans="2:28" s="84" customFormat="1">
      <c r="B20" s="84" t="s">
        <v>27</v>
      </c>
      <c r="C20" s="34" t="s">
        <v>133</v>
      </c>
      <c r="D20" s="13"/>
      <c r="E20" s="49">
        <f>'AN Gas'!F21</f>
        <v>628635</v>
      </c>
      <c r="F20" s="49"/>
      <c r="G20" s="49">
        <f t="shared" ref="G20:G30" si="15">F20+E20</f>
        <v>628635</v>
      </c>
      <c r="H20" s="49"/>
      <c r="I20" s="49">
        <f t="shared" si="0"/>
        <v>7808</v>
      </c>
      <c r="J20" s="49">
        <f t="shared" si="1"/>
        <v>17820</v>
      </c>
      <c r="K20" s="294">
        <f t="shared" si="2"/>
        <v>25628</v>
      </c>
      <c r="L20" s="49">
        <f t="shared" si="3"/>
        <v>654263</v>
      </c>
      <c r="M20" s="295"/>
      <c r="N20" s="49">
        <f t="shared" ref="N20:N40" si="16">ROUND(IF($B20="a",(G20+I20+J20)*N$5,(G20+I20+J20)*N$6),0)</f>
        <v>16448</v>
      </c>
      <c r="O20" s="294">
        <f t="shared" si="5"/>
        <v>16448</v>
      </c>
      <c r="P20" s="296"/>
      <c r="Q20" s="49">
        <f t="shared" si="6"/>
        <v>670711</v>
      </c>
      <c r="R20" s="296"/>
      <c r="S20" s="49">
        <f t="shared" si="7"/>
        <v>12341</v>
      </c>
      <c r="T20" s="294">
        <f t="shared" ref="T20:T41" si="17">S20</f>
        <v>12341</v>
      </c>
      <c r="U20" s="296"/>
      <c r="V20" s="49">
        <f t="shared" ref="V20:V41" si="18">T20+Q20</f>
        <v>683052</v>
      </c>
      <c r="X20" s="316" t="s">
        <v>234</v>
      </c>
      <c r="Y20" s="317"/>
      <c r="Z20" s="317"/>
      <c r="AA20" s="317"/>
      <c r="AB20" s="318">
        <v>8.3800000000000003E-3</v>
      </c>
    </row>
    <row r="21" spans="2:28">
      <c r="C21" s="15" t="s">
        <v>134</v>
      </c>
      <c r="D21" s="15"/>
      <c r="E21" s="17">
        <f>'AN Gas'!F22</f>
        <v>0</v>
      </c>
      <c r="F21" s="17"/>
      <c r="G21" s="17">
        <f t="shared" si="15"/>
        <v>0</v>
      </c>
      <c r="H21" s="17"/>
      <c r="I21" s="17">
        <f t="shared" si="0"/>
        <v>0</v>
      </c>
      <c r="J21" s="17">
        <f t="shared" si="1"/>
        <v>0</v>
      </c>
      <c r="K21" s="189">
        <f t="shared" si="2"/>
        <v>0</v>
      </c>
      <c r="L21" s="17">
        <f t="shared" si="3"/>
        <v>0</v>
      </c>
      <c r="M21" s="256"/>
      <c r="N21" s="100">
        <f t="shared" si="16"/>
        <v>0</v>
      </c>
      <c r="O21" s="189">
        <f t="shared" si="5"/>
        <v>0</v>
      </c>
      <c r="P21" s="18"/>
      <c r="Q21" s="17">
        <f t="shared" si="6"/>
        <v>0</v>
      </c>
      <c r="R21" s="18"/>
      <c r="S21" s="17">
        <f t="shared" si="7"/>
        <v>0</v>
      </c>
      <c r="T21" s="189">
        <f t="shared" si="17"/>
        <v>0</v>
      </c>
      <c r="U21" s="18"/>
      <c r="V21" s="17">
        <f t="shared" si="18"/>
        <v>0</v>
      </c>
      <c r="X21" s="277"/>
      <c r="Y21" s="11"/>
      <c r="Z21" s="11"/>
      <c r="AA21" s="11"/>
      <c r="AB21" s="278"/>
    </row>
    <row r="22" spans="2:28">
      <c r="C22" s="15">
        <v>872</v>
      </c>
      <c r="D22" s="15"/>
      <c r="E22" s="17">
        <f>'AN Gas'!F23</f>
        <v>0</v>
      </c>
      <c r="F22" s="17"/>
      <c r="G22" s="17"/>
      <c r="H22" s="17"/>
      <c r="I22" s="17">
        <f t="shared" si="0"/>
        <v>0</v>
      </c>
      <c r="J22" s="17">
        <f t="shared" si="1"/>
        <v>0</v>
      </c>
      <c r="K22" s="189">
        <f t="shared" si="2"/>
        <v>0</v>
      </c>
      <c r="L22" s="17">
        <f t="shared" si="3"/>
        <v>0</v>
      </c>
      <c r="M22" s="256"/>
      <c r="N22" s="100">
        <f t="shared" si="16"/>
        <v>0</v>
      </c>
      <c r="O22" s="189">
        <f t="shared" si="5"/>
        <v>0</v>
      </c>
      <c r="P22" s="18"/>
      <c r="Q22" s="17">
        <f t="shared" si="6"/>
        <v>0</v>
      </c>
      <c r="R22" s="18"/>
      <c r="S22" s="17">
        <f t="shared" si="7"/>
        <v>0</v>
      </c>
      <c r="T22" s="189">
        <f t="shared" si="17"/>
        <v>0</v>
      </c>
      <c r="U22" s="18"/>
      <c r="V22" s="17">
        <f t="shared" si="18"/>
        <v>0</v>
      </c>
      <c r="X22" s="279" t="s">
        <v>235</v>
      </c>
      <c r="Y22" s="25"/>
      <c r="Z22" s="25"/>
      <c r="AA22" s="25"/>
      <c r="AB22" s="280">
        <v>0.03</v>
      </c>
    </row>
    <row r="23" spans="2:28">
      <c r="C23" s="1" t="s">
        <v>135</v>
      </c>
      <c r="D23" s="15"/>
      <c r="E23" s="17">
        <f>'AN Gas'!F24</f>
        <v>1096352</v>
      </c>
      <c r="F23" s="17"/>
      <c r="G23" s="17">
        <f t="shared" si="15"/>
        <v>1096352</v>
      </c>
      <c r="H23" s="17"/>
      <c r="I23" s="17">
        <f t="shared" si="0"/>
        <v>15952</v>
      </c>
      <c r="J23" s="17">
        <f t="shared" si="1"/>
        <v>34481</v>
      </c>
      <c r="K23" s="189">
        <f t="shared" si="2"/>
        <v>50433</v>
      </c>
      <c r="L23" s="17">
        <f t="shared" si="3"/>
        <v>1146785</v>
      </c>
      <c r="M23" s="256"/>
      <c r="N23" s="100">
        <f t="shared" si="16"/>
        <v>26284</v>
      </c>
      <c r="O23" s="189">
        <f t="shared" si="5"/>
        <v>26284</v>
      </c>
      <c r="P23" s="18"/>
      <c r="Q23" s="17">
        <f t="shared" si="6"/>
        <v>1173069</v>
      </c>
      <c r="R23" s="18"/>
      <c r="S23" s="17">
        <f t="shared" si="7"/>
        <v>21584</v>
      </c>
      <c r="T23" s="189">
        <f t="shared" si="17"/>
        <v>21584</v>
      </c>
      <c r="U23" s="18"/>
      <c r="V23" s="17">
        <f t="shared" si="18"/>
        <v>1194653</v>
      </c>
      <c r="X23" s="279"/>
      <c r="Y23" s="281" t="s">
        <v>236</v>
      </c>
      <c r="Z23" s="25"/>
      <c r="AA23" s="25"/>
      <c r="AB23" s="282">
        <f>ROUND(122/365,3)</f>
        <v>0.33400000000000002</v>
      </c>
    </row>
    <row r="24" spans="2:28" ht="13.5" thickBot="1">
      <c r="C24" s="1" t="s">
        <v>136</v>
      </c>
      <c r="D24" s="15"/>
      <c r="E24" s="17">
        <f>'AN Gas'!F25</f>
        <v>34791</v>
      </c>
      <c r="F24" s="17"/>
      <c r="G24" s="17">
        <f t="shared" si="15"/>
        <v>34791</v>
      </c>
      <c r="H24" s="17"/>
      <c r="I24" s="17">
        <f t="shared" si="0"/>
        <v>506</v>
      </c>
      <c r="J24" s="17">
        <f t="shared" si="1"/>
        <v>1094</v>
      </c>
      <c r="K24" s="189">
        <f t="shared" si="2"/>
        <v>1600</v>
      </c>
      <c r="L24" s="17">
        <f t="shared" si="3"/>
        <v>36391</v>
      </c>
      <c r="M24" s="256"/>
      <c r="N24" s="100">
        <f t="shared" si="16"/>
        <v>834</v>
      </c>
      <c r="O24" s="189">
        <f t="shared" si="5"/>
        <v>834</v>
      </c>
      <c r="P24" s="18"/>
      <c r="Q24" s="17">
        <f t="shared" si="6"/>
        <v>37225</v>
      </c>
      <c r="R24" s="18"/>
      <c r="S24" s="17">
        <f t="shared" si="7"/>
        <v>685</v>
      </c>
      <c r="T24" s="189">
        <f t="shared" si="17"/>
        <v>685</v>
      </c>
      <c r="U24" s="18"/>
      <c r="V24" s="17">
        <f t="shared" si="18"/>
        <v>37910</v>
      </c>
      <c r="X24" s="279" t="s">
        <v>218</v>
      </c>
      <c r="Y24" s="5"/>
      <c r="Z24" s="5"/>
      <c r="AA24" s="5"/>
      <c r="AB24" s="283">
        <f>AB22*AB23</f>
        <v>1.0019999999999999E-2</v>
      </c>
    </row>
    <row r="25" spans="2:28" ht="13.5" thickTop="1">
      <c r="C25" s="1" t="s">
        <v>137</v>
      </c>
      <c r="D25" s="15"/>
      <c r="E25" s="17">
        <f>'AN Gas'!F26</f>
        <v>587</v>
      </c>
      <c r="F25" s="17"/>
      <c r="G25" s="17">
        <f t="shared" si="15"/>
        <v>587</v>
      </c>
      <c r="H25" s="17"/>
      <c r="I25" s="17">
        <f t="shared" si="0"/>
        <v>9</v>
      </c>
      <c r="J25" s="17">
        <f t="shared" si="1"/>
        <v>18</v>
      </c>
      <c r="K25" s="189">
        <f t="shared" si="2"/>
        <v>27</v>
      </c>
      <c r="L25" s="17">
        <f t="shared" si="3"/>
        <v>614</v>
      </c>
      <c r="M25" s="256"/>
      <c r="N25" s="100">
        <f t="shared" si="16"/>
        <v>14</v>
      </c>
      <c r="O25" s="189">
        <f t="shared" si="5"/>
        <v>14</v>
      </c>
      <c r="P25" s="18"/>
      <c r="Q25" s="17">
        <f t="shared" si="6"/>
        <v>628</v>
      </c>
      <c r="R25" s="18"/>
      <c r="S25" s="17">
        <f t="shared" si="7"/>
        <v>12</v>
      </c>
      <c r="T25" s="189">
        <f t="shared" si="17"/>
        <v>12</v>
      </c>
      <c r="U25" s="18"/>
      <c r="V25" s="17">
        <f t="shared" si="18"/>
        <v>640</v>
      </c>
      <c r="X25" s="284"/>
      <c r="Y25" s="285"/>
      <c r="Z25" s="285"/>
      <c r="AA25" s="285"/>
      <c r="AB25" s="286"/>
    </row>
    <row r="26" spans="2:28">
      <c r="C26" s="1" t="s">
        <v>138</v>
      </c>
      <c r="D26" s="15"/>
      <c r="E26" s="17">
        <f>'AN Gas'!F27</f>
        <v>32019</v>
      </c>
      <c r="F26" s="17"/>
      <c r="G26" s="17">
        <f t="shared" si="15"/>
        <v>32019</v>
      </c>
      <c r="H26" s="17"/>
      <c r="I26" s="17">
        <f t="shared" si="0"/>
        <v>466</v>
      </c>
      <c r="J26" s="17">
        <f t="shared" si="1"/>
        <v>1007</v>
      </c>
      <c r="K26" s="189">
        <f t="shared" si="2"/>
        <v>1473</v>
      </c>
      <c r="L26" s="17">
        <f t="shared" si="3"/>
        <v>33492</v>
      </c>
      <c r="M26" s="256"/>
      <c r="N26" s="100">
        <f t="shared" si="16"/>
        <v>768</v>
      </c>
      <c r="O26" s="189">
        <f t="shared" si="5"/>
        <v>768</v>
      </c>
      <c r="P26" s="18"/>
      <c r="Q26" s="17">
        <f t="shared" si="6"/>
        <v>34260</v>
      </c>
      <c r="R26" s="18"/>
      <c r="S26" s="17">
        <f t="shared" si="7"/>
        <v>630</v>
      </c>
      <c r="T26" s="189">
        <f t="shared" si="17"/>
        <v>630</v>
      </c>
      <c r="U26" s="18"/>
      <c r="V26" s="17">
        <f t="shared" si="18"/>
        <v>34890</v>
      </c>
    </row>
    <row r="27" spans="2:28">
      <c r="C27" s="1" t="s">
        <v>139</v>
      </c>
      <c r="D27" s="15"/>
      <c r="E27" s="17">
        <f>'AN Gas'!F28</f>
        <v>77862</v>
      </c>
      <c r="F27" s="17"/>
      <c r="G27" s="17">
        <f>F27+E27</f>
        <v>77862</v>
      </c>
      <c r="H27" s="17"/>
      <c r="I27" s="17">
        <f t="shared" si="0"/>
        <v>1133</v>
      </c>
      <c r="J27" s="17">
        <f t="shared" si="1"/>
        <v>2449</v>
      </c>
      <c r="K27" s="189">
        <f t="shared" si="2"/>
        <v>3582</v>
      </c>
      <c r="L27" s="17">
        <f t="shared" si="3"/>
        <v>81444</v>
      </c>
      <c r="M27" s="256"/>
      <c r="N27" s="100">
        <f t="shared" si="16"/>
        <v>1867</v>
      </c>
      <c r="O27" s="189">
        <f t="shared" si="5"/>
        <v>1867</v>
      </c>
      <c r="P27" s="18"/>
      <c r="Q27" s="17">
        <f t="shared" si="6"/>
        <v>83311</v>
      </c>
      <c r="R27" s="18"/>
      <c r="S27" s="17">
        <f t="shared" si="7"/>
        <v>1533</v>
      </c>
      <c r="T27" s="189">
        <f t="shared" si="17"/>
        <v>1533</v>
      </c>
      <c r="U27" s="18"/>
      <c r="V27" s="17">
        <f t="shared" si="18"/>
        <v>84844</v>
      </c>
    </row>
    <row r="28" spans="2:28">
      <c r="C28" s="1" t="s">
        <v>140</v>
      </c>
      <c r="D28" s="15"/>
      <c r="E28" s="17">
        <f>'AN Gas'!F29</f>
        <v>723855</v>
      </c>
      <c r="F28" s="17"/>
      <c r="G28" s="17">
        <f>F28+E28</f>
        <v>723855</v>
      </c>
      <c r="H28" s="17"/>
      <c r="I28" s="17">
        <f t="shared" si="0"/>
        <v>10532</v>
      </c>
      <c r="J28" s="17">
        <f t="shared" si="1"/>
        <v>22766</v>
      </c>
      <c r="K28" s="189">
        <f t="shared" si="2"/>
        <v>33298</v>
      </c>
      <c r="L28" s="17">
        <f t="shared" si="3"/>
        <v>757153</v>
      </c>
      <c r="M28" s="256"/>
      <c r="N28" s="100">
        <f t="shared" si="16"/>
        <v>17354</v>
      </c>
      <c r="O28" s="189">
        <f t="shared" si="5"/>
        <v>17354</v>
      </c>
      <c r="P28" s="18"/>
      <c r="Q28" s="17">
        <f t="shared" si="6"/>
        <v>774507</v>
      </c>
      <c r="R28" s="18"/>
      <c r="S28" s="17">
        <f t="shared" si="7"/>
        <v>14251</v>
      </c>
      <c r="T28" s="189">
        <f t="shared" si="17"/>
        <v>14251</v>
      </c>
      <c r="U28" s="18"/>
      <c r="V28" s="17">
        <f t="shared" si="18"/>
        <v>788758</v>
      </c>
    </row>
    <row r="29" spans="2:28">
      <c r="C29" s="1" t="s">
        <v>141</v>
      </c>
      <c r="D29" s="15" t="str">
        <f>D6</f>
        <v>2011 to 2013</v>
      </c>
      <c r="E29" s="17">
        <f>'AN Gas'!F30</f>
        <v>761338</v>
      </c>
      <c r="F29" s="17"/>
      <c r="G29" s="17">
        <f t="shared" si="15"/>
        <v>761338</v>
      </c>
      <c r="H29" s="17"/>
      <c r="I29" s="17">
        <f t="shared" si="0"/>
        <v>11077</v>
      </c>
      <c r="J29" s="17">
        <f t="shared" si="1"/>
        <v>23945</v>
      </c>
      <c r="K29" s="189">
        <f t="shared" si="2"/>
        <v>35022</v>
      </c>
      <c r="L29" s="17">
        <f t="shared" si="3"/>
        <v>796360</v>
      </c>
      <c r="M29" s="256"/>
      <c r="N29" s="100">
        <f t="shared" si="16"/>
        <v>18253</v>
      </c>
      <c r="O29" s="189">
        <f t="shared" si="5"/>
        <v>18253</v>
      </c>
      <c r="P29" s="18"/>
      <c r="Q29" s="17">
        <f t="shared" si="6"/>
        <v>814613</v>
      </c>
      <c r="R29" s="18"/>
      <c r="S29" s="17">
        <f t="shared" si="7"/>
        <v>14989</v>
      </c>
      <c r="T29" s="189">
        <f t="shared" si="17"/>
        <v>14989</v>
      </c>
      <c r="U29" s="18"/>
      <c r="V29" s="17">
        <f t="shared" si="18"/>
        <v>829602</v>
      </c>
    </row>
    <row r="30" spans="2:28">
      <c r="C30" s="1" t="s">
        <v>178</v>
      </c>
      <c r="D30" s="15"/>
      <c r="E30" s="17">
        <f>'AN Gas'!F31</f>
        <v>6248</v>
      </c>
      <c r="F30" s="17"/>
      <c r="G30" s="17">
        <f t="shared" si="15"/>
        <v>6248</v>
      </c>
      <c r="H30" s="17"/>
      <c r="I30" s="17">
        <f t="shared" si="0"/>
        <v>91</v>
      </c>
      <c r="J30" s="17">
        <f t="shared" si="1"/>
        <v>197</v>
      </c>
      <c r="K30" s="189">
        <f t="shared" si="2"/>
        <v>288</v>
      </c>
      <c r="L30" s="17">
        <f t="shared" si="3"/>
        <v>6536</v>
      </c>
      <c r="M30" s="256"/>
      <c r="N30" s="100">
        <f t="shared" si="16"/>
        <v>150</v>
      </c>
      <c r="O30" s="189">
        <f t="shared" si="5"/>
        <v>150</v>
      </c>
      <c r="P30" s="18"/>
      <c r="Q30" s="17">
        <f t="shared" si="6"/>
        <v>6686</v>
      </c>
      <c r="R30" s="18"/>
      <c r="S30" s="17">
        <f t="shared" si="7"/>
        <v>123</v>
      </c>
      <c r="T30" s="189">
        <f t="shared" si="17"/>
        <v>123</v>
      </c>
      <c r="U30" s="18"/>
      <c r="V30" s="17">
        <f t="shared" si="18"/>
        <v>6809</v>
      </c>
    </row>
    <row r="31" spans="2:28">
      <c r="C31" s="1" t="s">
        <v>142</v>
      </c>
      <c r="D31" s="1"/>
      <c r="E31" s="17">
        <f>'AN Gas'!F32</f>
        <v>24852</v>
      </c>
      <c r="F31" s="17"/>
      <c r="G31" s="17">
        <f t="shared" ref="G31:G40" si="19">F31+E31</f>
        <v>24852</v>
      </c>
      <c r="H31" s="17"/>
      <c r="I31" s="17">
        <f t="shared" si="0"/>
        <v>362</v>
      </c>
      <c r="J31" s="17">
        <f t="shared" si="1"/>
        <v>782</v>
      </c>
      <c r="K31" s="189">
        <f t="shared" si="2"/>
        <v>1144</v>
      </c>
      <c r="L31" s="17">
        <f t="shared" si="3"/>
        <v>25996</v>
      </c>
      <c r="M31" s="256"/>
      <c r="N31" s="100">
        <f t="shared" si="16"/>
        <v>596</v>
      </c>
      <c r="O31" s="189">
        <f t="shared" si="5"/>
        <v>596</v>
      </c>
      <c r="P31" s="18"/>
      <c r="Q31" s="17">
        <f t="shared" si="6"/>
        <v>26592</v>
      </c>
      <c r="R31" s="18"/>
      <c r="S31" s="17">
        <f t="shared" si="7"/>
        <v>489</v>
      </c>
      <c r="T31" s="189">
        <f t="shared" si="17"/>
        <v>489</v>
      </c>
      <c r="U31" s="18"/>
      <c r="V31" s="17">
        <f t="shared" si="18"/>
        <v>27081</v>
      </c>
    </row>
    <row r="32" spans="2:28">
      <c r="C32" s="1" t="s">
        <v>143</v>
      </c>
      <c r="D32" s="1"/>
      <c r="E32" s="17">
        <f>'AN Gas'!F33</f>
        <v>0</v>
      </c>
      <c r="F32" s="17"/>
      <c r="G32" s="17">
        <f>F32+E32</f>
        <v>0</v>
      </c>
      <c r="H32" s="17"/>
      <c r="I32" s="17">
        <f t="shared" si="0"/>
        <v>0</v>
      </c>
      <c r="J32" s="17">
        <f t="shared" si="1"/>
        <v>0</v>
      </c>
      <c r="K32" s="189">
        <f t="shared" si="2"/>
        <v>0</v>
      </c>
      <c r="L32" s="17">
        <f t="shared" si="3"/>
        <v>0</v>
      </c>
      <c r="M32" s="256"/>
      <c r="N32" s="100">
        <f t="shared" si="16"/>
        <v>0</v>
      </c>
      <c r="O32" s="189">
        <f t="shared" si="5"/>
        <v>0</v>
      </c>
      <c r="P32" s="18"/>
      <c r="Q32" s="17">
        <f t="shared" si="6"/>
        <v>0</v>
      </c>
      <c r="R32" s="18"/>
      <c r="S32" s="17">
        <f t="shared" si="7"/>
        <v>0</v>
      </c>
      <c r="T32" s="189">
        <f t="shared" si="17"/>
        <v>0</v>
      </c>
      <c r="U32" s="18"/>
      <c r="V32" s="17">
        <f t="shared" si="18"/>
        <v>0</v>
      </c>
    </row>
    <row r="33" spans="2:22">
      <c r="C33" s="1" t="s">
        <v>144</v>
      </c>
      <c r="D33" s="15"/>
      <c r="E33" s="17">
        <f>'AN Gas'!F34</f>
        <v>473840</v>
      </c>
      <c r="F33" s="17"/>
      <c r="G33" s="17">
        <f t="shared" si="19"/>
        <v>473840</v>
      </c>
      <c r="H33" s="17"/>
      <c r="I33" s="17">
        <f t="shared" si="0"/>
        <v>6894</v>
      </c>
      <c r="J33" s="17">
        <f t="shared" si="1"/>
        <v>14903</v>
      </c>
      <c r="K33" s="189">
        <f t="shared" si="2"/>
        <v>21797</v>
      </c>
      <c r="L33" s="17">
        <f t="shared" si="3"/>
        <v>495637</v>
      </c>
      <c r="M33" s="256"/>
      <c r="N33" s="100">
        <f t="shared" si="16"/>
        <v>11360</v>
      </c>
      <c r="O33" s="189">
        <f t="shared" si="5"/>
        <v>11360</v>
      </c>
      <c r="P33" s="18"/>
      <c r="Q33" s="17">
        <f t="shared" si="6"/>
        <v>506997</v>
      </c>
      <c r="R33" s="18"/>
      <c r="S33" s="17">
        <f t="shared" si="7"/>
        <v>9329</v>
      </c>
      <c r="T33" s="189">
        <f t="shared" si="17"/>
        <v>9329</v>
      </c>
      <c r="U33" s="18"/>
      <c r="V33" s="17">
        <f t="shared" si="18"/>
        <v>516326</v>
      </c>
    </row>
    <row r="34" spans="2:22">
      <c r="C34" s="1">
        <v>888</v>
      </c>
      <c r="D34" s="15"/>
      <c r="E34" s="17">
        <f>'AN Gas'!F35</f>
        <v>0</v>
      </c>
      <c r="F34" s="17"/>
      <c r="G34" s="17"/>
      <c r="H34" s="17"/>
      <c r="I34" s="17">
        <f t="shared" si="0"/>
        <v>0</v>
      </c>
      <c r="J34" s="17">
        <f t="shared" si="1"/>
        <v>0</v>
      </c>
      <c r="K34" s="189">
        <f t="shared" si="2"/>
        <v>0</v>
      </c>
      <c r="L34" s="17">
        <f t="shared" si="3"/>
        <v>0</v>
      </c>
      <c r="M34" s="256"/>
      <c r="N34" s="100">
        <f t="shared" si="16"/>
        <v>0</v>
      </c>
      <c r="O34" s="189">
        <f t="shared" si="5"/>
        <v>0</v>
      </c>
      <c r="P34" s="18"/>
      <c r="Q34" s="17">
        <f t="shared" si="6"/>
        <v>0</v>
      </c>
      <c r="R34" s="18"/>
      <c r="S34" s="17">
        <f t="shared" si="7"/>
        <v>0</v>
      </c>
      <c r="T34" s="189">
        <f t="shared" si="17"/>
        <v>0</v>
      </c>
      <c r="U34" s="18"/>
      <c r="V34" s="17">
        <f t="shared" si="18"/>
        <v>0</v>
      </c>
    </row>
    <row r="35" spans="2:22">
      <c r="C35" s="1" t="s">
        <v>145</v>
      </c>
      <c r="D35" s="15"/>
      <c r="E35" s="17">
        <f>'AN Gas'!F36</f>
        <v>84005</v>
      </c>
      <c r="F35" s="17"/>
      <c r="G35" s="17">
        <f t="shared" si="19"/>
        <v>84005</v>
      </c>
      <c r="H35" s="17"/>
      <c r="I35" s="17">
        <f t="shared" si="0"/>
        <v>1222</v>
      </c>
      <c r="J35" s="17">
        <f t="shared" si="1"/>
        <v>2642</v>
      </c>
      <c r="K35" s="189">
        <f t="shared" si="2"/>
        <v>3864</v>
      </c>
      <c r="L35" s="17">
        <f t="shared" si="3"/>
        <v>87869</v>
      </c>
      <c r="M35" s="256"/>
      <c r="N35" s="100">
        <f t="shared" si="16"/>
        <v>2014</v>
      </c>
      <c r="O35" s="189">
        <f t="shared" si="5"/>
        <v>2014</v>
      </c>
      <c r="P35" s="18"/>
      <c r="Q35" s="17">
        <f t="shared" si="6"/>
        <v>89883</v>
      </c>
      <c r="R35" s="18"/>
      <c r="S35" s="17">
        <f t="shared" si="7"/>
        <v>1654</v>
      </c>
      <c r="T35" s="189">
        <f t="shared" si="17"/>
        <v>1654</v>
      </c>
      <c r="U35" s="18"/>
      <c r="V35" s="17">
        <f t="shared" si="18"/>
        <v>91537</v>
      </c>
    </row>
    <row r="36" spans="2:22">
      <c r="C36" s="1" t="s">
        <v>146</v>
      </c>
      <c r="D36" s="15"/>
      <c r="E36" s="17">
        <f>'AN Gas'!F37</f>
        <v>10892</v>
      </c>
      <c r="F36" s="17"/>
      <c r="G36" s="17">
        <f t="shared" si="19"/>
        <v>10892</v>
      </c>
      <c r="H36" s="17"/>
      <c r="I36" s="17">
        <f t="shared" si="0"/>
        <v>158</v>
      </c>
      <c r="J36" s="17">
        <f t="shared" si="1"/>
        <v>343</v>
      </c>
      <c r="K36" s="189">
        <f t="shared" si="2"/>
        <v>501</v>
      </c>
      <c r="L36" s="17">
        <f t="shared" si="3"/>
        <v>11393</v>
      </c>
      <c r="M36" s="256"/>
      <c r="N36" s="100">
        <f t="shared" si="16"/>
        <v>261</v>
      </c>
      <c r="O36" s="189">
        <f t="shared" si="5"/>
        <v>261</v>
      </c>
      <c r="P36" s="18"/>
      <c r="Q36" s="17">
        <f t="shared" si="6"/>
        <v>11654</v>
      </c>
      <c r="R36" s="18"/>
      <c r="S36" s="17">
        <f t="shared" si="7"/>
        <v>214</v>
      </c>
      <c r="T36" s="189">
        <f t="shared" si="17"/>
        <v>214</v>
      </c>
      <c r="U36" s="18"/>
      <c r="V36" s="17">
        <f t="shared" si="18"/>
        <v>11868</v>
      </c>
    </row>
    <row r="37" spans="2:22">
      <c r="C37" s="1" t="s">
        <v>147</v>
      </c>
      <c r="D37" s="15"/>
      <c r="E37" s="17">
        <f>'AN Gas'!F38</f>
        <v>12604</v>
      </c>
      <c r="F37" s="17"/>
      <c r="G37" s="17">
        <f t="shared" si="19"/>
        <v>12604</v>
      </c>
      <c r="H37" s="17"/>
      <c r="I37" s="17">
        <f t="shared" si="0"/>
        <v>183</v>
      </c>
      <c r="J37" s="17">
        <f t="shared" si="1"/>
        <v>396</v>
      </c>
      <c r="K37" s="189">
        <f t="shared" si="2"/>
        <v>579</v>
      </c>
      <c r="L37" s="17">
        <f t="shared" si="3"/>
        <v>13183</v>
      </c>
      <c r="M37" s="256"/>
      <c r="N37" s="100">
        <f t="shared" si="16"/>
        <v>302</v>
      </c>
      <c r="O37" s="189">
        <f t="shared" si="5"/>
        <v>302</v>
      </c>
      <c r="P37" s="18"/>
      <c r="Q37" s="17">
        <f t="shared" si="6"/>
        <v>13485</v>
      </c>
      <c r="R37" s="18"/>
      <c r="S37" s="17">
        <f t="shared" si="7"/>
        <v>248</v>
      </c>
      <c r="T37" s="189">
        <f t="shared" si="17"/>
        <v>248</v>
      </c>
      <c r="U37" s="18"/>
      <c r="V37" s="17">
        <f t="shared" si="18"/>
        <v>13733</v>
      </c>
    </row>
    <row r="38" spans="2:22">
      <c r="C38" s="1" t="s">
        <v>148</v>
      </c>
      <c r="D38" s="15"/>
      <c r="E38" s="17">
        <f>'AN Gas'!F39</f>
        <v>432831</v>
      </c>
      <c r="F38" s="17"/>
      <c r="G38" s="17">
        <f t="shared" si="19"/>
        <v>432831</v>
      </c>
      <c r="H38" s="17"/>
      <c r="I38" s="17">
        <f t="shared" si="0"/>
        <v>6298</v>
      </c>
      <c r="J38" s="17">
        <f t="shared" si="1"/>
        <v>13613</v>
      </c>
      <c r="K38" s="189">
        <f t="shared" si="2"/>
        <v>19911</v>
      </c>
      <c r="L38" s="17">
        <f t="shared" si="3"/>
        <v>452742</v>
      </c>
      <c r="M38" s="256"/>
      <c r="N38" s="100">
        <f t="shared" si="16"/>
        <v>10377</v>
      </c>
      <c r="O38" s="189">
        <f t="shared" si="5"/>
        <v>10377</v>
      </c>
      <c r="P38" s="18"/>
      <c r="Q38" s="17">
        <f t="shared" si="6"/>
        <v>463119</v>
      </c>
      <c r="R38" s="18"/>
      <c r="S38" s="17">
        <f t="shared" si="7"/>
        <v>8521</v>
      </c>
      <c r="T38" s="189">
        <f t="shared" si="17"/>
        <v>8521</v>
      </c>
      <c r="U38" s="18"/>
      <c r="V38" s="17">
        <f t="shared" si="18"/>
        <v>471640</v>
      </c>
    </row>
    <row r="39" spans="2:22">
      <c r="C39" s="1" t="s">
        <v>149</v>
      </c>
      <c r="D39" s="15"/>
      <c r="E39" s="17">
        <f>'AN Gas'!F40</f>
        <v>666143</v>
      </c>
      <c r="F39" s="17"/>
      <c r="G39" s="17">
        <f t="shared" si="19"/>
        <v>666143</v>
      </c>
      <c r="H39" s="17"/>
      <c r="I39" s="17">
        <f t="shared" si="0"/>
        <v>9692</v>
      </c>
      <c r="J39" s="17">
        <f t="shared" si="1"/>
        <v>20951</v>
      </c>
      <c r="K39" s="189">
        <f t="shared" si="2"/>
        <v>30643</v>
      </c>
      <c r="L39" s="17">
        <f t="shared" si="3"/>
        <v>696786</v>
      </c>
      <c r="M39" s="256"/>
      <c r="N39" s="100">
        <f t="shared" si="16"/>
        <v>15970</v>
      </c>
      <c r="O39" s="189">
        <f t="shared" si="5"/>
        <v>15970</v>
      </c>
      <c r="P39" s="18"/>
      <c r="Q39" s="17">
        <f t="shared" si="6"/>
        <v>712756</v>
      </c>
      <c r="R39" s="18"/>
      <c r="S39" s="17">
        <f t="shared" si="7"/>
        <v>13115</v>
      </c>
      <c r="T39" s="189">
        <f t="shared" si="17"/>
        <v>13115</v>
      </c>
      <c r="U39" s="18"/>
      <c r="V39" s="17">
        <f t="shared" si="18"/>
        <v>725871</v>
      </c>
    </row>
    <row r="40" spans="2:22">
      <c r="C40" s="59">
        <v>894</v>
      </c>
      <c r="D40" s="61"/>
      <c r="E40" s="17">
        <f>'AN Gas'!F41</f>
        <v>58677</v>
      </c>
      <c r="F40" s="17"/>
      <c r="G40" s="17">
        <f t="shared" si="19"/>
        <v>58677</v>
      </c>
      <c r="H40" s="17"/>
      <c r="I40" s="17">
        <f t="shared" si="0"/>
        <v>854</v>
      </c>
      <c r="J40" s="17">
        <f t="shared" si="1"/>
        <v>1845</v>
      </c>
      <c r="K40" s="189">
        <f t="shared" si="2"/>
        <v>2699</v>
      </c>
      <c r="L40" s="17">
        <f t="shared" si="3"/>
        <v>61376</v>
      </c>
      <c r="M40" s="256"/>
      <c r="N40" s="100">
        <f t="shared" si="16"/>
        <v>1407</v>
      </c>
      <c r="O40" s="189">
        <f t="shared" si="5"/>
        <v>1407</v>
      </c>
      <c r="P40" s="18"/>
      <c r="Q40" s="17">
        <f t="shared" si="6"/>
        <v>62783</v>
      </c>
      <c r="R40" s="18"/>
      <c r="S40" s="17">
        <f t="shared" si="7"/>
        <v>1155</v>
      </c>
      <c r="T40" s="189">
        <f t="shared" si="17"/>
        <v>1155</v>
      </c>
      <c r="U40" s="18"/>
      <c r="V40" s="17">
        <f t="shared" si="18"/>
        <v>63938</v>
      </c>
    </row>
    <row r="41" spans="2:22">
      <c r="C41" s="14" t="s">
        <v>5</v>
      </c>
      <c r="E41" s="21">
        <f>SUM(E20:E40)</f>
        <v>5125531</v>
      </c>
      <c r="F41" s="21"/>
      <c r="G41" s="21">
        <f>SUM(G20:G40)</f>
        <v>5125531</v>
      </c>
      <c r="H41" s="21"/>
      <c r="I41" s="21">
        <f t="shared" ref="I41:J41" si="20">SUM(I20:I40)</f>
        <v>73237</v>
      </c>
      <c r="J41" s="21">
        <f t="shared" si="20"/>
        <v>159252</v>
      </c>
      <c r="K41" s="196">
        <f t="shared" si="2"/>
        <v>232489</v>
      </c>
      <c r="L41" s="64">
        <f t="shared" si="3"/>
        <v>5358020</v>
      </c>
      <c r="M41" s="257"/>
      <c r="N41" s="240">
        <f>SUM(N20:N40)</f>
        <v>124259</v>
      </c>
      <c r="O41" s="196">
        <f t="shared" si="5"/>
        <v>124259</v>
      </c>
      <c r="P41" s="21"/>
      <c r="Q41" s="64">
        <f t="shared" si="6"/>
        <v>5482279</v>
      </c>
      <c r="R41" s="26"/>
      <c r="S41" s="64">
        <f t="shared" si="7"/>
        <v>100874</v>
      </c>
      <c r="T41" s="196">
        <f t="shared" si="17"/>
        <v>100874</v>
      </c>
      <c r="U41" s="21"/>
      <c r="V41" s="64">
        <f t="shared" si="18"/>
        <v>5583153</v>
      </c>
    </row>
    <row r="42" spans="2:22">
      <c r="E42" s="22"/>
      <c r="F42" s="22"/>
      <c r="G42" s="22"/>
      <c r="H42" s="22"/>
      <c r="I42" s="22"/>
      <c r="J42" s="22"/>
      <c r="K42" s="197"/>
      <c r="L42" s="22"/>
      <c r="M42" s="257"/>
      <c r="N42" s="153"/>
      <c r="O42" s="197"/>
      <c r="P42" s="26"/>
      <c r="Q42" s="22"/>
      <c r="R42" s="26"/>
      <c r="S42" s="22">
        <f t="shared" si="7"/>
        <v>0</v>
      </c>
      <c r="T42" s="197"/>
      <c r="U42" s="26"/>
      <c r="V42" s="22"/>
    </row>
    <row r="43" spans="2:22">
      <c r="C43" s="14" t="s">
        <v>6</v>
      </c>
      <c r="E43" s="22"/>
      <c r="F43" s="22"/>
      <c r="G43" s="22"/>
      <c r="H43" s="22"/>
      <c r="I43" s="22"/>
      <c r="J43" s="22"/>
      <c r="K43" s="197"/>
      <c r="L43" s="18"/>
      <c r="M43" s="256"/>
      <c r="N43" s="153"/>
      <c r="O43" s="197"/>
      <c r="P43" s="26"/>
      <c r="Q43" s="18"/>
      <c r="R43" s="18"/>
      <c r="S43" s="18">
        <f t="shared" si="7"/>
        <v>0</v>
      </c>
      <c r="T43" s="197"/>
      <c r="U43" s="26"/>
      <c r="V43" s="18"/>
    </row>
    <row r="44" spans="2:22" s="84" customFormat="1">
      <c r="B44" s="84" t="s">
        <v>27</v>
      </c>
      <c r="C44" s="34" t="s">
        <v>150</v>
      </c>
      <c r="D44" s="13"/>
      <c r="E44" s="49">
        <f>'AN Gas'!F45</f>
        <v>86656</v>
      </c>
      <c r="F44" s="49"/>
      <c r="G44" s="49">
        <f>F44+E44</f>
        <v>86656</v>
      </c>
      <c r="H44" s="49"/>
      <c r="I44" s="49">
        <f t="shared" si="0"/>
        <v>1076</v>
      </c>
      <c r="J44" s="49">
        <f t="shared" si="1"/>
        <v>2456</v>
      </c>
      <c r="K44" s="294">
        <f t="shared" si="2"/>
        <v>3532</v>
      </c>
      <c r="L44" s="49">
        <f t="shared" si="3"/>
        <v>90188</v>
      </c>
      <c r="M44" s="295"/>
      <c r="N44" s="49">
        <f>ROUND(IF($B44="a",(G44+I44+J44)*N$5,(G44+I44+J44)*N$6),0)</f>
        <v>2267</v>
      </c>
      <c r="O44" s="294">
        <f t="shared" si="5"/>
        <v>2267</v>
      </c>
      <c r="P44" s="296"/>
      <c r="Q44" s="49">
        <f t="shared" si="6"/>
        <v>92455</v>
      </c>
      <c r="R44" s="296"/>
      <c r="S44" s="49">
        <f t="shared" si="7"/>
        <v>1701</v>
      </c>
      <c r="T44" s="294">
        <f t="shared" ref="T44:T48" si="21">S44</f>
        <v>1701</v>
      </c>
      <c r="U44" s="296"/>
      <c r="V44" s="49">
        <f t="shared" ref="V44:V48" si="22">T44+Q44</f>
        <v>94156</v>
      </c>
    </row>
    <row r="45" spans="2:22">
      <c r="C45" s="1" t="s">
        <v>151</v>
      </c>
      <c r="D45" s="15"/>
      <c r="E45" s="17">
        <f>'AN Gas'!F46</f>
        <v>905001</v>
      </c>
      <c r="F45" s="17"/>
      <c r="G45" s="17">
        <f>F45+E45</f>
        <v>905001</v>
      </c>
      <c r="H45" s="17"/>
      <c r="I45" s="17">
        <f t="shared" si="0"/>
        <v>13168</v>
      </c>
      <c r="J45" s="17">
        <f t="shared" si="1"/>
        <v>28463</v>
      </c>
      <c r="K45" s="189">
        <f t="shared" si="2"/>
        <v>41631</v>
      </c>
      <c r="L45" s="17">
        <f t="shared" si="3"/>
        <v>946632</v>
      </c>
      <c r="M45" s="256"/>
      <c r="N45" s="100">
        <f t="shared" ref="N45:N47" si="23">ROUND(IF($B45="a",(G45+I45+J45)*N$5,(G45+I45+J45)*N$6),0)</f>
        <v>21697</v>
      </c>
      <c r="O45" s="189">
        <f t="shared" si="5"/>
        <v>21697</v>
      </c>
      <c r="P45" s="18"/>
      <c r="Q45" s="17">
        <f t="shared" si="6"/>
        <v>968329</v>
      </c>
      <c r="R45" s="18"/>
      <c r="S45" s="17">
        <f t="shared" si="7"/>
        <v>17817</v>
      </c>
      <c r="T45" s="189">
        <f t="shared" si="21"/>
        <v>17817</v>
      </c>
      <c r="U45" s="18"/>
      <c r="V45" s="17">
        <f t="shared" si="22"/>
        <v>986146</v>
      </c>
    </row>
    <row r="46" spans="2:22" s="84" customFormat="1">
      <c r="B46" s="84" t="s">
        <v>27</v>
      </c>
      <c r="C46" s="34" t="s">
        <v>152</v>
      </c>
      <c r="D46" s="13"/>
      <c r="E46" s="49">
        <f>'AN Gas'!F47</f>
        <v>1722422</v>
      </c>
      <c r="F46" s="49"/>
      <c r="G46" s="49">
        <f>F46+E46</f>
        <v>1722422</v>
      </c>
      <c r="H46" s="49"/>
      <c r="I46" s="49">
        <f t="shared" si="0"/>
        <v>21392</v>
      </c>
      <c r="J46" s="49">
        <f t="shared" si="1"/>
        <v>48827</v>
      </c>
      <c r="K46" s="294">
        <f t="shared" si="2"/>
        <v>70219</v>
      </c>
      <c r="L46" s="49">
        <f t="shared" si="3"/>
        <v>1792641</v>
      </c>
      <c r="M46" s="295"/>
      <c r="N46" s="49">
        <f t="shared" si="23"/>
        <v>45067</v>
      </c>
      <c r="O46" s="294">
        <f t="shared" si="5"/>
        <v>45067</v>
      </c>
      <c r="P46" s="296"/>
      <c r="Q46" s="49">
        <f t="shared" si="6"/>
        <v>1837708</v>
      </c>
      <c r="R46" s="296"/>
      <c r="S46" s="49">
        <f t="shared" si="7"/>
        <v>33814</v>
      </c>
      <c r="T46" s="294">
        <f t="shared" si="21"/>
        <v>33814</v>
      </c>
      <c r="U46" s="296"/>
      <c r="V46" s="49">
        <f t="shared" si="22"/>
        <v>1871522</v>
      </c>
    </row>
    <row r="47" spans="2:22" s="84" customFormat="1">
      <c r="B47" s="84" t="s">
        <v>27</v>
      </c>
      <c r="C47" s="34" t="s">
        <v>153</v>
      </c>
      <c r="D47" s="13"/>
      <c r="E47" s="49">
        <f>'AN Gas'!F48</f>
        <v>45513</v>
      </c>
      <c r="F47" s="49"/>
      <c r="G47" s="49">
        <f>F47+E47</f>
        <v>45513</v>
      </c>
      <c r="H47" s="49"/>
      <c r="I47" s="49">
        <f t="shared" si="0"/>
        <v>565</v>
      </c>
      <c r="J47" s="49">
        <f t="shared" si="1"/>
        <v>1290</v>
      </c>
      <c r="K47" s="294">
        <f t="shared" si="2"/>
        <v>1855</v>
      </c>
      <c r="L47" s="49">
        <f t="shared" si="3"/>
        <v>47368</v>
      </c>
      <c r="M47" s="295"/>
      <c r="N47" s="49">
        <f t="shared" si="23"/>
        <v>1191</v>
      </c>
      <c r="O47" s="294">
        <f t="shared" si="5"/>
        <v>1191</v>
      </c>
      <c r="P47" s="296"/>
      <c r="Q47" s="49">
        <f t="shared" si="6"/>
        <v>48559</v>
      </c>
      <c r="R47" s="296"/>
      <c r="S47" s="49">
        <f t="shared" si="7"/>
        <v>893</v>
      </c>
      <c r="T47" s="294">
        <f t="shared" si="21"/>
        <v>893</v>
      </c>
      <c r="U47" s="296"/>
      <c r="V47" s="49">
        <f t="shared" si="22"/>
        <v>49452</v>
      </c>
    </row>
    <row r="48" spans="2:22">
      <c r="C48" s="14" t="s">
        <v>7</v>
      </c>
      <c r="E48" s="21">
        <f>SUM(E44:E47)</f>
        <v>2759592</v>
      </c>
      <c r="F48" s="21"/>
      <c r="G48" s="21">
        <f t="shared" ref="G48:N48" si="24">SUM(G44:G47)</f>
        <v>2759592</v>
      </c>
      <c r="H48" s="21"/>
      <c r="I48" s="21">
        <f t="shared" si="24"/>
        <v>36201</v>
      </c>
      <c r="J48" s="21">
        <f t="shared" si="24"/>
        <v>81036</v>
      </c>
      <c r="K48" s="196">
        <f t="shared" si="2"/>
        <v>117237</v>
      </c>
      <c r="L48" s="64">
        <f t="shared" si="3"/>
        <v>2876829</v>
      </c>
      <c r="M48" s="257"/>
      <c r="N48" s="240">
        <f t="shared" si="24"/>
        <v>70222</v>
      </c>
      <c r="O48" s="196">
        <f t="shared" si="5"/>
        <v>70222</v>
      </c>
      <c r="P48" s="21"/>
      <c r="Q48" s="64">
        <f t="shared" si="6"/>
        <v>2947051</v>
      </c>
      <c r="R48" s="26"/>
      <c r="S48" s="64">
        <f t="shared" si="7"/>
        <v>54226</v>
      </c>
      <c r="T48" s="196">
        <f t="shared" si="21"/>
        <v>54226</v>
      </c>
      <c r="U48" s="21"/>
      <c r="V48" s="64">
        <f t="shared" si="22"/>
        <v>3001277</v>
      </c>
    </row>
    <row r="49" spans="2:22">
      <c r="E49" s="22"/>
      <c r="F49" s="22"/>
      <c r="G49" s="22"/>
      <c r="H49" s="22"/>
      <c r="I49" s="22"/>
      <c r="J49" s="22"/>
      <c r="K49" s="197"/>
      <c r="L49" s="22"/>
      <c r="M49" s="257"/>
      <c r="N49" s="153"/>
      <c r="O49" s="197"/>
      <c r="P49" s="26"/>
      <c r="Q49" s="22"/>
      <c r="R49" s="26"/>
      <c r="S49" s="22">
        <f t="shared" si="7"/>
        <v>0</v>
      </c>
      <c r="T49" s="197"/>
      <c r="U49" s="26"/>
      <c r="V49" s="22"/>
    </row>
    <row r="50" spans="2:22">
      <c r="C50" s="14" t="s">
        <v>8</v>
      </c>
      <c r="E50" s="22"/>
      <c r="F50" s="22"/>
      <c r="G50" s="22"/>
      <c r="H50" s="22"/>
      <c r="I50" s="22"/>
      <c r="J50" s="22"/>
      <c r="K50" s="197"/>
      <c r="L50" s="22"/>
      <c r="M50" s="257"/>
      <c r="N50" s="153"/>
      <c r="O50" s="197"/>
      <c r="P50" s="26"/>
      <c r="Q50" s="22"/>
      <c r="R50" s="26"/>
      <c r="S50" s="22">
        <f t="shared" si="7"/>
        <v>0</v>
      </c>
      <c r="T50" s="197"/>
      <c r="U50" s="26"/>
      <c r="V50" s="22"/>
    </row>
    <row r="51" spans="2:22" s="84" customFormat="1">
      <c r="B51" s="84" t="s">
        <v>27</v>
      </c>
      <c r="C51" s="34" t="s">
        <v>154</v>
      </c>
      <c r="D51" s="13"/>
      <c r="E51" s="49">
        <f>'AN Gas'!F52</f>
        <v>138272</v>
      </c>
      <c r="F51" s="49"/>
      <c r="G51" s="49">
        <f>F51+E51</f>
        <v>138272</v>
      </c>
      <c r="H51" s="49"/>
      <c r="I51" s="49">
        <f t="shared" si="0"/>
        <v>1717</v>
      </c>
      <c r="J51" s="49">
        <f t="shared" si="1"/>
        <v>3920</v>
      </c>
      <c r="K51" s="294">
        <f t="shared" si="2"/>
        <v>5637</v>
      </c>
      <c r="L51" s="49">
        <f t="shared" si="3"/>
        <v>143909</v>
      </c>
      <c r="M51" s="295"/>
      <c r="N51" s="49">
        <f>ROUND(IF($B51="a",(G51+I51+J51)*N$5,(G51+I51+J51)*N$6),0)</f>
        <v>3618</v>
      </c>
      <c r="O51" s="294"/>
      <c r="P51" s="296"/>
      <c r="Q51" s="49">
        <f t="shared" si="6"/>
        <v>143909</v>
      </c>
      <c r="R51" s="296"/>
      <c r="S51" s="49">
        <f t="shared" si="7"/>
        <v>2648</v>
      </c>
      <c r="T51" s="294"/>
      <c r="U51" s="296"/>
      <c r="V51" s="49">
        <f t="shared" ref="V51:V54" si="25">T51+Q51</f>
        <v>143909</v>
      </c>
    </row>
    <row r="52" spans="2:22" s="84" customFormat="1">
      <c r="B52" s="84" t="s">
        <v>27</v>
      </c>
      <c r="C52" s="34" t="s">
        <v>155</v>
      </c>
      <c r="D52" s="13"/>
      <c r="E52" s="49">
        <f>'AN Gas'!F53</f>
        <v>80544</v>
      </c>
      <c r="F52" s="49"/>
      <c r="G52" s="49">
        <f>F52+E52</f>
        <v>80544</v>
      </c>
      <c r="H52" s="49"/>
      <c r="I52" s="49">
        <f t="shared" si="0"/>
        <v>1000</v>
      </c>
      <c r="J52" s="49">
        <f t="shared" si="1"/>
        <v>2283</v>
      </c>
      <c r="K52" s="294">
        <f t="shared" si="2"/>
        <v>3283</v>
      </c>
      <c r="L52" s="49">
        <f t="shared" si="3"/>
        <v>83827</v>
      </c>
      <c r="M52" s="295"/>
      <c r="N52" s="49">
        <f t="shared" ref="N52:N53" si="26">ROUND(IF($B52="a",(G52+I52+J52)*N$5,(G52+I52+J52)*N$6),0)</f>
        <v>2107</v>
      </c>
      <c r="O52" s="294">
        <f t="shared" si="5"/>
        <v>2107</v>
      </c>
      <c r="P52" s="296"/>
      <c r="Q52" s="49">
        <f t="shared" si="6"/>
        <v>85934</v>
      </c>
      <c r="R52" s="296"/>
      <c r="S52" s="49">
        <f t="shared" si="7"/>
        <v>1581</v>
      </c>
      <c r="T52" s="294">
        <f t="shared" ref="T52:T54" si="27">S52</f>
        <v>1581</v>
      </c>
      <c r="U52" s="296"/>
      <c r="V52" s="49">
        <f t="shared" si="25"/>
        <v>87515</v>
      </c>
    </row>
    <row r="53" spans="2:22" s="84" customFormat="1">
      <c r="B53" s="84" t="s">
        <v>27</v>
      </c>
      <c r="C53" s="34" t="s">
        <v>156</v>
      </c>
      <c r="D53" s="13"/>
      <c r="E53" s="49">
        <f>'AN Gas'!F54</f>
        <v>-166</v>
      </c>
      <c r="F53" s="49"/>
      <c r="G53" s="49">
        <f>F53+E53</f>
        <v>-166</v>
      </c>
      <c r="H53" s="49"/>
      <c r="I53" s="49">
        <f t="shared" si="0"/>
        <v>-2</v>
      </c>
      <c r="J53" s="49">
        <f t="shared" si="1"/>
        <v>-5</v>
      </c>
      <c r="K53" s="294">
        <f t="shared" si="2"/>
        <v>-7</v>
      </c>
      <c r="L53" s="49">
        <f t="shared" si="3"/>
        <v>-173</v>
      </c>
      <c r="M53" s="295"/>
      <c r="N53" s="49">
        <f t="shared" si="26"/>
        <v>-4</v>
      </c>
      <c r="O53" s="294">
        <f t="shared" si="5"/>
        <v>-4</v>
      </c>
      <c r="P53" s="296"/>
      <c r="Q53" s="49">
        <f t="shared" si="6"/>
        <v>-177</v>
      </c>
      <c r="R53" s="296"/>
      <c r="S53" s="49">
        <f t="shared" si="7"/>
        <v>-3</v>
      </c>
      <c r="T53" s="294">
        <f t="shared" si="27"/>
        <v>-3</v>
      </c>
      <c r="U53" s="296"/>
      <c r="V53" s="49">
        <f t="shared" si="25"/>
        <v>-180</v>
      </c>
    </row>
    <row r="54" spans="2:22">
      <c r="C54" s="14" t="s">
        <v>9</v>
      </c>
      <c r="D54" s="14" t="str">
        <f>D29</f>
        <v>2011 to 2013</v>
      </c>
      <c r="E54" s="21">
        <f>SUM(E51:E53)</f>
        <v>218650</v>
      </c>
      <c r="F54" s="21"/>
      <c r="G54" s="21">
        <f t="shared" ref="G54:N54" si="28">SUM(G51:G53)</f>
        <v>218650</v>
      </c>
      <c r="H54" s="21"/>
      <c r="I54" s="21">
        <f t="shared" si="28"/>
        <v>2715</v>
      </c>
      <c r="J54" s="21">
        <f t="shared" si="28"/>
        <v>6198</v>
      </c>
      <c r="K54" s="196">
        <f t="shared" si="2"/>
        <v>8913</v>
      </c>
      <c r="L54" s="64">
        <f t="shared" si="3"/>
        <v>227563</v>
      </c>
      <c r="M54" s="257"/>
      <c r="N54" s="240">
        <f t="shared" si="28"/>
        <v>5721</v>
      </c>
      <c r="O54" s="196">
        <f t="shared" si="5"/>
        <v>5721</v>
      </c>
      <c r="P54" s="21"/>
      <c r="Q54" s="64">
        <f t="shared" si="6"/>
        <v>233284</v>
      </c>
      <c r="R54" s="26"/>
      <c r="S54" s="64">
        <f t="shared" si="7"/>
        <v>4292</v>
      </c>
      <c r="T54" s="196">
        <f t="shared" si="27"/>
        <v>4292</v>
      </c>
      <c r="U54" s="21"/>
      <c r="V54" s="64">
        <f t="shared" si="25"/>
        <v>237576</v>
      </c>
    </row>
    <row r="55" spans="2:22">
      <c r="E55" s="22"/>
      <c r="F55" s="22"/>
      <c r="G55" s="22"/>
      <c r="H55" s="22"/>
      <c r="I55" s="22"/>
      <c r="J55" s="22"/>
      <c r="K55" s="197"/>
      <c r="L55" s="22"/>
      <c r="M55" s="257"/>
      <c r="N55" s="153"/>
      <c r="O55" s="197"/>
      <c r="P55" s="26"/>
      <c r="Q55" s="22"/>
      <c r="R55" s="26"/>
      <c r="S55" s="22">
        <f t="shared" si="7"/>
        <v>0</v>
      </c>
      <c r="T55" s="197"/>
      <c r="U55" s="26"/>
      <c r="V55" s="22"/>
    </row>
    <row r="56" spans="2:22">
      <c r="C56" s="14" t="s">
        <v>10</v>
      </c>
      <c r="E56" s="22"/>
      <c r="F56" s="22"/>
      <c r="G56" s="22"/>
      <c r="H56" s="22"/>
      <c r="I56" s="22"/>
      <c r="J56" s="22"/>
      <c r="K56" s="197"/>
      <c r="L56" s="22"/>
      <c r="M56" s="257"/>
      <c r="N56" s="153"/>
      <c r="O56" s="197"/>
      <c r="P56" s="26"/>
      <c r="Q56" s="22"/>
      <c r="R56" s="26"/>
      <c r="S56" s="22">
        <f t="shared" si="7"/>
        <v>0</v>
      </c>
      <c r="T56" s="197"/>
      <c r="U56" s="26"/>
      <c r="V56" s="22"/>
    </row>
    <row r="57" spans="2:22" s="84" customFormat="1">
      <c r="B57" s="84" t="s">
        <v>27</v>
      </c>
      <c r="C57" s="34" t="s">
        <v>157</v>
      </c>
      <c r="D57" s="13"/>
      <c r="E57" s="49">
        <f>'AN Gas'!F58</f>
        <v>0</v>
      </c>
      <c r="F57" s="49"/>
      <c r="G57" s="49">
        <f>F57+E57</f>
        <v>0</v>
      </c>
      <c r="H57" s="49"/>
      <c r="I57" s="49"/>
      <c r="J57" s="49"/>
      <c r="K57" s="294">
        <f t="shared" si="2"/>
        <v>0</v>
      </c>
      <c r="L57" s="49">
        <f t="shared" si="3"/>
        <v>0</v>
      </c>
      <c r="M57" s="295"/>
      <c r="N57" s="49">
        <v>0</v>
      </c>
      <c r="O57" s="294">
        <f t="shared" si="5"/>
        <v>0</v>
      </c>
      <c r="P57" s="296"/>
      <c r="Q57" s="49">
        <f t="shared" si="6"/>
        <v>0</v>
      </c>
      <c r="R57" s="296"/>
      <c r="S57" s="49">
        <f t="shared" si="7"/>
        <v>0</v>
      </c>
      <c r="T57" s="294">
        <f t="shared" ref="T57:T61" si="29">S57</f>
        <v>0</v>
      </c>
      <c r="U57" s="296"/>
      <c r="V57" s="49">
        <f t="shared" ref="V57:V61" si="30">T57+Q57</f>
        <v>0</v>
      </c>
    </row>
    <row r="58" spans="2:22" s="84" customFormat="1">
      <c r="B58" s="84" t="s">
        <v>27</v>
      </c>
      <c r="C58" s="34" t="s">
        <v>158</v>
      </c>
      <c r="D58" s="13"/>
      <c r="E58" s="49">
        <f>'AN Gas'!F59</f>
        <v>0</v>
      </c>
      <c r="F58" s="49"/>
      <c r="G58" s="49">
        <f>F58+E58</f>
        <v>0</v>
      </c>
      <c r="H58" s="49"/>
      <c r="I58" s="49">
        <f t="shared" si="0"/>
        <v>0</v>
      </c>
      <c r="J58" s="49">
        <f t="shared" si="1"/>
        <v>0</v>
      </c>
      <c r="K58" s="294">
        <f t="shared" si="2"/>
        <v>0</v>
      </c>
      <c r="L58" s="49">
        <f t="shared" si="3"/>
        <v>0</v>
      </c>
      <c r="M58" s="295"/>
      <c r="N58" s="49">
        <f t="shared" ref="N58:N60" si="31">ROUND(IF($B58="a",(G58+I58)*N$5,(G58+I58+J58)*N$6),0)</f>
        <v>0</v>
      </c>
      <c r="O58" s="294">
        <f t="shared" si="5"/>
        <v>0</v>
      </c>
      <c r="P58" s="296"/>
      <c r="Q58" s="49">
        <f t="shared" si="6"/>
        <v>0</v>
      </c>
      <c r="R58" s="296"/>
      <c r="S58" s="49">
        <f t="shared" si="7"/>
        <v>0</v>
      </c>
      <c r="T58" s="294">
        <f t="shared" si="29"/>
        <v>0</v>
      </c>
      <c r="U58" s="296"/>
      <c r="V58" s="49">
        <f t="shared" si="30"/>
        <v>0</v>
      </c>
    </row>
    <row r="59" spans="2:22" s="84" customFormat="1">
      <c r="B59" s="84" t="s">
        <v>27</v>
      </c>
      <c r="C59" s="34" t="s">
        <v>159</v>
      </c>
      <c r="D59" s="13"/>
      <c r="E59" s="49">
        <f>'AN Gas'!F60</f>
        <v>0</v>
      </c>
      <c r="F59" s="49"/>
      <c r="G59" s="49">
        <f>F59+E59</f>
        <v>0</v>
      </c>
      <c r="H59" s="49"/>
      <c r="I59" s="49">
        <f t="shared" si="0"/>
        <v>0</v>
      </c>
      <c r="J59" s="49">
        <f t="shared" si="1"/>
        <v>0</v>
      </c>
      <c r="K59" s="294">
        <f t="shared" si="2"/>
        <v>0</v>
      </c>
      <c r="L59" s="49">
        <f t="shared" si="3"/>
        <v>0</v>
      </c>
      <c r="M59" s="295"/>
      <c r="N59" s="49">
        <f t="shared" si="31"/>
        <v>0</v>
      </c>
      <c r="O59" s="294">
        <f t="shared" si="5"/>
        <v>0</v>
      </c>
      <c r="P59" s="296"/>
      <c r="Q59" s="49">
        <f t="shared" si="6"/>
        <v>0</v>
      </c>
      <c r="R59" s="296"/>
      <c r="S59" s="49">
        <f t="shared" si="7"/>
        <v>0</v>
      </c>
      <c r="T59" s="294">
        <f t="shared" si="29"/>
        <v>0</v>
      </c>
      <c r="U59" s="296"/>
      <c r="V59" s="49">
        <f t="shared" si="30"/>
        <v>0</v>
      </c>
    </row>
    <row r="60" spans="2:22" s="84" customFormat="1">
      <c r="B60" s="84" t="s">
        <v>27</v>
      </c>
      <c r="C60" s="34" t="s">
        <v>160</v>
      </c>
      <c r="D60" s="13"/>
      <c r="E60" s="49">
        <f>'AN Gas'!F61</f>
        <v>0</v>
      </c>
      <c r="F60" s="49"/>
      <c r="G60" s="49">
        <f>F60+E60</f>
        <v>0</v>
      </c>
      <c r="H60" s="49"/>
      <c r="I60" s="49">
        <f t="shared" si="0"/>
        <v>0</v>
      </c>
      <c r="J60" s="49">
        <f t="shared" si="1"/>
        <v>0</v>
      </c>
      <c r="K60" s="294">
        <f t="shared" si="2"/>
        <v>0</v>
      </c>
      <c r="L60" s="49">
        <f t="shared" si="3"/>
        <v>0</v>
      </c>
      <c r="M60" s="295"/>
      <c r="N60" s="49">
        <f t="shared" si="31"/>
        <v>0</v>
      </c>
      <c r="O60" s="294">
        <f t="shared" si="5"/>
        <v>0</v>
      </c>
      <c r="P60" s="296"/>
      <c r="Q60" s="49">
        <f t="shared" si="6"/>
        <v>0</v>
      </c>
      <c r="R60" s="296"/>
      <c r="S60" s="49">
        <f t="shared" si="7"/>
        <v>0</v>
      </c>
      <c r="T60" s="294">
        <f t="shared" si="29"/>
        <v>0</v>
      </c>
      <c r="U60" s="296"/>
      <c r="V60" s="49">
        <f t="shared" si="30"/>
        <v>0</v>
      </c>
    </row>
    <row r="61" spans="2:22">
      <c r="C61" s="14" t="s">
        <v>11</v>
      </c>
      <c r="E61" s="21">
        <f>SUM(E57:E60)</f>
        <v>0</v>
      </c>
      <c r="F61" s="21"/>
      <c r="G61" s="21">
        <f t="shared" ref="G61:N61" si="32">SUM(G57:G60)</f>
        <v>0</v>
      </c>
      <c r="H61" s="21"/>
      <c r="I61" s="21">
        <f t="shared" si="32"/>
        <v>0</v>
      </c>
      <c r="J61" s="21">
        <f t="shared" si="32"/>
        <v>0</v>
      </c>
      <c r="K61" s="196">
        <f t="shared" si="2"/>
        <v>0</v>
      </c>
      <c r="L61" s="64">
        <f t="shared" si="3"/>
        <v>0</v>
      </c>
      <c r="M61" s="257"/>
      <c r="N61" s="240">
        <f t="shared" si="32"/>
        <v>0</v>
      </c>
      <c r="O61" s="196">
        <f t="shared" si="5"/>
        <v>0</v>
      </c>
      <c r="P61" s="21"/>
      <c r="Q61" s="64">
        <f t="shared" si="6"/>
        <v>0</v>
      </c>
      <c r="R61" s="26"/>
      <c r="S61" s="64">
        <f t="shared" si="7"/>
        <v>0</v>
      </c>
      <c r="T61" s="196">
        <f t="shared" si="29"/>
        <v>0</v>
      </c>
      <c r="U61" s="21"/>
      <c r="V61" s="64">
        <f t="shared" si="30"/>
        <v>0</v>
      </c>
    </row>
    <row r="62" spans="2:22">
      <c r="E62" s="22"/>
      <c r="F62" s="22"/>
      <c r="G62" s="22"/>
      <c r="H62" s="22"/>
      <c r="I62" s="22"/>
      <c r="J62" s="22"/>
      <c r="K62" s="197"/>
      <c r="L62" s="22"/>
      <c r="M62" s="257"/>
      <c r="N62" s="153"/>
      <c r="O62" s="197"/>
      <c r="P62" s="26"/>
      <c r="Q62" s="22"/>
      <c r="R62" s="26"/>
      <c r="S62" s="22">
        <f t="shared" si="7"/>
        <v>0</v>
      </c>
      <c r="T62" s="197"/>
      <c r="U62" s="26"/>
      <c r="V62" s="22"/>
    </row>
    <row r="63" spans="2:22">
      <c r="C63" s="14" t="s">
        <v>12</v>
      </c>
      <c r="E63" s="22"/>
      <c r="F63" s="22"/>
      <c r="G63" s="22"/>
      <c r="H63" s="22"/>
      <c r="I63" s="22"/>
      <c r="J63" s="22"/>
      <c r="K63" s="197"/>
      <c r="L63" s="22"/>
      <c r="M63" s="257"/>
      <c r="N63" s="153"/>
      <c r="O63" s="197"/>
      <c r="P63" s="26"/>
      <c r="Q63" s="22"/>
      <c r="R63" s="26"/>
      <c r="S63" s="22">
        <f t="shared" si="7"/>
        <v>0</v>
      </c>
      <c r="T63" s="197"/>
      <c r="U63" s="26"/>
      <c r="V63" s="22"/>
    </row>
    <row r="64" spans="2:22" s="84" customFormat="1">
      <c r="B64" s="84" t="s">
        <v>27</v>
      </c>
      <c r="C64" s="34" t="s">
        <v>161</v>
      </c>
      <c r="D64" s="13"/>
      <c r="E64" s="49">
        <f>'AN Gas'!F65</f>
        <v>2707091</v>
      </c>
      <c r="F64" s="49"/>
      <c r="G64" s="49">
        <f t="shared" ref="G64:G72" si="33">F64+E64</f>
        <v>2707091</v>
      </c>
      <c r="H64" s="49"/>
      <c r="I64" s="49">
        <f t="shared" si="0"/>
        <v>33622</v>
      </c>
      <c r="J64" s="49">
        <f t="shared" si="1"/>
        <v>76740</v>
      </c>
      <c r="K64" s="294">
        <f t="shared" si="2"/>
        <v>110362</v>
      </c>
      <c r="L64" s="49">
        <f t="shared" si="3"/>
        <v>2817453</v>
      </c>
      <c r="M64" s="295"/>
      <c r="N64" s="49">
        <f>ROUND(IF($B64="a",(G64+I64+J64)*N$5,(G64+I64+J64)*N$6),0)</f>
        <v>70831</v>
      </c>
      <c r="O64" s="294">
        <f t="shared" si="5"/>
        <v>70831</v>
      </c>
      <c r="P64" s="296"/>
      <c r="Q64" s="49">
        <f t="shared" si="6"/>
        <v>2888284</v>
      </c>
      <c r="R64" s="296"/>
      <c r="S64" s="49">
        <f>ROUND(IF($B64="a",Q64*S$5,Q64*S$6),0)</f>
        <v>53144</v>
      </c>
      <c r="T64" s="294">
        <f t="shared" ref="T64:T73" si="34">S64</f>
        <v>53144</v>
      </c>
      <c r="U64" s="296"/>
      <c r="V64" s="49">
        <f t="shared" ref="V64:V73" si="35">T64+Q64</f>
        <v>2941428</v>
      </c>
    </row>
    <row r="65" spans="2:22" s="84" customFormat="1">
      <c r="B65" s="297" t="s">
        <v>27</v>
      </c>
      <c r="C65" s="34">
        <v>921</v>
      </c>
      <c r="D65" s="34" t="s">
        <v>90</v>
      </c>
      <c r="E65" s="49">
        <f>'AN Gas'!F66</f>
        <v>25770</v>
      </c>
      <c r="F65" s="49"/>
      <c r="G65" s="49">
        <f t="shared" si="33"/>
        <v>25770</v>
      </c>
      <c r="H65" s="49"/>
      <c r="I65" s="49">
        <f t="shared" si="0"/>
        <v>320</v>
      </c>
      <c r="J65" s="49">
        <f t="shared" si="1"/>
        <v>731</v>
      </c>
      <c r="K65" s="294">
        <f t="shared" si="2"/>
        <v>1051</v>
      </c>
      <c r="L65" s="49">
        <f t="shared" si="3"/>
        <v>26821</v>
      </c>
      <c r="M65" s="295"/>
      <c r="N65" s="49">
        <f t="shared" ref="N65:N72" si="36">ROUND(IF($B65="a",(G65+I65+J65)*N$5,(G65+I65+J65)*N$6),0)</f>
        <v>674</v>
      </c>
      <c r="O65" s="294">
        <f t="shared" si="5"/>
        <v>674</v>
      </c>
      <c r="P65" s="296"/>
      <c r="Q65" s="49">
        <f t="shared" si="6"/>
        <v>27495</v>
      </c>
      <c r="R65" s="296"/>
      <c r="S65" s="49">
        <f t="shared" si="7"/>
        <v>506</v>
      </c>
      <c r="T65" s="294">
        <f t="shared" si="34"/>
        <v>506</v>
      </c>
      <c r="U65" s="296"/>
      <c r="V65" s="49">
        <f t="shared" si="35"/>
        <v>28001</v>
      </c>
    </row>
    <row r="66" spans="2:22" s="84" customFormat="1">
      <c r="B66" s="297" t="s">
        <v>27</v>
      </c>
      <c r="C66" s="34">
        <v>922</v>
      </c>
      <c r="D66" s="34" t="s">
        <v>193</v>
      </c>
      <c r="E66" s="49">
        <f>'AN Gas'!F67</f>
        <v>0</v>
      </c>
      <c r="F66" s="49"/>
      <c r="G66" s="49">
        <f>F66+E66</f>
        <v>0</v>
      </c>
      <c r="H66" s="49"/>
      <c r="I66" s="49">
        <f t="shared" si="0"/>
        <v>0</v>
      </c>
      <c r="J66" s="49">
        <f t="shared" si="1"/>
        <v>0</v>
      </c>
      <c r="K66" s="294">
        <f t="shared" si="2"/>
        <v>0</v>
      </c>
      <c r="L66" s="49">
        <f t="shared" si="3"/>
        <v>0</v>
      </c>
      <c r="M66" s="295"/>
      <c r="N66" s="49">
        <f t="shared" si="36"/>
        <v>0</v>
      </c>
      <c r="O66" s="294">
        <f t="shared" si="5"/>
        <v>0</v>
      </c>
      <c r="P66" s="296"/>
      <c r="Q66" s="49">
        <f t="shared" si="6"/>
        <v>0</v>
      </c>
      <c r="R66" s="296"/>
      <c r="S66" s="49">
        <f t="shared" si="7"/>
        <v>0</v>
      </c>
      <c r="T66" s="294">
        <f t="shared" si="34"/>
        <v>0</v>
      </c>
      <c r="U66" s="296"/>
      <c r="V66" s="49">
        <f t="shared" si="35"/>
        <v>0</v>
      </c>
    </row>
    <row r="67" spans="2:22" s="84" customFormat="1">
      <c r="B67" s="84" t="s">
        <v>27</v>
      </c>
      <c r="C67" s="34" t="s">
        <v>162</v>
      </c>
      <c r="D67" s="13"/>
      <c r="E67" s="49">
        <f>'AN Gas'!F68</f>
        <v>2869</v>
      </c>
      <c r="F67" s="49"/>
      <c r="G67" s="49">
        <f t="shared" si="33"/>
        <v>2869</v>
      </c>
      <c r="H67" s="49"/>
      <c r="I67" s="49">
        <f t="shared" si="0"/>
        <v>36</v>
      </c>
      <c r="J67" s="49">
        <f t="shared" si="1"/>
        <v>81</v>
      </c>
      <c r="K67" s="294">
        <f t="shared" si="2"/>
        <v>117</v>
      </c>
      <c r="L67" s="49">
        <f t="shared" si="3"/>
        <v>2986</v>
      </c>
      <c r="M67" s="295"/>
      <c r="N67" s="49">
        <f t="shared" si="36"/>
        <v>75</v>
      </c>
      <c r="O67" s="294">
        <f t="shared" si="5"/>
        <v>75</v>
      </c>
      <c r="P67" s="296"/>
      <c r="Q67" s="49">
        <f t="shared" si="6"/>
        <v>3061</v>
      </c>
      <c r="R67" s="296"/>
      <c r="S67" s="49">
        <f t="shared" si="7"/>
        <v>56</v>
      </c>
      <c r="T67" s="294">
        <f t="shared" si="34"/>
        <v>56</v>
      </c>
      <c r="U67" s="296"/>
      <c r="V67" s="49">
        <f t="shared" si="35"/>
        <v>3117</v>
      </c>
    </row>
    <row r="68" spans="2:22" s="84" customFormat="1">
      <c r="B68" s="84" t="s">
        <v>27</v>
      </c>
      <c r="C68" s="34" t="s">
        <v>163</v>
      </c>
      <c r="D68" s="13"/>
      <c r="E68" s="49">
        <f>'AN Gas'!F69</f>
        <v>0</v>
      </c>
      <c r="F68" s="49"/>
      <c r="G68" s="49">
        <f t="shared" si="33"/>
        <v>0</v>
      </c>
      <c r="H68" s="49"/>
      <c r="I68" s="49">
        <f t="shared" si="0"/>
        <v>0</v>
      </c>
      <c r="J68" s="49">
        <f t="shared" si="1"/>
        <v>0</v>
      </c>
      <c r="K68" s="294">
        <f t="shared" si="2"/>
        <v>0</v>
      </c>
      <c r="L68" s="49">
        <f t="shared" si="3"/>
        <v>0</v>
      </c>
      <c r="M68" s="295"/>
      <c r="N68" s="49">
        <f t="shared" si="36"/>
        <v>0</v>
      </c>
      <c r="O68" s="294">
        <f t="shared" si="5"/>
        <v>0</v>
      </c>
      <c r="P68" s="296"/>
      <c r="Q68" s="49">
        <f t="shared" si="6"/>
        <v>0</v>
      </c>
      <c r="R68" s="296"/>
      <c r="S68" s="49">
        <f t="shared" si="7"/>
        <v>0</v>
      </c>
      <c r="T68" s="294">
        <f t="shared" si="34"/>
        <v>0</v>
      </c>
      <c r="U68" s="296"/>
      <c r="V68" s="49">
        <f t="shared" si="35"/>
        <v>0</v>
      </c>
    </row>
    <row r="69" spans="2:22" s="84" customFormat="1">
      <c r="B69" s="84" t="s">
        <v>27</v>
      </c>
      <c r="C69" s="34" t="s">
        <v>164</v>
      </c>
      <c r="D69" s="13"/>
      <c r="E69" s="49">
        <f>'AN Gas'!F70</f>
        <v>0</v>
      </c>
      <c r="F69" s="49"/>
      <c r="G69" s="49">
        <f t="shared" si="33"/>
        <v>0</v>
      </c>
      <c r="H69" s="49"/>
      <c r="I69" s="49">
        <f t="shared" si="0"/>
        <v>0</v>
      </c>
      <c r="J69" s="49">
        <f t="shared" si="1"/>
        <v>0</v>
      </c>
      <c r="K69" s="294">
        <f t="shared" si="2"/>
        <v>0</v>
      </c>
      <c r="L69" s="49">
        <f t="shared" si="3"/>
        <v>0</v>
      </c>
      <c r="M69" s="295"/>
      <c r="N69" s="49">
        <f t="shared" si="36"/>
        <v>0</v>
      </c>
      <c r="O69" s="294">
        <f t="shared" si="5"/>
        <v>0</v>
      </c>
      <c r="P69" s="296"/>
      <c r="Q69" s="49">
        <f t="shared" si="6"/>
        <v>0</v>
      </c>
      <c r="R69" s="296"/>
      <c r="S69" s="49">
        <f t="shared" si="7"/>
        <v>0</v>
      </c>
      <c r="T69" s="294">
        <f t="shared" si="34"/>
        <v>0</v>
      </c>
      <c r="U69" s="296"/>
      <c r="V69" s="49">
        <f t="shared" si="35"/>
        <v>0</v>
      </c>
    </row>
    <row r="70" spans="2:22" s="84" customFormat="1">
      <c r="B70" s="84" t="s">
        <v>27</v>
      </c>
      <c r="C70" s="34" t="s">
        <v>165</v>
      </c>
      <c r="D70" s="13"/>
      <c r="E70" s="49">
        <f>'AN Gas'!F71</f>
        <v>221355</v>
      </c>
      <c r="F70" s="49"/>
      <c r="G70" s="49">
        <f t="shared" si="33"/>
        <v>221355</v>
      </c>
      <c r="H70" s="49"/>
      <c r="I70" s="49">
        <f t="shared" si="0"/>
        <v>2749</v>
      </c>
      <c r="J70" s="49">
        <f t="shared" si="1"/>
        <v>6275</v>
      </c>
      <c r="K70" s="294">
        <f t="shared" si="2"/>
        <v>9024</v>
      </c>
      <c r="L70" s="49">
        <f t="shared" si="3"/>
        <v>230379</v>
      </c>
      <c r="M70" s="295"/>
      <c r="N70" s="49">
        <f t="shared" si="36"/>
        <v>5792</v>
      </c>
      <c r="O70" s="294">
        <f t="shared" si="5"/>
        <v>5792</v>
      </c>
      <c r="P70" s="296"/>
      <c r="Q70" s="49">
        <f t="shared" si="6"/>
        <v>236171</v>
      </c>
      <c r="R70" s="296"/>
      <c r="S70" s="49">
        <f t="shared" si="7"/>
        <v>4346</v>
      </c>
      <c r="T70" s="294">
        <f t="shared" si="34"/>
        <v>4346</v>
      </c>
      <c r="U70" s="296"/>
      <c r="V70" s="49">
        <f t="shared" si="35"/>
        <v>240517</v>
      </c>
    </row>
    <row r="71" spans="2:22" s="84" customFormat="1">
      <c r="B71" s="84" t="s">
        <v>27</v>
      </c>
      <c r="C71" s="34" t="s">
        <v>166</v>
      </c>
      <c r="D71" s="13"/>
      <c r="E71" s="49">
        <f>'AN Gas'!F72</f>
        <v>55919</v>
      </c>
      <c r="F71" s="49"/>
      <c r="G71" s="49">
        <f t="shared" si="33"/>
        <v>55919</v>
      </c>
      <c r="H71" s="49"/>
      <c r="I71" s="49">
        <f t="shared" si="0"/>
        <v>695</v>
      </c>
      <c r="J71" s="49">
        <f t="shared" si="1"/>
        <v>1585</v>
      </c>
      <c r="K71" s="294">
        <f t="shared" si="2"/>
        <v>2280</v>
      </c>
      <c r="L71" s="49">
        <f t="shared" si="3"/>
        <v>58199</v>
      </c>
      <c r="M71" s="295"/>
      <c r="N71" s="49">
        <f t="shared" si="36"/>
        <v>1463</v>
      </c>
      <c r="O71" s="294">
        <f t="shared" si="5"/>
        <v>1463</v>
      </c>
      <c r="P71" s="296"/>
      <c r="Q71" s="49">
        <f t="shared" si="6"/>
        <v>59662</v>
      </c>
      <c r="R71" s="296"/>
      <c r="S71" s="49">
        <f t="shared" si="7"/>
        <v>1098</v>
      </c>
      <c r="T71" s="294">
        <f t="shared" si="34"/>
        <v>1098</v>
      </c>
      <c r="U71" s="296"/>
      <c r="V71" s="49">
        <f t="shared" si="35"/>
        <v>60760</v>
      </c>
    </row>
    <row r="72" spans="2:22" s="84" customFormat="1">
      <c r="B72" s="84" t="s">
        <v>27</v>
      </c>
      <c r="C72" s="34" t="s">
        <v>167</v>
      </c>
      <c r="D72" s="13"/>
      <c r="E72" s="49">
        <f>'AN Gas'!F73</f>
        <v>237356</v>
      </c>
      <c r="F72" s="49"/>
      <c r="G72" s="49">
        <f t="shared" si="33"/>
        <v>237356</v>
      </c>
      <c r="H72" s="49"/>
      <c r="I72" s="49">
        <f t="shared" si="0"/>
        <v>2948</v>
      </c>
      <c r="J72" s="49">
        <f t="shared" si="1"/>
        <v>6729</v>
      </c>
      <c r="K72" s="294">
        <f t="shared" si="2"/>
        <v>9677</v>
      </c>
      <c r="L72" s="49">
        <f t="shared" si="3"/>
        <v>247033</v>
      </c>
      <c r="M72" s="295"/>
      <c r="N72" s="49">
        <f t="shared" si="36"/>
        <v>6210</v>
      </c>
      <c r="O72" s="294">
        <f t="shared" si="5"/>
        <v>6210</v>
      </c>
      <c r="P72" s="296"/>
      <c r="Q72" s="49">
        <f t="shared" si="6"/>
        <v>253243</v>
      </c>
      <c r="R72" s="296"/>
      <c r="S72" s="49">
        <f t="shared" si="7"/>
        <v>4660</v>
      </c>
      <c r="T72" s="294">
        <f t="shared" si="34"/>
        <v>4660</v>
      </c>
      <c r="U72" s="296"/>
      <c r="V72" s="49">
        <f t="shared" si="35"/>
        <v>257903</v>
      </c>
    </row>
    <row r="73" spans="2:22" s="151" customFormat="1">
      <c r="C73" s="303" t="s">
        <v>13</v>
      </c>
      <c r="D73" s="303"/>
      <c r="E73" s="240">
        <f>SUM(E64:E72)</f>
        <v>3250360</v>
      </c>
      <c r="F73" s="240"/>
      <c r="G73" s="240">
        <f>SUM(G64:G72)</f>
        <v>3250360</v>
      </c>
      <c r="H73" s="240"/>
      <c r="I73" s="240">
        <f t="shared" ref="I73:N73" si="37">SUM(I64:I72)</f>
        <v>40370</v>
      </c>
      <c r="J73" s="240">
        <f t="shared" si="37"/>
        <v>92141</v>
      </c>
      <c r="K73" s="304">
        <f t="shared" si="2"/>
        <v>132511</v>
      </c>
      <c r="L73" s="305">
        <f t="shared" si="3"/>
        <v>3382871</v>
      </c>
      <c r="M73" s="306"/>
      <c r="N73" s="240">
        <f t="shared" si="37"/>
        <v>85045</v>
      </c>
      <c r="O73" s="304">
        <f t="shared" si="5"/>
        <v>85045</v>
      </c>
      <c r="P73" s="240"/>
      <c r="Q73" s="305">
        <f t="shared" si="6"/>
        <v>3467916</v>
      </c>
      <c r="R73" s="307"/>
      <c r="S73" s="305">
        <f t="shared" si="7"/>
        <v>63810</v>
      </c>
      <c r="T73" s="304">
        <f t="shared" si="34"/>
        <v>63810</v>
      </c>
      <c r="U73" s="240"/>
      <c r="V73" s="305">
        <f t="shared" si="35"/>
        <v>3531726</v>
      </c>
    </row>
    <row r="74" spans="2:22" s="84" customFormat="1">
      <c r="C74" s="298"/>
      <c r="D74" s="298"/>
      <c r="E74" s="301"/>
      <c r="F74" s="301"/>
      <c r="G74" s="301"/>
      <c r="H74" s="301"/>
      <c r="I74" s="301"/>
      <c r="J74" s="301"/>
      <c r="K74" s="302"/>
      <c r="L74" s="301"/>
      <c r="M74" s="299"/>
      <c r="N74" s="301"/>
      <c r="O74" s="302"/>
      <c r="P74" s="300"/>
      <c r="Q74" s="301"/>
      <c r="R74" s="300"/>
      <c r="S74" s="301">
        <f t="shared" ref="S74:S75" si="38">ROUND(IF($B74="a",Q74*S$5,Q74*S$6),0)</f>
        <v>0</v>
      </c>
      <c r="T74" s="302"/>
      <c r="U74" s="300"/>
      <c r="V74" s="301"/>
    </row>
    <row r="75" spans="2:22" ht="13.5" thickBot="1">
      <c r="C75" s="14" t="s">
        <v>119</v>
      </c>
      <c r="E75" s="21">
        <f>E12+E17+E41+E48+E54+E61+E73</f>
        <v>11747786</v>
      </c>
      <c r="F75" s="21"/>
      <c r="G75" s="21">
        <f>G12+G17+G41+G48+G54+G61+G73</f>
        <v>11747786</v>
      </c>
      <c r="H75" s="21"/>
      <c r="I75" s="21">
        <f t="shared" ref="I75:N75" si="39">I12+I17+I41+I48+I54+I61+I73</f>
        <v>157412</v>
      </c>
      <c r="J75" s="21">
        <f t="shared" si="39"/>
        <v>349786</v>
      </c>
      <c r="K75" s="198">
        <f t="shared" ref="K75" si="40">I75+J75</f>
        <v>507198</v>
      </c>
      <c r="L75" s="64">
        <f t="shared" ref="L75" si="41">K75+G75</f>
        <v>12254984</v>
      </c>
      <c r="M75" s="257"/>
      <c r="N75" s="240">
        <f t="shared" si="39"/>
        <v>295547</v>
      </c>
      <c r="O75" s="198">
        <f t="shared" ref="O75" si="42">N75</f>
        <v>295547</v>
      </c>
      <c r="P75" s="169"/>
      <c r="Q75" s="64">
        <f t="shared" ref="Q75" si="43">O75+L75</f>
        <v>12550531</v>
      </c>
      <c r="R75" s="26"/>
      <c r="S75" s="64">
        <f t="shared" si="38"/>
        <v>230930</v>
      </c>
      <c r="T75" s="198">
        <f t="shared" ref="T75" si="44">S75</f>
        <v>230930</v>
      </c>
      <c r="U75" s="169"/>
      <c r="V75" s="64">
        <f t="shared" ref="V75" si="45">T75+Q75</f>
        <v>12781461</v>
      </c>
    </row>
    <row r="76" spans="2:22" s="108" customFormat="1">
      <c r="C76" s="109"/>
      <c r="D76" s="109"/>
      <c r="E76" s="106">
        <f>'AN Gas'!F76</f>
        <v>11747787</v>
      </c>
      <c r="F76" s="106"/>
      <c r="G76" s="107"/>
      <c r="H76" s="107"/>
      <c r="I76" s="107"/>
      <c r="J76" s="107"/>
      <c r="K76" s="107"/>
      <c r="L76" s="104"/>
      <c r="M76" s="258"/>
      <c r="N76" s="107"/>
      <c r="O76" s="107"/>
      <c r="P76" s="107"/>
      <c r="Q76" s="104"/>
      <c r="R76" s="261"/>
      <c r="S76" s="104"/>
      <c r="T76" s="107"/>
      <c r="U76" s="107"/>
      <c r="V76" s="104"/>
    </row>
    <row r="77" spans="2:22">
      <c r="I77" s="107"/>
      <c r="J77" s="107"/>
      <c r="K77" s="153" t="s">
        <v>230</v>
      </c>
      <c r="L77" s="153">
        <f>L75-L78</f>
        <v>5650389</v>
      </c>
      <c r="M77" s="310"/>
      <c r="N77" s="153" t="s">
        <v>230</v>
      </c>
      <c r="O77" s="153">
        <f t="shared" ref="O77:Q77" si="46">O75-O78</f>
        <v>129508</v>
      </c>
      <c r="P77" s="248">
        <f>O77/$O$75</f>
        <v>0.44</v>
      </c>
      <c r="Q77" s="153">
        <f t="shared" si="46"/>
        <v>5779897</v>
      </c>
      <c r="R77" s="311"/>
      <c r="S77" s="153" t="s">
        <v>230</v>
      </c>
      <c r="T77" s="153">
        <f t="shared" ref="T77:V77" si="47">T75-T78</f>
        <v>106351</v>
      </c>
      <c r="U77" s="153"/>
      <c r="V77" s="153">
        <f t="shared" si="47"/>
        <v>5886248</v>
      </c>
    </row>
    <row r="78" spans="2:22">
      <c r="D78" s="9"/>
      <c r="E78" s="18"/>
      <c r="F78" s="18"/>
      <c r="G78" s="18"/>
      <c r="H78" s="18"/>
      <c r="I78" s="107"/>
      <c r="J78" s="107"/>
      <c r="K78" s="301" t="s">
        <v>231</v>
      </c>
      <c r="L78" s="301">
        <f>L73+L61+L54+L44+L46+L47+L20+L15+L12</f>
        <v>6604595</v>
      </c>
      <c r="M78" s="312"/>
      <c r="N78" s="301" t="s">
        <v>231</v>
      </c>
      <c r="O78" s="315">
        <f t="shared" ref="O78" si="48">O73+O61+O54+O44+O46+O47+O20+O15+O12</f>
        <v>166039</v>
      </c>
      <c r="P78" s="248">
        <f>O78/$O$75</f>
        <v>0.56000000000000005</v>
      </c>
      <c r="Q78" s="301">
        <f>Q73+Q61+Q54+Q44+Q46+Q47+Q20+Q15+Q12</f>
        <v>6770634</v>
      </c>
      <c r="R78" s="311"/>
      <c r="S78" s="301" t="s">
        <v>231</v>
      </c>
      <c r="T78" s="315">
        <f t="shared" ref="T78:V78" si="49">T73+T61+T54+T44+T46+T47+T20+T15+T12</f>
        <v>124579</v>
      </c>
      <c r="U78" s="301"/>
      <c r="V78" s="301">
        <f t="shared" si="49"/>
        <v>6895213</v>
      </c>
    </row>
    <row r="79" spans="2:22">
      <c r="G79" s="18"/>
      <c r="H79" s="18"/>
      <c r="I79" s="18"/>
      <c r="J79" s="18"/>
      <c r="K79" s="154"/>
      <c r="L79" s="100">
        <f>L77+L78</f>
        <v>12254984</v>
      </c>
      <c r="M79" s="313"/>
      <c r="N79" s="154"/>
      <c r="O79" s="154">
        <f>SUM(O77:O78)</f>
        <v>295547</v>
      </c>
      <c r="P79" s="154"/>
      <c r="Q79" s="100"/>
      <c r="R79" s="314"/>
      <c r="S79" s="100"/>
      <c r="T79" s="154">
        <f>SUM(T77:T78)</f>
        <v>230930</v>
      </c>
      <c r="U79" s="154"/>
      <c r="V79" s="100"/>
    </row>
    <row r="80" spans="2:22">
      <c r="E80" s="18"/>
      <c r="F80" s="18"/>
      <c r="G80" s="18"/>
      <c r="H80" s="18"/>
      <c r="I80" s="18"/>
      <c r="J80" s="18"/>
      <c r="K80" s="18"/>
      <c r="L80" s="17"/>
      <c r="M80" s="256"/>
      <c r="N80" s="18"/>
      <c r="O80" s="18"/>
      <c r="P80" s="18"/>
      <c r="Q80" s="17"/>
      <c r="R80" s="18"/>
      <c r="S80" s="17"/>
      <c r="T80" s="18"/>
      <c r="U80" s="18"/>
      <c r="V80" s="17"/>
    </row>
    <row r="81" spans="3:22">
      <c r="E81" s="18"/>
      <c r="F81" s="18"/>
      <c r="G81" s="18"/>
      <c r="H81" s="18"/>
      <c r="I81" s="18"/>
      <c r="J81" s="18"/>
      <c r="K81" s="18"/>
      <c r="L81" s="18"/>
      <c r="M81" s="256"/>
      <c r="N81" s="18"/>
      <c r="O81" s="18"/>
      <c r="P81" s="18"/>
      <c r="Q81" s="18"/>
      <c r="R81" s="18"/>
      <c r="S81" s="18"/>
      <c r="T81" s="18"/>
      <c r="U81" s="18"/>
      <c r="V81" s="18"/>
    </row>
    <row r="82" spans="3:22">
      <c r="E82" s="18"/>
      <c r="F82" s="18"/>
      <c r="G82" s="18"/>
      <c r="H82" s="18"/>
      <c r="I82" s="18"/>
      <c r="J82" s="18"/>
      <c r="K82" s="18"/>
      <c r="L82" s="18"/>
      <c r="M82" s="256"/>
      <c r="N82" s="18"/>
      <c r="O82" s="18"/>
      <c r="P82" s="18"/>
      <c r="Q82" s="18"/>
      <c r="R82" s="18"/>
      <c r="S82" s="18"/>
      <c r="T82" s="18"/>
      <c r="U82" s="18"/>
      <c r="V82" s="18"/>
    </row>
    <row r="83" spans="3:22">
      <c r="E83" s="18"/>
      <c r="F83" s="18"/>
      <c r="G83" s="18"/>
      <c r="H83" s="18"/>
      <c r="I83" s="18"/>
      <c r="J83" s="18"/>
      <c r="K83" s="18"/>
      <c r="L83" s="18"/>
      <c r="M83" s="256"/>
      <c r="N83" s="18"/>
      <c r="O83" s="18"/>
      <c r="P83" s="18"/>
      <c r="Q83" s="18"/>
      <c r="R83" s="18"/>
      <c r="S83" s="18"/>
      <c r="T83" s="18"/>
      <c r="U83" s="18"/>
      <c r="V83" s="18"/>
    </row>
    <row r="84" spans="3:22">
      <c r="E84" s="18"/>
      <c r="F84" s="18"/>
      <c r="G84" s="18"/>
      <c r="H84" s="18"/>
      <c r="I84" s="18"/>
      <c r="J84" s="18"/>
      <c r="K84" s="18"/>
      <c r="L84" s="18"/>
      <c r="M84" s="256"/>
      <c r="N84" s="18"/>
      <c r="O84" s="18"/>
      <c r="P84" s="18"/>
      <c r="Q84" s="18"/>
      <c r="R84" s="18"/>
      <c r="S84" s="18"/>
      <c r="T84" s="18"/>
      <c r="U84" s="18"/>
      <c r="V84" s="18"/>
    </row>
    <row r="85" spans="3:22">
      <c r="E85" s="18"/>
      <c r="F85" s="18"/>
      <c r="G85" s="18"/>
      <c r="H85" s="18"/>
      <c r="I85" s="18"/>
      <c r="J85" s="18"/>
      <c r="K85" s="18"/>
      <c r="L85" s="18"/>
      <c r="M85" s="256"/>
      <c r="N85" s="18"/>
      <c r="O85" s="18"/>
      <c r="P85" s="18"/>
      <c r="Q85" s="18"/>
      <c r="R85" s="18"/>
      <c r="S85" s="18"/>
      <c r="T85" s="18"/>
      <c r="U85" s="18"/>
      <c r="V85" s="18"/>
    </row>
    <row r="86" spans="3:22">
      <c r="L86" s="18"/>
      <c r="M86" s="256"/>
      <c r="Q86" s="18"/>
      <c r="R86" s="18"/>
      <c r="S86" s="18"/>
      <c r="V86" s="18"/>
    </row>
    <row r="87" spans="3:22">
      <c r="K87" s="153" t="s">
        <v>230</v>
      </c>
      <c r="L87" s="153">
        <v>5644910</v>
      </c>
      <c r="M87" s="310"/>
      <c r="N87" s="153" t="s">
        <v>230</v>
      </c>
      <c r="O87" s="153">
        <v>129382</v>
      </c>
      <c r="P87" s="248">
        <v>0.44</v>
      </c>
      <c r="Q87" s="153">
        <v>5774292</v>
      </c>
      <c r="R87" s="18"/>
      <c r="S87" s="18"/>
      <c r="V87" s="18"/>
    </row>
    <row r="88" spans="3:22">
      <c r="K88" s="301" t="s">
        <v>231</v>
      </c>
      <c r="L88" s="301">
        <v>6617444</v>
      </c>
      <c r="M88" s="312"/>
      <c r="N88" s="301" t="s">
        <v>231</v>
      </c>
      <c r="O88" s="315">
        <v>166363</v>
      </c>
      <c r="P88" s="248">
        <v>0.56000000000000005</v>
      </c>
      <c r="Q88" s="301">
        <v>6783807</v>
      </c>
      <c r="R88" s="18"/>
      <c r="S88" s="18"/>
      <c r="V88" s="18"/>
    </row>
    <row r="89" spans="3:22">
      <c r="K89" s="154"/>
      <c r="L89" s="100">
        <f>L87+L88</f>
        <v>12262354</v>
      </c>
      <c r="M89" s="313"/>
      <c r="N89" s="154"/>
      <c r="O89" s="154">
        <v>295745</v>
      </c>
      <c r="P89" s="154"/>
      <c r="Q89" s="100"/>
      <c r="R89" s="18"/>
      <c r="S89" s="18"/>
      <c r="V89" s="18"/>
    </row>
    <row r="90" spans="3:22">
      <c r="L90" s="18"/>
      <c r="M90" s="256"/>
      <c r="Q90" s="18"/>
      <c r="R90" s="18"/>
      <c r="S90" s="18"/>
      <c r="V90" s="18"/>
    </row>
    <row r="91" spans="3:22">
      <c r="L91" s="18">
        <f>L89-L79</f>
        <v>7370</v>
      </c>
      <c r="M91" s="256"/>
      <c r="Q91" s="18"/>
      <c r="R91" s="18"/>
      <c r="S91" s="18"/>
      <c r="V91" s="18"/>
    </row>
    <row r="92" spans="3:22">
      <c r="L92" s="18"/>
      <c r="M92" s="256"/>
      <c r="Q92" s="18"/>
      <c r="R92" s="18"/>
      <c r="S92" s="18"/>
      <c r="V92" s="18"/>
    </row>
    <row r="93" spans="3:22">
      <c r="C93" s="2"/>
      <c r="D93" s="2"/>
      <c r="L93" s="18"/>
      <c r="M93" s="256"/>
      <c r="Q93" s="18"/>
      <c r="R93" s="18"/>
      <c r="S93" s="18"/>
      <c r="V93" s="18"/>
    </row>
    <row r="94" spans="3:22">
      <c r="C94" s="2"/>
      <c r="D94" s="2"/>
      <c r="L94" s="18"/>
      <c r="M94" s="256"/>
      <c r="Q94" s="18"/>
      <c r="R94" s="18"/>
      <c r="S94" s="18"/>
      <c r="V94" s="18"/>
    </row>
    <row r="95" spans="3:22">
      <c r="C95" s="2"/>
      <c r="D95" s="2"/>
      <c r="L95" s="18"/>
      <c r="M95" s="256"/>
      <c r="Q95" s="18"/>
      <c r="R95" s="18"/>
      <c r="S95" s="18"/>
      <c r="V95" s="18"/>
    </row>
    <row r="96" spans="3:22">
      <c r="C96" s="2"/>
      <c r="D96" s="2"/>
      <c r="L96" s="18"/>
      <c r="M96" s="256"/>
      <c r="Q96" s="18"/>
      <c r="R96" s="18"/>
      <c r="S96" s="18"/>
      <c r="V96" s="18"/>
    </row>
    <row r="97" spans="3:22">
      <c r="C97" s="2"/>
      <c r="D97" s="2"/>
      <c r="L97" s="18"/>
      <c r="M97" s="256"/>
      <c r="Q97" s="18"/>
      <c r="R97" s="18"/>
      <c r="S97" s="18"/>
      <c r="V97" s="18"/>
    </row>
    <row r="98" spans="3:22">
      <c r="C98" s="2"/>
      <c r="D98" s="2"/>
      <c r="L98" s="18"/>
      <c r="M98" s="256"/>
      <c r="Q98" s="18"/>
      <c r="R98" s="18"/>
      <c r="S98" s="18"/>
      <c r="V98" s="18"/>
    </row>
    <row r="99" spans="3:22">
      <c r="C99" s="2"/>
      <c r="D99" s="2"/>
      <c r="L99" s="18"/>
      <c r="M99" s="256"/>
      <c r="Q99" s="18"/>
      <c r="R99" s="18"/>
      <c r="S99" s="18"/>
      <c r="V99" s="18"/>
    </row>
    <row r="100" spans="3:22">
      <c r="C100" s="2"/>
      <c r="D100" s="2"/>
      <c r="L100" s="18"/>
      <c r="M100" s="256"/>
      <c r="Q100" s="18"/>
      <c r="R100" s="18"/>
      <c r="S100" s="18"/>
      <c r="V100" s="18"/>
    </row>
    <row r="101" spans="3:22">
      <c r="C101" s="2"/>
      <c r="D101" s="2"/>
      <c r="L101" s="18"/>
      <c r="M101" s="256"/>
      <c r="Q101" s="18"/>
      <c r="R101" s="18"/>
      <c r="S101" s="18"/>
      <c r="V101" s="18"/>
    </row>
    <row r="102" spans="3:22">
      <c r="C102" s="2"/>
      <c r="D102" s="2"/>
      <c r="L102" s="18"/>
      <c r="M102" s="256"/>
      <c r="Q102" s="18"/>
      <c r="R102" s="18"/>
      <c r="S102" s="18"/>
      <c r="V102" s="18"/>
    </row>
    <row r="103" spans="3:22">
      <c r="C103" s="2"/>
      <c r="D103" s="2"/>
      <c r="L103" s="18"/>
      <c r="M103" s="256"/>
      <c r="Q103" s="18"/>
      <c r="R103" s="18"/>
      <c r="S103" s="18"/>
      <c r="V103" s="18"/>
    </row>
    <row r="104" spans="3:22">
      <c r="C104" s="2"/>
      <c r="D104" s="2"/>
      <c r="L104" s="18"/>
      <c r="M104" s="256"/>
      <c r="Q104" s="18"/>
      <c r="R104" s="18"/>
      <c r="S104" s="18"/>
      <c r="V104" s="18"/>
    </row>
    <row r="105" spans="3:22">
      <c r="C105" s="2"/>
      <c r="D105" s="2"/>
      <c r="L105" s="18"/>
      <c r="M105" s="256"/>
      <c r="Q105" s="18"/>
      <c r="R105" s="18"/>
      <c r="S105" s="18"/>
      <c r="V105" s="18"/>
    </row>
    <row r="106" spans="3:22">
      <c r="C106" s="2"/>
      <c r="D106" s="2"/>
      <c r="L106" s="18"/>
      <c r="M106" s="256"/>
      <c r="Q106" s="18"/>
      <c r="R106" s="18"/>
      <c r="S106" s="18"/>
      <c r="V106" s="18"/>
    </row>
    <row r="107" spans="3:22">
      <c r="E107" s="18"/>
      <c r="F107" s="18"/>
      <c r="G107" s="18"/>
      <c r="H107" s="18"/>
      <c r="I107" s="18"/>
      <c r="J107" s="18"/>
      <c r="K107" s="18"/>
      <c r="L107" s="18"/>
      <c r="M107" s="256"/>
      <c r="N107" s="18"/>
      <c r="O107" s="18"/>
      <c r="P107" s="18"/>
      <c r="Q107" s="18"/>
      <c r="R107" s="18"/>
      <c r="S107" s="18"/>
      <c r="T107" s="18"/>
      <c r="U107" s="18"/>
      <c r="V107" s="18"/>
    </row>
    <row r="108" spans="3:22">
      <c r="E108" s="18"/>
      <c r="F108" s="18"/>
      <c r="G108" s="18"/>
      <c r="H108" s="18"/>
      <c r="I108" s="18"/>
      <c r="J108" s="18"/>
      <c r="K108" s="18"/>
      <c r="L108" s="18"/>
      <c r="M108" s="256"/>
      <c r="N108" s="18"/>
      <c r="O108" s="18"/>
      <c r="P108" s="18"/>
      <c r="Q108" s="18"/>
      <c r="R108" s="18"/>
      <c r="S108" s="18"/>
      <c r="T108" s="18"/>
      <c r="U108" s="18"/>
      <c r="V108" s="18"/>
    </row>
    <row r="109" spans="3:22">
      <c r="E109" s="18"/>
      <c r="F109" s="18"/>
      <c r="G109" s="18"/>
      <c r="H109" s="18"/>
      <c r="I109" s="18"/>
      <c r="J109" s="18"/>
      <c r="K109" s="18"/>
      <c r="L109" s="18"/>
      <c r="M109" s="256"/>
      <c r="N109" s="18"/>
      <c r="O109" s="18"/>
      <c r="P109" s="18"/>
      <c r="Q109" s="18"/>
      <c r="R109" s="18"/>
      <c r="S109" s="18"/>
      <c r="T109" s="18"/>
      <c r="U109" s="18"/>
      <c r="V109" s="18"/>
    </row>
    <row r="110" spans="3:22">
      <c r="E110" s="18"/>
      <c r="F110" s="18"/>
      <c r="G110" s="18"/>
      <c r="H110" s="18"/>
      <c r="I110" s="18"/>
      <c r="J110" s="18"/>
      <c r="K110" s="18"/>
      <c r="L110" s="18"/>
      <c r="M110" s="256"/>
      <c r="N110" s="18"/>
      <c r="O110" s="18"/>
      <c r="P110" s="18"/>
      <c r="Q110" s="18"/>
      <c r="R110" s="18"/>
      <c r="S110" s="18"/>
      <c r="T110" s="18"/>
      <c r="U110" s="18"/>
      <c r="V110" s="18"/>
    </row>
    <row r="111" spans="3:22">
      <c r="E111" s="18"/>
      <c r="F111" s="18"/>
      <c r="G111" s="18"/>
      <c r="H111" s="18"/>
      <c r="I111" s="18"/>
      <c r="J111" s="18"/>
      <c r="K111" s="18"/>
      <c r="L111" s="18"/>
      <c r="M111" s="256"/>
      <c r="N111" s="18"/>
      <c r="O111" s="18"/>
      <c r="P111" s="18"/>
      <c r="Q111" s="18"/>
      <c r="R111" s="18"/>
      <c r="S111" s="18"/>
      <c r="T111" s="18"/>
      <c r="U111" s="18"/>
      <c r="V111" s="18"/>
    </row>
    <row r="112" spans="3:22">
      <c r="E112" s="18"/>
      <c r="F112" s="18"/>
      <c r="G112" s="18"/>
      <c r="H112" s="18"/>
      <c r="I112" s="18"/>
      <c r="J112" s="18"/>
      <c r="K112" s="18"/>
      <c r="L112" s="18"/>
      <c r="M112" s="256"/>
      <c r="N112" s="18"/>
      <c r="O112" s="18"/>
      <c r="P112" s="18"/>
      <c r="Q112" s="18"/>
      <c r="R112" s="18"/>
      <c r="S112" s="18"/>
      <c r="T112" s="18"/>
      <c r="U112" s="18"/>
      <c r="V112" s="18"/>
    </row>
    <row r="113" spans="5:22">
      <c r="E113" s="18"/>
      <c r="F113" s="18"/>
      <c r="G113" s="18"/>
      <c r="H113" s="18"/>
      <c r="I113" s="18"/>
      <c r="J113" s="18"/>
      <c r="K113" s="18"/>
      <c r="L113" s="18"/>
      <c r="M113" s="256"/>
      <c r="N113" s="18"/>
      <c r="O113" s="18"/>
      <c r="P113" s="18"/>
      <c r="Q113" s="18"/>
      <c r="R113" s="18"/>
      <c r="S113" s="18"/>
      <c r="T113" s="18"/>
      <c r="U113" s="18"/>
      <c r="V113" s="18"/>
    </row>
    <row r="114" spans="5:22">
      <c r="E114" s="18"/>
      <c r="F114" s="18"/>
      <c r="G114" s="18"/>
      <c r="H114" s="18"/>
      <c r="I114" s="18"/>
      <c r="J114" s="18"/>
      <c r="K114" s="18"/>
      <c r="L114" s="18"/>
      <c r="M114" s="256"/>
      <c r="N114" s="18"/>
      <c r="O114" s="18"/>
      <c r="P114" s="18"/>
      <c r="Q114" s="18"/>
      <c r="R114" s="18"/>
      <c r="S114" s="18"/>
      <c r="T114" s="18"/>
      <c r="U114" s="18"/>
      <c r="V114" s="18"/>
    </row>
    <row r="115" spans="5:22">
      <c r="E115" s="18"/>
      <c r="F115" s="18"/>
      <c r="G115" s="18"/>
      <c r="H115" s="18"/>
      <c r="I115" s="18"/>
      <c r="J115" s="18"/>
      <c r="K115" s="18"/>
      <c r="L115" s="18"/>
      <c r="M115" s="256"/>
      <c r="N115" s="18"/>
      <c r="O115" s="18"/>
      <c r="P115" s="18"/>
      <c r="Q115" s="18"/>
      <c r="R115" s="18"/>
      <c r="S115" s="18"/>
      <c r="T115" s="18"/>
      <c r="U115" s="18"/>
      <c r="V115" s="18"/>
    </row>
    <row r="116" spans="5:22">
      <c r="E116" s="18"/>
      <c r="F116" s="18"/>
      <c r="G116" s="18"/>
      <c r="H116" s="18"/>
      <c r="I116" s="18"/>
      <c r="J116" s="18"/>
      <c r="K116" s="18"/>
      <c r="L116" s="18"/>
      <c r="M116" s="256"/>
      <c r="N116" s="18"/>
      <c r="O116" s="18"/>
      <c r="P116" s="18"/>
      <c r="Q116" s="18"/>
      <c r="R116" s="18"/>
      <c r="S116" s="18"/>
      <c r="T116" s="18"/>
      <c r="U116" s="18"/>
      <c r="V116" s="18"/>
    </row>
    <row r="117" spans="5:22">
      <c r="E117" s="18"/>
      <c r="F117" s="18"/>
      <c r="G117" s="18"/>
      <c r="H117" s="18"/>
      <c r="I117" s="18"/>
      <c r="J117" s="18"/>
      <c r="K117" s="18"/>
      <c r="L117" s="18"/>
      <c r="M117" s="256"/>
      <c r="N117" s="18"/>
      <c r="O117" s="18"/>
      <c r="P117" s="18"/>
      <c r="Q117" s="18"/>
      <c r="R117" s="18"/>
      <c r="S117" s="18"/>
      <c r="T117" s="18"/>
      <c r="U117" s="18"/>
      <c r="V117" s="18"/>
    </row>
    <row r="118" spans="5:22">
      <c r="E118" s="18"/>
      <c r="F118" s="18"/>
      <c r="G118" s="18"/>
      <c r="H118" s="18"/>
      <c r="I118" s="18"/>
      <c r="J118" s="18"/>
      <c r="K118" s="18"/>
      <c r="L118" s="18"/>
      <c r="M118" s="256"/>
      <c r="N118" s="18"/>
      <c r="O118" s="18"/>
      <c r="P118" s="18"/>
      <c r="Q118" s="18"/>
      <c r="R118" s="18"/>
      <c r="S118" s="18"/>
      <c r="T118" s="18"/>
      <c r="U118" s="18"/>
      <c r="V118" s="18"/>
    </row>
    <row r="119" spans="5:22">
      <c r="E119" s="18"/>
      <c r="F119" s="18"/>
      <c r="G119" s="18"/>
      <c r="H119" s="18"/>
      <c r="I119" s="18"/>
      <c r="J119" s="18"/>
      <c r="K119" s="18"/>
      <c r="L119" s="18"/>
      <c r="M119" s="256"/>
      <c r="N119" s="18"/>
      <c r="O119" s="18"/>
      <c r="P119" s="18"/>
      <c r="Q119" s="18"/>
      <c r="R119" s="18"/>
      <c r="S119" s="18"/>
      <c r="T119" s="18"/>
      <c r="U119" s="18"/>
      <c r="V119" s="18"/>
    </row>
    <row r="120" spans="5:22">
      <c r="E120" s="18"/>
      <c r="F120" s="18"/>
      <c r="G120" s="18"/>
      <c r="H120" s="18"/>
      <c r="I120" s="18"/>
      <c r="J120" s="18"/>
      <c r="K120" s="18"/>
      <c r="L120" s="18"/>
      <c r="M120" s="256"/>
      <c r="N120" s="18"/>
      <c r="O120" s="18"/>
      <c r="P120" s="18"/>
      <c r="Q120" s="18"/>
      <c r="R120" s="18"/>
      <c r="S120" s="18"/>
      <c r="T120" s="18"/>
      <c r="U120" s="18"/>
      <c r="V120" s="18"/>
    </row>
    <row r="121" spans="5:22">
      <c r="E121" s="18"/>
      <c r="F121" s="18"/>
      <c r="G121" s="18"/>
      <c r="H121" s="18"/>
      <c r="I121" s="18"/>
      <c r="J121" s="18"/>
      <c r="K121" s="18"/>
      <c r="L121" s="18"/>
      <c r="M121" s="256"/>
      <c r="N121" s="18"/>
      <c r="O121" s="18"/>
      <c r="P121" s="18"/>
      <c r="Q121" s="18"/>
      <c r="R121" s="18"/>
      <c r="S121" s="18"/>
      <c r="T121" s="18"/>
      <c r="U121" s="18"/>
      <c r="V121" s="18"/>
    </row>
    <row r="122" spans="5:22">
      <c r="E122" s="18"/>
      <c r="F122" s="18"/>
      <c r="G122" s="18"/>
      <c r="H122" s="18"/>
      <c r="I122" s="18"/>
      <c r="J122" s="18"/>
      <c r="K122" s="18"/>
      <c r="L122" s="18"/>
      <c r="M122" s="256"/>
      <c r="N122" s="18"/>
      <c r="O122" s="18"/>
      <c r="P122" s="18"/>
      <c r="Q122" s="18"/>
      <c r="R122" s="18"/>
      <c r="S122" s="18"/>
      <c r="T122" s="18"/>
      <c r="U122" s="18"/>
      <c r="V122" s="18"/>
    </row>
    <row r="123" spans="5:22">
      <c r="E123" s="18"/>
      <c r="F123" s="18"/>
      <c r="G123" s="18"/>
      <c r="H123" s="18"/>
      <c r="I123" s="18"/>
      <c r="J123" s="18"/>
      <c r="K123" s="18"/>
      <c r="L123" s="18"/>
      <c r="M123" s="256"/>
      <c r="N123" s="18"/>
      <c r="O123" s="18"/>
      <c r="P123" s="18"/>
      <c r="Q123" s="18"/>
      <c r="R123" s="18"/>
      <c r="S123" s="18"/>
      <c r="T123" s="18"/>
      <c r="U123" s="18"/>
      <c r="V123" s="18"/>
    </row>
    <row r="124" spans="5:22">
      <c r="E124" s="18"/>
      <c r="F124" s="18"/>
      <c r="G124" s="18"/>
      <c r="H124" s="18"/>
      <c r="I124" s="18"/>
      <c r="J124" s="18"/>
      <c r="K124" s="18"/>
      <c r="L124" s="18"/>
      <c r="M124" s="256"/>
      <c r="N124" s="18"/>
      <c r="O124" s="18"/>
      <c r="P124" s="18"/>
      <c r="Q124" s="18"/>
      <c r="R124" s="18"/>
      <c r="S124" s="18"/>
      <c r="T124" s="18"/>
      <c r="U124" s="18"/>
      <c r="V124" s="18"/>
    </row>
    <row r="125" spans="5:22">
      <c r="E125" s="18"/>
      <c r="F125" s="18"/>
      <c r="G125" s="18"/>
      <c r="H125" s="18"/>
      <c r="I125" s="18"/>
      <c r="J125" s="18"/>
      <c r="K125" s="18"/>
      <c r="L125" s="18"/>
      <c r="M125" s="256"/>
      <c r="N125" s="18"/>
      <c r="O125" s="18"/>
      <c r="P125" s="18"/>
      <c r="Q125" s="18"/>
      <c r="R125" s="18"/>
      <c r="S125" s="18"/>
      <c r="T125" s="18"/>
      <c r="U125" s="18"/>
      <c r="V125" s="18"/>
    </row>
    <row r="126" spans="5:22">
      <c r="E126" s="18"/>
      <c r="F126" s="18"/>
      <c r="G126" s="18"/>
      <c r="H126" s="18"/>
      <c r="I126" s="18"/>
      <c r="J126" s="18"/>
      <c r="K126" s="18"/>
      <c r="L126" s="18"/>
      <c r="M126" s="256"/>
      <c r="N126" s="18"/>
      <c r="O126" s="18"/>
      <c r="P126" s="18"/>
      <c r="Q126" s="18"/>
      <c r="R126" s="18"/>
      <c r="S126" s="18"/>
      <c r="T126" s="18"/>
      <c r="U126" s="18"/>
      <c r="V126" s="18"/>
    </row>
    <row r="127" spans="5:22">
      <c r="E127" s="18"/>
      <c r="F127" s="18"/>
      <c r="G127" s="18"/>
      <c r="H127" s="18"/>
      <c r="I127" s="18"/>
      <c r="J127" s="18"/>
      <c r="K127" s="18"/>
      <c r="L127" s="18"/>
      <c r="M127" s="256"/>
      <c r="N127" s="18"/>
      <c r="O127" s="18"/>
      <c r="P127" s="18"/>
      <c r="Q127" s="18"/>
      <c r="R127" s="18"/>
      <c r="S127" s="18"/>
      <c r="T127" s="18"/>
      <c r="U127" s="18"/>
      <c r="V127" s="18"/>
    </row>
    <row r="128" spans="5:22">
      <c r="E128" s="18"/>
      <c r="F128" s="18"/>
      <c r="G128" s="18"/>
      <c r="H128" s="18"/>
      <c r="I128" s="18"/>
      <c r="J128" s="18"/>
      <c r="K128" s="18"/>
      <c r="L128" s="18"/>
      <c r="M128" s="256"/>
      <c r="N128" s="18"/>
      <c r="O128" s="18"/>
      <c r="P128" s="18"/>
      <c r="Q128" s="18"/>
      <c r="R128" s="18"/>
      <c r="S128" s="18"/>
      <c r="T128" s="18"/>
      <c r="U128" s="18"/>
      <c r="V128" s="18"/>
    </row>
    <row r="129" spans="5:22">
      <c r="E129" s="17"/>
      <c r="F129" s="17"/>
      <c r="G129" s="17"/>
      <c r="H129" s="17"/>
      <c r="I129" s="17"/>
      <c r="J129" s="17"/>
      <c r="K129" s="17"/>
      <c r="L129" s="18"/>
      <c r="M129" s="256"/>
      <c r="N129" s="17"/>
      <c r="O129" s="17"/>
      <c r="P129" s="17"/>
      <c r="Q129" s="18"/>
      <c r="R129" s="18"/>
      <c r="S129" s="18"/>
      <c r="T129" s="17"/>
      <c r="U129" s="17"/>
      <c r="V129" s="18"/>
    </row>
    <row r="130" spans="5:22">
      <c r="E130" s="17"/>
      <c r="F130" s="17"/>
      <c r="G130" s="17"/>
      <c r="H130" s="17"/>
      <c r="I130" s="17"/>
      <c r="J130" s="17"/>
      <c r="K130" s="17"/>
      <c r="L130" s="17"/>
      <c r="M130" s="256"/>
      <c r="N130" s="17"/>
      <c r="O130" s="17"/>
      <c r="P130" s="17"/>
      <c r="Q130" s="17"/>
      <c r="R130" s="18"/>
      <c r="S130" s="17"/>
      <c r="T130" s="17"/>
      <c r="U130" s="17"/>
      <c r="V130" s="17"/>
    </row>
    <row r="131" spans="5:22">
      <c r="E131" s="17"/>
      <c r="F131" s="17"/>
      <c r="G131" s="17"/>
      <c r="H131" s="17"/>
      <c r="I131" s="17"/>
      <c r="J131" s="17"/>
      <c r="K131" s="17"/>
      <c r="L131" s="17"/>
      <c r="M131" s="256"/>
      <c r="N131" s="17"/>
      <c r="O131" s="17"/>
      <c r="P131" s="17"/>
      <c r="Q131" s="17"/>
      <c r="R131" s="18"/>
      <c r="S131" s="17"/>
      <c r="T131" s="17"/>
      <c r="U131" s="17"/>
      <c r="V131" s="17"/>
    </row>
    <row r="132" spans="5:22">
      <c r="E132" s="17"/>
      <c r="F132" s="17"/>
      <c r="G132" s="17"/>
      <c r="H132" s="17"/>
      <c r="I132" s="17"/>
      <c r="J132" s="17"/>
      <c r="K132" s="17"/>
      <c r="L132" s="17"/>
      <c r="M132" s="256"/>
      <c r="N132" s="17"/>
      <c r="O132" s="17"/>
      <c r="P132" s="17"/>
      <c r="Q132" s="17"/>
      <c r="R132" s="18"/>
      <c r="S132" s="17"/>
      <c r="T132" s="17"/>
      <c r="U132" s="17"/>
      <c r="V132" s="17"/>
    </row>
    <row r="133" spans="5:22">
      <c r="E133" s="17"/>
      <c r="F133" s="17"/>
      <c r="G133" s="17"/>
      <c r="H133" s="17"/>
      <c r="I133" s="17"/>
      <c r="J133" s="17"/>
      <c r="K133" s="17"/>
      <c r="L133" s="17"/>
      <c r="M133" s="256"/>
      <c r="N133" s="17"/>
      <c r="O133" s="17"/>
      <c r="P133" s="17"/>
      <c r="Q133" s="17"/>
      <c r="R133" s="18"/>
      <c r="S133" s="17"/>
      <c r="T133" s="17"/>
      <c r="U133" s="17"/>
      <c r="V133" s="17"/>
    </row>
    <row r="134" spans="5:22">
      <c r="E134" s="17"/>
      <c r="F134" s="17"/>
      <c r="G134" s="17"/>
      <c r="H134" s="17"/>
      <c r="I134" s="17"/>
      <c r="J134" s="17"/>
      <c r="K134" s="17"/>
      <c r="L134" s="17"/>
      <c r="M134" s="256"/>
      <c r="N134" s="17"/>
      <c r="O134" s="17"/>
      <c r="P134" s="17"/>
      <c r="Q134" s="17"/>
      <c r="R134" s="18"/>
      <c r="S134" s="17"/>
      <c r="T134" s="17"/>
      <c r="U134" s="17"/>
      <c r="V134" s="17"/>
    </row>
    <row r="135" spans="5:22">
      <c r="E135" s="17"/>
      <c r="F135" s="17"/>
      <c r="G135" s="17"/>
      <c r="H135" s="17"/>
      <c r="I135" s="17"/>
      <c r="J135" s="17"/>
      <c r="K135" s="17"/>
      <c r="L135" s="17"/>
      <c r="M135" s="256"/>
      <c r="N135" s="17"/>
      <c r="O135" s="17"/>
      <c r="P135" s="17"/>
      <c r="Q135" s="17"/>
      <c r="R135" s="18"/>
      <c r="S135" s="17"/>
      <c r="T135" s="17"/>
      <c r="U135" s="17"/>
      <c r="V135" s="17"/>
    </row>
    <row r="136" spans="5:22">
      <c r="E136" s="17"/>
      <c r="F136" s="17"/>
      <c r="G136" s="17"/>
      <c r="H136" s="17"/>
      <c r="I136" s="17"/>
      <c r="J136" s="17"/>
      <c r="K136" s="17"/>
      <c r="L136" s="17"/>
      <c r="M136" s="256"/>
      <c r="N136" s="17"/>
      <c r="O136" s="17"/>
      <c r="P136" s="17"/>
      <c r="Q136" s="17"/>
      <c r="R136" s="18"/>
      <c r="S136" s="17"/>
      <c r="T136" s="17"/>
      <c r="U136" s="17"/>
      <c r="V136" s="17"/>
    </row>
    <row r="137" spans="5:22">
      <c r="E137" s="17"/>
      <c r="F137" s="17"/>
      <c r="G137" s="17"/>
      <c r="H137" s="17"/>
      <c r="I137" s="17"/>
      <c r="J137" s="17"/>
      <c r="K137" s="17"/>
      <c r="L137" s="17"/>
      <c r="M137" s="256"/>
      <c r="N137" s="17"/>
      <c r="O137" s="17"/>
      <c r="P137" s="17"/>
      <c r="Q137" s="17"/>
      <c r="R137" s="18"/>
      <c r="S137" s="17"/>
      <c r="T137" s="17"/>
      <c r="U137" s="17"/>
      <c r="V137" s="17"/>
    </row>
    <row r="138" spans="5:22">
      <c r="E138" s="17"/>
      <c r="F138" s="17"/>
      <c r="G138" s="17"/>
      <c r="H138" s="17"/>
      <c r="I138" s="17"/>
      <c r="J138" s="17"/>
      <c r="K138" s="17"/>
      <c r="L138" s="17"/>
      <c r="M138" s="256"/>
      <c r="N138" s="17"/>
      <c r="O138" s="17"/>
      <c r="P138" s="17"/>
      <c r="Q138" s="17"/>
      <c r="R138" s="18"/>
      <c r="S138" s="17"/>
      <c r="T138" s="17"/>
      <c r="U138" s="17"/>
      <c r="V138" s="17"/>
    </row>
    <row r="139" spans="5:22">
      <c r="E139" s="17"/>
      <c r="F139" s="17"/>
      <c r="G139" s="17"/>
      <c r="H139" s="17"/>
      <c r="I139" s="17"/>
      <c r="J139" s="17"/>
      <c r="K139" s="17"/>
      <c r="L139" s="17"/>
      <c r="M139" s="256"/>
      <c r="N139" s="17"/>
      <c r="O139" s="17"/>
      <c r="P139" s="17"/>
      <c r="Q139" s="17"/>
      <c r="R139" s="18"/>
      <c r="S139" s="17"/>
      <c r="T139" s="17"/>
      <c r="U139" s="17"/>
      <c r="V139" s="17"/>
    </row>
    <row r="140" spans="5:22">
      <c r="E140" s="17"/>
      <c r="F140" s="17"/>
      <c r="G140" s="17"/>
      <c r="H140" s="17"/>
      <c r="I140" s="17"/>
      <c r="J140" s="17"/>
      <c r="K140" s="17"/>
      <c r="L140" s="17"/>
      <c r="M140" s="256"/>
      <c r="N140" s="17"/>
      <c r="O140" s="17"/>
      <c r="P140" s="17"/>
      <c r="Q140" s="17"/>
      <c r="R140" s="18"/>
      <c r="S140" s="17"/>
      <c r="T140" s="17"/>
      <c r="U140" s="17"/>
      <c r="V140" s="17"/>
    </row>
    <row r="141" spans="5:22">
      <c r="E141" s="17"/>
      <c r="F141" s="17"/>
      <c r="G141" s="17"/>
      <c r="H141" s="17"/>
      <c r="I141" s="17"/>
      <c r="J141" s="17"/>
      <c r="K141" s="17"/>
      <c r="L141" s="17"/>
      <c r="M141" s="256"/>
      <c r="N141" s="17"/>
      <c r="O141" s="17"/>
      <c r="P141" s="17"/>
      <c r="Q141" s="17"/>
      <c r="R141" s="18"/>
      <c r="S141" s="17"/>
      <c r="T141" s="17"/>
      <c r="U141" s="17"/>
      <c r="V141" s="17"/>
    </row>
    <row r="142" spans="5:22">
      <c r="E142" s="17"/>
      <c r="F142" s="17"/>
      <c r="G142" s="17"/>
      <c r="H142" s="17"/>
      <c r="I142" s="17"/>
      <c r="J142" s="17"/>
      <c r="K142" s="17"/>
      <c r="L142" s="17"/>
      <c r="M142" s="256"/>
      <c r="N142" s="17"/>
      <c r="O142" s="17"/>
      <c r="P142" s="17"/>
      <c r="Q142" s="17"/>
      <c r="R142" s="18"/>
      <c r="S142" s="17"/>
      <c r="T142" s="17"/>
      <c r="U142" s="17"/>
      <c r="V142" s="17"/>
    </row>
    <row r="143" spans="5:22">
      <c r="E143" s="17"/>
      <c r="F143" s="17"/>
      <c r="G143" s="17"/>
      <c r="H143" s="17"/>
      <c r="I143" s="17"/>
      <c r="J143" s="17"/>
      <c r="K143" s="17"/>
      <c r="L143" s="17"/>
      <c r="M143" s="256"/>
      <c r="N143" s="17"/>
      <c r="O143" s="17"/>
      <c r="P143" s="17"/>
      <c r="Q143" s="17"/>
      <c r="R143" s="18"/>
      <c r="S143" s="17"/>
      <c r="T143" s="17"/>
      <c r="U143" s="17"/>
      <c r="V143" s="17"/>
    </row>
    <row r="144" spans="5:22">
      <c r="E144" s="17"/>
      <c r="F144" s="17"/>
      <c r="G144" s="17"/>
      <c r="H144" s="17"/>
      <c r="I144" s="17"/>
      <c r="J144" s="17"/>
      <c r="K144" s="17"/>
      <c r="L144" s="17"/>
      <c r="M144" s="256"/>
      <c r="N144" s="17"/>
      <c r="O144" s="17"/>
      <c r="P144" s="17"/>
      <c r="Q144" s="17"/>
      <c r="R144" s="18"/>
      <c r="S144" s="17"/>
      <c r="T144" s="17"/>
      <c r="U144" s="17"/>
      <c r="V144" s="17"/>
    </row>
    <row r="145" spans="5:22">
      <c r="E145" s="17"/>
      <c r="F145" s="17"/>
      <c r="G145" s="17"/>
      <c r="H145" s="17"/>
      <c r="I145" s="17"/>
      <c r="J145" s="17"/>
      <c r="K145" s="17"/>
      <c r="L145" s="17"/>
      <c r="M145" s="256"/>
      <c r="N145" s="17"/>
      <c r="O145" s="17"/>
      <c r="P145" s="17"/>
      <c r="Q145" s="17"/>
      <c r="R145" s="18"/>
      <c r="S145" s="17"/>
      <c r="T145" s="17"/>
      <c r="U145" s="17"/>
      <c r="V145" s="17"/>
    </row>
    <row r="146" spans="5:22">
      <c r="E146" s="17"/>
      <c r="F146" s="17"/>
      <c r="G146" s="17"/>
      <c r="H146" s="17"/>
      <c r="I146" s="17"/>
      <c r="J146" s="17"/>
      <c r="K146" s="17"/>
      <c r="L146" s="17"/>
      <c r="M146" s="256"/>
      <c r="N146" s="17"/>
      <c r="O146" s="17"/>
      <c r="P146" s="17"/>
      <c r="Q146" s="17"/>
      <c r="R146" s="18"/>
      <c r="S146" s="17"/>
      <c r="T146" s="17"/>
      <c r="U146" s="17"/>
      <c r="V146" s="17"/>
    </row>
    <row r="147" spans="5:22">
      <c r="E147" s="17"/>
      <c r="F147" s="17"/>
      <c r="G147" s="17"/>
      <c r="H147" s="17"/>
      <c r="I147" s="17"/>
      <c r="J147" s="17"/>
      <c r="K147" s="17"/>
      <c r="L147" s="17"/>
      <c r="M147" s="256"/>
      <c r="N147" s="17"/>
      <c r="O147" s="17"/>
      <c r="P147" s="17"/>
      <c r="Q147" s="17"/>
      <c r="R147" s="18"/>
      <c r="S147" s="17"/>
      <c r="T147" s="17"/>
      <c r="U147" s="17"/>
      <c r="V147" s="17"/>
    </row>
    <row r="148" spans="5:22">
      <c r="E148" s="17"/>
      <c r="F148" s="17"/>
      <c r="G148" s="17"/>
      <c r="H148" s="17"/>
      <c r="I148" s="17"/>
      <c r="J148" s="17"/>
      <c r="K148" s="17"/>
      <c r="L148" s="17"/>
      <c r="M148" s="256"/>
      <c r="N148" s="17"/>
      <c r="O148" s="17"/>
      <c r="P148" s="17"/>
      <c r="Q148" s="17"/>
      <c r="R148" s="18"/>
      <c r="S148" s="17"/>
      <c r="T148" s="17"/>
      <c r="U148" s="17"/>
      <c r="V148" s="17"/>
    </row>
    <row r="149" spans="5:22">
      <c r="E149" s="17"/>
      <c r="F149" s="17"/>
      <c r="G149" s="17"/>
      <c r="H149" s="17"/>
      <c r="I149" s="17"/>
      <c r="J149" s="17"/>
      <c r="K149" s="17"/>
      <c r="L149" s="17"/>
      <c r="M149" s="256"/>
      <c r="N149" s="17"/>
      <c r="O149" s="17"/>
      <c r="P149" s="17"/>
      <c r="Q149" s="17"/>
      <c r="R149" s="18"/>
      <c r="S149" s="17"/>
      <c r="T149" s="17"/>
      <c r="U149" s="17"/>
      <c r="V149" s="17"/>
    </row>
    <row r="150" spans="5:22">
      <c r="E150" s="17"/>
      <c r="F150" s="17"/>
      <c r="G150" s="17"/>
      <c r="H150" s="17"/>
      <c r="I150" s="17"/>
      <c r="J150" s="17"/>
      <c r="K150" s="17"/>
      <c r="L150" s="17"/>
      <c r="M150" s="256"/>
      <c r="N150" s="17"/>
      <c r="O150" s="17"/>
      <c r="P150" s="17"/>
      <c r="Q150" s="17"/>
      <c r="R150" s="18"/>
      <c r="S150" s="17"/>
      <c r="T150" s="17"/>
      <c r="U150" s="17"/>
      <c r="V150" s="17"/>
    </row>
    <row r="151" spans="5:22">
      <c r="E151" s="17"/>
      <c r="F151" s="17"/>
      <c r="G151" s="17"/>
      <c r="H151" s="17"/>
      <c r="I151" s="17"/>
      <c r="J151" s="17"/>
      <c r="K151" s="17"/>
      <c r="L151" s="17"/>
      <c r="M151" s="256"/>
      <c r="N151" s="17"/>
      <c r="O151" s="17"/>
      <c r="P151" s="17"/>
      <c r="Q151" s="17"/>
      <c r="R151" s="18"/>
      <c r="S151" s="17"/>
      <c r="T151" s="17"/>
      <c r="U151" s="17"/>
      <c r="V151" s="17"/>
    </row>
    <row r="152" spans="5:22">
      <c r="E152" s="17"/>
      <c r="F152" s="17"/>
      <c r="G152" s="17"/>
      <c r="H152" s="17"/>
      <c r="I152" s="17"/>
      <c r="J152" s="17"/>
      <c r="K152" s="17"/>
      <c r="L152" s="17"/>
      <c r="M152" s="256"/>
      <c r="N152" s="17"/>
      <c r="O152" s="17"/>
      <c r="P152" s="17"/>
      <c r="Q152" s="17"/>
      <c r="R152" s="18"/>
      <c r="S152" s="17"/>
      <c r="T152" s="17"/>
      <c r="U152" s="17"/>
      <c r="V152" s="17"/>
    </row>
    <row r="153" spans="5:22">
      <c r="E153" s="17"/>
      <c r="F153" s="17"/>
      <c r="G153" s="17"/>
      <c r="H153" s="17"/>
      <c r="I153" s="17"/>
      <c r="J153" s="17"/>
      <c r="K153" s="17"/>
      <c r="L153" s="17"/>
      <c r="M153" s="256"/>
      <c r="N153" s="17"/>
      <c r="O153" s="17"/>
      <c r="P153" s="17"/>
      <c r="Q153" s="17"/>
      <c r="R153" s="18"/>
      <c r="S153" s="17"/>
      <c r="T153" s="17"/>
      <c r="U153" s="17"/>
      <c r="V153" s="17"/>
    </row>
    <row r="154" spans="5:22">
      <c r="E154" s="17"/>
      <c r="F154" s="17"/>
      <c r="G154" s="17"/>
      <c r="H154" s="17"/>
      <c r="I154" s="17"/>
      <c r="J154" s="17"/>
      <c r="K154" s="17"/>
      <c r="L154" s="17"/>
      <c r="M154" s="256"/>
      <c r="N154" s="17"/>
      <c r="O154" s="17"/>
      <c r="P154" s="17"/>
      <c r="Q154" s="17"/>
      <c r="R154" s="18"/>
      <c r="S154" s="17"/>
      <c r="T154" s="17"/>
      <c r="U154" s="17"/>
      <c r="V154" s="17"/>
    </row>
    <row r="155" spans="5:22">
      <c r="E155" s="17"/>
      <c r="F155" s="17"/>
      <c r="G155" s="17"/>
      <c r="H155" s="17"/>
      <c r="I155" s="17"/>
      <c r="J155" s="17"/>
      <c r="K155" s="17"/>
      <c r="L155" s="17"/>
      <c r="M155" s="256"/>
      <c r="N155" s="17"/>
      <c r="O155" s="17"/>
      <c r="P155" s="17"/>
      <c r="Q155" s="17"/>
      <c r="R155" s="18"/>
      <c r="S155" s="17"/>
      <c r="T155" s="17"/>
      <c r="U155" s="17"/>
      <c r="V155" s="17"/>
    </row>
    <row r="156" spans="5:22">
      <c r="E156" s="17"/>
      <c r="F156" s="17"/>
      <c r="G156" s="17"/>
      <c r="H156" s="17"/>
      <c r="I156" s="17"/>
      <c r="J156" s="17"/>
      <c r="K156" s="17"/>
      <c r="L156" s="17"/>
      <c r="M156" s="256"/>
      <c r="N156" s="17"/>
      <c r="O156" s="17"/>
      <c r="P156" s="17"/>
      <c r="Q156" s="17"/>
      <c r="R156" s="18"/>
      <c r="S156" s="17"/>
      <c r="T156" s="17"/>
      <c r="U156" s="17"/>
      <c r="V156" s="17"/>
    </row>
    <row r="157" spans="5:22">
      <c r="E157" s="17"/>
      <c r="F157" s="17"/>
      <c r="G157" s="17"/>
      <c r="H157" s="17"/>
      <c r="I157" s="17"/>
      <c r="J157" s="17"/>
      <c r="K157" s="17"/>
      <c r="L157" s="17"/>
      <c r="M157" s="256"/>
      <c r="N157" s="17"/>
      <c r="O157" s="17"/>
      <c r="P157" s="17"/>
      <c r="Q157" s="17"/>
      <c r="R157" s="18"/>
      <c r="S157" s="17"/>
      <c r="T157" s="17"/>
      <c r="U157" s="17"/>
      <c r="V157" s="17"/>
    </row>
    <row r="158" spans="5:22">
      <c r="E158" s="17"/>
      <c r="F158" s="17"/>
      <c r="G158" s="17"/>
      <c r="H158" s="17"/>
      <c r="I158" s="17"/>
      <c r="J158" s="17"/>
      <c r="K158" s="17"/>
      <c r="L158" s="17"/>
      <c r="M158" s="256"/>
      <c r="N158" s="17"/>
      <c r="O158" s="17"/>
      <c r="P158" s="17"/>
      <c r="Q158" s="17"/>
      <c r="R158" s="18"/>
      <c r="S158" s="17"/>
      <c r="T158" s="17"/>
      <c r="U158" s="17"/>
      <c r="V158" s="17"/>
    </row>
    <row r="159" spans="5:22">
      <c r="E159" s="17"/>
      <c r="F159" s="17"/>
      <c r="G159" s="17"/>
      <c r="H159" s="17"/>
      <c r="I159" s="17"/>
      <c r="J159" s="17"/>
      <c r="K159" s="17"/>
      <c r="L159" s="17"/>
      <c r="M159" s="256"/>
      <c r="N159" s="17"/>
      <c r="O159" s="17"/>
      <c r="P159" s="17"/>
      <c r="Q159" s="17"/>
      <c r="R159" s="18"/>
      <c r="S159" s="17"/>
      <c r="T159" s="17"/>
      <c r="U159" s="17"/>
      <c r="V159" s="17"/>
    </row>
    <row r="160" spans="5:22">
      <c r="E160" s="17"/>
      <c r="F160" s="17"/>
      <c r="G160" s="17"/>
      <c r="H160" s="17"/>
      <c r="I160" s="17"/>
      <c r="J160" s="17"/>
      <c r="K160" s="17"/>
      <c r="L160" s="17"/>
      <c r="M160" s="256"/>
      <c r="N160" s="17"/>
      <c r="O160" s="17"/>
      <c r="P160" s="17"/>
      <c r="Q160" s="17"/>
      <c r="R160" s="18"/>
      <c r="S160" s="17"/>
      <c r="T160" s="17"/>
      <c r="U160" s="17"/>
      <c r="V160" s="17"/>
    </row>
    <row r="161" spans="5:22">
      <c r="E161" s="17"/>
      <c r="F161" s="17"/>
      <c r="G161" s="17"/>
      <c r="H161" s="17"/>
      <c r="I161" s="17"/>
      <c r="J161" s="17"/>
      <c r="K161" s="17"/>
      <c r="L161" s="17"/>
      <c r="M161" s="256"/>
      <c r="N161" s="17"/>
      <c r="O161" s="17"/>
      <c r="P161" s="17"/>
      <c r="Q161" s="17"/>
      <c r="R161" s="18"/>
      <c r="S161" s="17"/>
      <c r="T161" s="17"/>
      <c r="U161" s="17"/>
      <c r="V161" s="17"/>
    </row>
    <row r="162" spans="5:22">
      <c r="E162" s="17"/>
      <c r="F162" s="17"/>
      <c r="G162" s="17"/>
      <c r="H162" s="17"/>
      <c r="I162" s="17"/>
      <c r="J162" s="17"/>
      <c r="K162" s="17"/>
      <c r="L162" s="17"/>
      <c r="M162" s="256"/>
      <c r="N162" s="17"/>
      <c r="O162" s="17"/>
      <c r="P162" s="17"/>
      <c r="Q162" s="17"/>
      <c r="R162" s="18"/>
      <c r="S162" s="17"/>
      <c r="T162" s="17"/>
      <c r="U162" s="17"/>
      <c r="V162" s="17"/>
    </row>
    <row r="163" spans="5:22">
      <c r="E163" s="17"/>
      <c r="F163" s="17"/>
      <c r="G163" s="17"/>
      <c r="H163" s="17"/>
      <c r="I163" s="17"/>
      <c r="J163" s="17"/>
      <c r="K163" s="17"/>
      <c r="L163" s="17"/>
      <c r="M163" s="256"/>
      <c r="N163" s="17"/>
      <c r="O163" s="17"/>
      <c r="P163" s="17"/>
      <c r="Q163" s="17"/>
      <c r="R163" s="18"/>
      <c r="S163" s="17"/>
      <c r="T163" s="17"/>
      <c r="U163" s="17"/>
      <c r="V163" s="17"/>
    </row>
    <row r="164" spans="5:22">
      <c r="E164" s="17"/>
      <c r="F164" s="17"/>
      <c r="G164" s="17"/>
      <c r="H164" s="17"/>
      <c r="I164" s="17"/>
      <c r="J164" s="17"/>
      <c r="K164" s="17"/>
      <c r="L164" s="17"/>
      <c r="M164" s="256"/>
      <c r="N164" s="17"/>
      <c r="O164" s="17"/>
      <c r="P164" s="17"/>
      <c r="Q164" s="17"/>
      <c r="R164" s="18"/>
      <c r="S164" s="17"/>
      <c r="T164" s="17"/>
      <c r="U164" s="17"/>
      <c r="V164" s="17"/>
    </row>
    <row r="165" spans="5:22">
      <c r="E165" s="17"/>
      <c r="F165" s="17"/>
      <c r="G165" s="17"/>
      <c r="H165" s="17"/>
      <c r="I165" s="17"/>
      <c r="J165" s="17"/>
      <c r="K165" s="17"/>
      <c r="L165" s="17"/>
      <c r="M165" s="256"/>
      <c r="N165" s="17"/>
      <c r="O165" s="17"/>
      <c r="P165" s="17"/>
      <c r="Q165" s="17"/>
      <c r="R165" s="18"/>
      <c r="S165" s="17"/>
      <c r="T165" s="17"/>
      <c r="U165" s="17"/>
      <c r="V165" s="17"/>
    </row>
    <row r="166" spans="5:22">
      <c r="E166" s="17"/>
      <c r="F166" s="17"/>
      <c r="G166" s="17"/>
      <c r="H166" s="17"/>
      <c r="I166" s="17"/>
      <c r="J166" s="17"/>
      <c r="K166" s="17"/>
      <c r="L166" s="17"/>
      <c r="M166" s="256"/>
      <c r="N166" s="17"/>
      <c r="O166" s="17"/>
      <c r="P166" s="17"/>
      <c r="Q166" s="17"/>
      <c r="R166" s="18"/>
      <c r="S166" s="17"/>
      <c r="T166" s="17"/>
      <c r="U166" s="17"/>
      <c r="V166" s="17"/>
    </row>
    <row r="167" spans="5:22">
      <c r="E167" s="17"/>
      <c r="F167" s="17"/>
      <c r="G167" s="17"/>
      <c r="H167" s="17"/>
      <c r="I167" s="17"/>
      <c r="J167" s="17"/>
      <c r="K167" s="17"/>
      <c r="L167" s="17"/>
      <c r="M167" s="256"/>
      <c r="N167" s="17"/>
      <c r="O167" s="17"/>
      <c r="P167" s="17"/>
      <c r="Q167" s="17"/>
      <c r="R167" s="18"/>
      <c r="S167" s="17"/>
      <c r="T167" s="17"/>
      <c r="U167" s="17"/>
      <c r="V167" s="17"/>
    </row>
    <row r="168" spans="5:22">
      <c r="E168" s="17"/>
      <c r="F168" s="17"/>
      <c r="G168" s="17"/>
      <c r="H168" s="17"/>
      <c r="I168" s="17"/>
      <c r="J168" s="17"/>
      <c r="K168" s="17"/>
      <c r="L168" s="17"/>
      <c r="M168" s="256"/>
      <c r="N168" s="17"/>
      <c r="O168" s="17"/>
      <c r="P168" s="17"/>
      <c r="Q168" s="17"/>
      <c r="R168" s="18"/>
      <c r="S168" s="17"/>
      <c r="T168" s="17"/>
      <c r="U168" s="17"/>
      <c r="V168" s="17"/>
    </row>
    <row r="169" spans="5:22">
      <c r="E169" s="17"/>
      <c r="F169" s="17"/>
      <c r="G169" s="17"/>
      <c r="H169" s="17"/>
      <c r="I169" s="17"/>
      <c r="J169" s="17"/>
      <c r="K169" s="17"/>
      <c r="L169" s="17"/>
      <c r="M169" s="256"/>
      <c r="N169" s="17"/>
      <c r="O169" s="17"/>
      <c r="P169" s="17"/>
      <c r="Q169" s="17"/>
      <c r="R169" s="18"/>
      <c r="S169" s="17"/>
      <c r="T169" s="17"/>
      <c r="U169" s="17"/>
      <c r="V169" s="17"/>
    </row>
    <row r="170" spans="5:22">
      <c r="E170" s="17"/>
      <c r="F170" s="17"/>
      <c r="G170" s="17"/>
      <c r="H170" s="17"/>
      <c r="I170" s="17"/>
      <c r="J170" s="17"/>
      <c r="K170" s="17"/>
      <c r="L170" s="17"/>
      <c r="M170" s="256"/>
      <c r="N170" s="17"/>
      <c r="O170" s="17"/>
      <c r="P170" s="17"/>
      <c r="Q170" s="17"/>
      <c r="R170" s="18"/>
      <c r="S170" s="17"/>
      <c r="T170" s="17"/>
      <c r="U170" s="17"/>
      <c r="V170" s="17"/>
    </row>
    <row r="171" spans="5:22">
      <c r="E171" s="17"/>
      <c r="F171" s="17"/>
      <c r="G171" s="17"/>
      <c r="H171" s="17"/>
      <c r="I171" s="17"/>
      <c r="J171" s="17"/>
      <c r="K171" s="17"/>
      <c r="L171" s="17"/>
      <c r="M171" s="256"/>
      <c r="N171" s="17"/>
      <c r="O171" s="17"/>
      <c r="P171" s="17"/>
      <c r="Q171" s="17"/>
      <c r="R171" s="18"/>
      <c r="S171" s="17"/>
      <c r="T171" s="17"/>
      <c r="U171" s="17"/>
      <c r="V171" s="17"/>
    </row>
    <row r="172" spans="5:22">
      <c r="E172" s="17"/>
      <c r="F172" s="17"/>
      <c r="G172" s="17"/>
      <c r="H172" s="17"/>
      <c r="I172" s="17"/>
      <c r="J172" s="17"/>
      <c r="K172" s="17"/>
      <c r="L172" s="17"/>
      <c r="M172" s="256"/>
      <c r="N172" s="17"/>
      <c r="O172" s="17"/>
      <c r="P172" s="17"/>
      <c r="Q172" s="17"/>
      <c r="R172" s="18"/>
      <c r="S172" s="17"/>
      <c r="T172" s="17"/>
      <c r="U172" s="17"/>
      <c r="V172" s="17"/>
    </row>
    <row r="173" spans="5:22">
      <c r="E173" s="17"/>
      <c r="F173" s="17"/>
      <c r="G173" s="17"/>
      <c r="H173" s="17"/>
      <c r="I173" s="17"/>
      <c r="J173" s="17"/>
      <c r="K173" s="17"/>
      <c r="L173" s="17"/>
      <c r="M173" s="256"/>
      <c r="N173" s="17"/>
      <c r="O173" s="17"/>
      <c r="P173" s="17"/>
      <c r="Q173" s="17"/>
      <c r="R173" s="18"/>
      <c r="S173" s="17"/>
      <c r="T173" s="17"/>
      <c r="U173" s="17"/>
      <c r="V173" s="17"/>
    </row>
    <row r="174" spans="5:22">
      <c r="E174" s="17"/>
      <c r="F174" s="17"/>
      <c r="G174" s="17"/>
      <c r="H174" s="17"/>
      <c r="I174" s="17"/>
      <c r="J174" s="17"/>
      <c r="K174" s="17"/>
      <c r="L174" s="17"/>
      <c r="M174" s="256"/>
      <c r="N174" s="17"/>
      <c r="O174" s="17"/>
      <c r="P174" s="17"/>
      <c r="Q174" s="17"/>
      <c r="R174" s="18"/>
      <c r="S174" s="17"/>
      <c r="T174" s="17"/>
      <c r="U174" s="17"/>
      <c r="V174" s="17"/>
    </row>
    <row r="175" spans="5:22">
      <c r="E175" s="17"/>
      <c r="F175" s="17"/>
      <c r="G175" s="17"/>
      <c r="H175" s="17"/>
      <c r="I175" s="17"/>
      <c r="J175" s="17"/>
      <c r="K175" s="17"/>
      <c r="L175" s="17"/>
      <c r="M175" s="256"/>
      <c r="N175" s="17"/>
      <c r="O175" s="17"/>
      <c r="P175" s="17"/>
      <c r="Q175" s="17"/>
      <c r="R175" s="18"/>
      <c r="S175" s="17"/>
      <c r="T175" s="17"/>
      <c r="U175" s="17"/>
      <c r="V175" s="17"/>
    </row>
    <row r="176" spans="5:22">
      <c r="E176" s="17"/>
      <c r="F176" s="17"/>
      <c r="G176" s="17"/>
      <c r="H176" s="17"/>
      <c r="I176" s="17"/>
      <c r="J176" s="17"/>
      <c r="K176" s="17"/>
      <c r="L176" s="17"/>
      <c r="M176" s="256"/>
      <c r="N176" s="17"/>
      <c r="O176" s="17"/>
      <c r="P176" s="17"/>
      <c r="Q176" s="17"/>
      <c r="R176" s="18"/>
      <c r="S176" s="17"/>
      <c r="T176" s="17"/>
      <c r="U176" s="17"/>
      <c r="V176" s="17"/>
    </row>
    <row r="177" spans="5:22">
      <c r="E177" s="17"/>
      <c r="F177" s="17"/>
      <c r="G177" s="17"/>
      <c r="H177" s="17"/>
      <c r="I177" s="17"/>
      <c r="J177" s="17"/>
      <c r="K177" s="17"/>
      <c r="L177" s="17"/>
      <c r="M177" s="256"/>
      <c r="N177" s="17"/>
      <c r="O177" s="17"/>
      <c r="P177" s="17"/>
      <c r="Q177" s="17"/>
      <c r="R177" s="18"/>
      <c r="S177" s="17"/>
      <c r="T177" s="17"/>
      <c r="U177" s="17"/>
      <c r="V177" s="17"/>
    </row>
    <row r="178" spans="5:22">
      <c r="E178" s="17"/>
      <c r="F178" s="17"/>
      <c r="G178" s="17"/>
      <c r="H178" s="17"/>
      <c r="I178" s="17"/>
      <c r="J178" s="17"/>
      <c r="K178" s="17"/>
      <c r="L178" s="17"/>
      <c r="M178" s="256"/>
      <c r="N178" s="17"/>
      <c r="O178" s="17"/>
      <c r="P178" s="17"/>
      <c r="Q178" s="17"/>
      <c r="R178" s="18"/>
      <c r="S178" s="17"/>
      <c r="T178" s="17"/>
      <c r="U178" s="17"/>
      <c r="V178" s="17"/>
    </row>
    <row r="179" spans="5:22">
      <c r="E179" s="17"/>
      <c r="F179" s="17"/>
      <c r="G179" s="17"/>
      <c r="H179" s="17"/>
      <c r="I179" s="17"/>
      <c r="J179" s="17"/>
      <c r="K179" s="17"/>
      <c r="L179" s="17"/>
      <c r="M179" s="256"/>
      <c r="N179" s="17"/>
      <c r="O179" s="17"/>
      <c r="P179" s="17"/>
      <c r="Q179" s="17"/>
      <c r="R179" s="18"/>
      <c r="S179" s="17"/>
      <c r="T179" s="17"/>
      <c r="U179" s="17"/>
      <c r="V179" s="17"/>
    </row>
    <row r="180" spans="5:22">
      <c r="E180" s="17"/>
      <c r="F180" s="17"/>
      <c r="G180" s="17"/>
      <c r="H180" s="17"/>
      <c r="I180" s="17"/>
      <c r="J180" s="17"/>
      <c r="K180" s="17"/>
      <c r="L180" s="17"/>
      <c r="M180" s="256"/>
      <c r="N180" s="17"/>
      <c r="O180" s="17"/>
      <c r="P180" s="17"/>
      <c r="Q180" s="17"/>
      <c r="R180" s="18"/>
      <c r="S180" s="17"/>
      <c r="T180" s="17"/>
      <c r="U180" s="17"/>
      <c r="V180" s="17"/>
    </row>
    <row r="181" spans="5:22">
      <c r="E181" s="17"/>
      <c r="F181" s="17"/>
      <c r="G181" s="17"/>
      <c r="H181" s="17"/>
      <c r="I181" s="17"/>
      <c r="J181" s="17"/>
      <c r="K181" s="17"/>
      <c r="L181" s="17"/>
      <c r="M181" s="256"/>
      <c r="N181" s="17"/>
      <c r="O181" s="17"/>
      <c r="P181" s="17"/>
      <c r="Q181" s="17"/>
      <c r="R181" s="18"/>
      <c r="S181" s="17"/>
      <c r="T181" s="17"/>
      <c r="U181" s="17"/>
      <c r="V181" s="17"/>
    </row>
    <row r="182" spans="5:22">
      <c r="E182" s="17"/>
      <c r="F182" s="17"/>
      <c r="G182" s="17"/>
      <c r="H182" s="17"/>
      <c r="I182" s="17"/>
      <c r="J182" s="17"/>
      <c r="K182" s="17"/>
      <c r="L182" s="17"/>
      <c r="M182" s="256"/>
      <c r="N182" s="17"/>
      <c r="O182" s="17"/>
      <c r="P182" s="17"/>
      <c r="Q182" s="17"/>
      <c r="R182" s="18"/>
      <c r="S182" s="17"/>
      <c r="T182" s="17"/>
      <c r="U182" s="17"/>
      <c r="V182" s="17"/>
    </row>
    <row r="183" spans="5:22">
      <c r="E183" s="17"/>
      <c r="F183" s="17"/>
      <c r="G183" s="17"/>
      <c r="H183" s="17"/>
      <c r="I183" s="17"/>
      <c r="J183" s="17"/>
      <c r="K183" s="17"/>
      <c r="L183" s="17"/>
      <c r="M183" s="256"/>
      <c r="N183" s="17"/>
      <c r="O183" s="17"/>
      <c r="P183" s="17"/>
      <c r="Q183" s="17"/>
      <c r="R183" s="18"/>
      <c r="S183" s="17"/>
      <c r="T183" s="17"/>
      <c r="U183" s="17"/>
      <c r="V183" s="17"/>
    </row>
    <row r="184" spans="5:22">
      <c r="E184" s="17"/>
      <c r="F184" s="17"/>
      <c r="G184" s="17"/>
      <c r="H184" s="17"/>
      <c r="I184" s="17"/>
      <c r="J184" s="17"/>
      <c r="K184" s="17"/>
      <c r="L184" s="17"/>
      <c r="M184" s="256"/>
      <c r="N184" s="17"/>
      <c r="O184" s="17"/>
      <c r="P184" s="17"/>
      <c r="Q184" s="17"/>
      <c r="R184" s="18"/>
      <c r="S184" s="17"/>
      <c r="T184" s="17"/>
      <c r="U184" s="17"/>
      <c r="V184" s="17"/>
    </row>
    <row r="185" spans="5:22">
      <c r="E185" s="17"/>
      <c r="F185" s="17"/>
      <c r="G185" s="17"/>
      <c r="H185" s="17"/>
      <c r="I185" s="17"/>
      <c r="J185" s="17"/>
      <c r="K185" s="17"/>
      <c r="L185" s="17"/>
      <c r="M185" s="256"/>
      <c r="N185" s="17"/>
      <c r="O185" s="17"/>
      <c r="P185" s="17"/>
      <c r="Q185" s="17"/>
      <c r="R185" s="18"/>
      <c r="S185" s="17"/>
      <c r="T185" s="17"/>
      <c r="U185" s="17"/>
      <c r="V185" s="17"/>
    </row>
    <row r="186" spans="5:22">
      <c r="E186" s="17"/>
      <c r="F186" s="17"/>
      <c r="G186" s="17"/>
      <c r="H186" s="17"/>
      <c r="I186" s="17"/>
      <c r="J186" s="17"/>
      <c r="K186" s="17"/>
      <c r="L186" s="17"/>
      <c r="M186" s="256"/>
      <c r="N186" s="17"/>
      <c r="O186" s="17"/>
      <c r="P186" s="17"/>
      <c r="Q186" s="17"/>
      <c r="R186" s="18"/>
      <c r="S186" s="17"/>
      <c r="T186" s="17"/>
      <c r="U186" s="17"/>
      <c r="V186" s="17"/>
    </row>
    <row r="187" spans="5:22">
      <c r="E187" s="17"/>
      <c r="F187" s="17"/>
      <c r="G187" s="17"/>
      <c r="H187" s="17"/>
      <c r="I187" s="17"/>
      <c r="J187" s="17"/>
      <c r="K187" s="17"/>
      <c r="L187" s="17"/>
      <c r="M187" s="256"/>
      <c r="N187" s="17"/>
      <c r="O187" s="17"/>
      <c r="P187" s="17"/>
      <c r="Q187" s="17"/>
      <c r="R187" s="18"/>
      <c r="S187" s="17"/>
      <c r="T187" s="17"/>
      <c r="U187" s="17"/>
      <c r="V187" s="17"/>
    </row>
    <row r="188" spans="5:22">
      <c r="E188" s="17"/>
      <c r="F188" s="17"/>
      <c r="G188" s="17"/>
      <c r="H188" s="17"/>
      <c r="I188" s="17"/>
      <c r="J188" s="17"/>
      <c r="K188" s="17"/>
      <c r="L188" s="17"/>
      <c r="M188" s="256"/>
      <c r="N188" s="17"/>
      <c r="O188" s="17"/>
      <c r="P188" s="17"/>
      <c r="Q188" s="17"/>
      <c r="R188" s="18"/>
      <c r="S188" s="17"/>
      <c r="T188" s="17"/>
      <c r="U188" s="17"/>
      <c r="V188" s="17"/>
    </row>
    <row r="189" spans="5:22">
      <c r="E189" s="17"/>
      <c r="F189" s="17"/>
      <c r="G189" s="17"/>
      <c r="H189" s="17"/>
      <c r="I189" s="17"/>
      <c r="J189" s="17"/>
      <c r="K189" s="17"/>
      <c r="L189" s="17"/>
      <c r="M189" s="256"/>
      <c r="N189" s="17"/>
      <c r="O189" s="17"/>
      <c r="P189" s="17"/>
      <c r="Q189" s="17"/>
      <c r="R189" s="18"/>
      <c r="S189" s="17"/>
      <c r="T189" s="17"/>
      <c r="U189" s="17"/>
      <c r="V189" s="17"/>
    </row>
    <row r="190" spans="5:22">
      <c r="E190" s="17"/>
      <c r="F190" s="17"/>
      <c r="G190" s="17"/>
      <c r="H190" s="17"/>
      <c r="I190" s="17"/>
      <c r="J190" s="17"/>
      <c r="K190" s="17"/>
      <c r="L190" s="17"/>
      <c r="M190" s="256"/>
      <c r="N190" s="17"/>
      <c r="O190" s="17"/>
      <c r="P190" s="17"/>
      <c r="Q190" s="17"/>
      <c r="R190" s="18"/>
      <c r="S190" s="17"/>
      <c r="T190" s="17"/>
      <c r="U190" s="17"/>
      <c r="V190" s="17"/>
    </row>
    <row r="191" spans="5:22">
      <c r="E191" s="17"/>
      <c r="F191" s="17"/>
      <c r="G191" s="17"/>
      <c r="H191" s="17"/>
      <c r="I191" s="17"/>
      <c r="J191" s="17"/>
      <c r="K191" s="17"/>
      <c r="L191" s="17"/>
      <c r="M191" s="256"/>
      <c r="N191" s="17"/>
      <c r="O191" s="17"/>
      <c r="P191" s="17"/>
      <c r="Q191" s="17"/>
      <c r="R191" s="18"/>
      <c r="S191" s="17"/>
      <c r="T191" s="17"/>
      <c r="U191" s="17"/>
      <c r="V191" s="17"/>
    </row>
    <row r="192" spans="5:22">
      <c r="E192" s="17"/>
      <c r="F192" s="17"/>
      <c r="G192" s="17"/>
      <c r="H192" s="17"/>
      <c r="I192" s="17"/>
      <c r="J192" s="17"/>
      <c r="K192" s="17"/>
      <c r="L192" s="17"/>
      <c r="M192" s="256"/>
      <c r="N192" s="17"/>
      <c r="O192" s="17"/>
      <c r="P192" s="17"/>
      <c r="Q192" s="17"/>
      <c r="R192" s="18"/>
      <c r="S192" s="17"/>
      <c r="T192" s="17"/>
      <c r="U192" s="17"/>
      <c r="V192" s="17"/>
    </row>
    <row r="193" spans="5:22">
      <c r="E193" s="17"/>
      <c r="F193" s="17"/>
      <c r="G193" s="17"/>
      <c r="H193" s="17"/>
      <c r="I193" s="17"/>
      <c r="J193" s="17"/>
      <c r="K193" s="17"/>
      <c r="L193" s="17"/>
      <c r="M193" s="256"/>
      <c r="N193" s="17"/>
      <c r="O193" s="17"/>
      <c r="P193" s="17"/>
      <c r="Q193" s="17"/>
      <c r="R193" s="18"/>
      <c r="S193" s="17"/>
      <c r="T193" s="17"/>
      <c r="U193" s="17"/>
      <c r="V193" s="17"/>
    </row>
    <row r="194" spans="5:22">
      <c r="E194" s="17"/>
      <c r="F194" s="17"/>
      <c r="G194" s="17"/>
      <c r="H194" s="17"/>
      <c r="I194" s="17"/>
      <c r="J194" s="17"/>
      <c r="K194" s="17"/>
      <c r="L194" s="17"/>
      <c r="M194" s="256"/>
      <c r="N194" s="17"/>
      <c r="O194" s="17"/>
      <c r="P194" s="17"/>
      <c r="Q194" s="17"/>
      <c r="R194" s="18"/>
      <c r="S194" s="17"/>
      <c r="T194" s="17"/>
      <c r="U194" s="17"/>
      <c r="V194" s="17"/>
    </row>
    <row r="195" spans="5:22">
      <c r="E195" s="17"/>
      <c r="F195" s="17"/>
      <c r="G195" s="17"/>
      <c r="H195" s="17"/>
      <c r="I195" s="17"/>
      <c r="J195" s="17"/>
      <c r="K195" s="17"/>
      <c r="L195" s="17"/>
      <c r="M195" s="256"/>
      <c r="N195" s="17"/>
      <c r="O195" s="17"/>
      <c r="P195" s="17"/>
      <c r="Q195" s="17"/>
      <c r="R195" s="18"/>
      <c r="S195" s="17"/>
      <c r="T195" s="17"/>
      <c r="U195" s="17"/>
      <c r="V195" s="17"/>
    </row>
    <row r="196" spans="5:22">
      <c r="E196" s="17"/>
      <c r="F196" s="17"/>
      <c r="G196" s="17"/>
      <c r="H196" s="17"/>
      <c r="I196" s="17"/>
      <c r="J196" s="17"/>
      <c r="K196" s="17"/>
      <c r="L196" s="17"/>
      <c r="M196" s="256"/>
      <c r="N196" s="17"/>
      <c r="O196" s="17"/>
      <c r="P196" s="17"/>
      <c r="Q196" s="17"/>
      <c r="R196" s="18"/>
      <c r="S196" s="17"/>
      <c r="T196" s="17"/>
      <c r="U196" s="17"/>
      <c r="V196" s="17"/>
    </row>
    <row r="197" spans="5:22">
      <c r="E197" s="17"/>
      <c r="F197" s="17"/>
      <c r="G197" s="17"/>
      <c r="H197" s="17"/>
      <c r="I197" s="17"/>
      <c r="J197" s="17"/>
      <c r="K197" s="17"/>
      <c r="L197" s="17"/>
      <c r="M197" s="256"/>
      <c r="N197" s="17"/>
      <c r="O197" s="17"/>
      <c r="P197" s="17"/>
      <c r="Q197" s="17"/>
      <c r="R197" s="18"/>
      <c r="S197" s="17"/>
      <c r="T197" s="17"/>
      <c r="U197" s="17"/>
      <c r="V197" s="17"/>
    </row>
    <row r="198" spans="5:22">
      <c r="E198" s="17"/>
      <c r="F198" s="17"/>
      <c r="G198" s="17"/>
      <c r="H198" s="17"/>
      <c r="I198" s="17"/>
      <c r="J198" s="17"/>
      <c r="K198" s="17"/>
      <c r="L198" s="17"/>
      <c r="M198" s="256"/>
      <c r="N198" s="17"/>
      <c r="O198" s="17"/>
      <c r="P198" s="17"/>
      <c r="Q198" s="17"/>
      <c r="R198" s="18"/>
      <c r="S198" s="17"/>
      <c r="T198" s="17"/>
      <c r="U198" s="17"/>
      <c r="V198" s="17"/>
    </row>
    <row r="199" spans="5:22">
      <c r="E199" s="17"/>
      <c r="F199" s="17"/>
      <c r="G199" s="17"/>
      <c r="H199" s="17"/>
      <c r="I199" s="17"/>
      <c r="J199" s="17"/>
      <c r="K199" s="17"/>
      <c r="L199" s="17"/>
      <c r="M199" s="256"/>
      <c r="N199" s="17"/>
      <c r="O199" s="17"/>
      <c r="P199" s="17"/>
      <c r="Q199" s="17"/>
      <c r="R199" s="18"/>
      <c r="S199" s="17"/>
      <c r="T199" s="17"/>
      <c r="U199" s="17"/>
      <c r="V199" s="17"/>
    </row>
    <row r="200" spans="5:22">
      <c r="E200" s="17"/>
      <c r="F200" s="17"/>
      <c r="G200" s="17"/>
      <c r="H200" s="17"/>
      <c r="I200" s="17"/>
      <c r="J200" s="17"/>
      <c r="K200" s="17"/>
      <c r="L200" s="17"/>
      <c r="M200" s="256"/>
      <c r="N200" s="17"/>
      <c r="O200" s="17"/>
      <c r="P200" s="17"/>
      <c r="Q200" s="17"/>
      <c r="R200" s="18"/>
      <c r="S200" s="17"/>
      <c r="T200" s="17"/>
      <c r="U200" s="17"/>
      <c r="V200" s="17"/>
    </row>
    <row r="201" spans="5:22">
      <c r="E201" s="17"/>
      <c r="F201" s="17"/>
      <c r="G201" s="17"/>
      <c r="H201" s="17"/>
      <c r="I201" s="17"/>
      <c r="J201" s="17"/>
      <c r="K201" s="17"/>
      <c r="L201" s="17"/>
      <c r="M201" s="256"/>
      <c r="N201" s="17"/>
      <c r="O201" s="17"/>
      <c r="P201" s="17"/>
      <c r="Q201" s="17"/>
      <c r="R201" s="18"/>
      <c r="S201" s="17"/>
      <c r="T201" s="17"/>
      <c r="U201" s="17"/>
      <c r="V201" s="17"/>
    </row>
    <row r="202" spans="5:22">
      <c r="E202" s="17"/>
      <c r="F202" s="17"/>
      <c r="G202" s="17"/>
      <c r="H202" s="17"/>
      <c r="I202" s="17"/>
      <c r="J202" s="17"/>
      <c r="K202" s="17"/>
      <c r="L202" s="17"/>
      <c r="M202" s="256"/>
      <c r="N202" s="17"/>
      <c r="O202" s="17"/>
      <c r="P202" s="17"/>
      <c r="Q202" s="17"/>
      <c r="R202" s="18"/>
      <c r="S202" s="17"/>
      <c r="T202" s="17"/>
      <c r="U202" s="17"/>
      <c r="V202" s="17"/>
    </row>
    <row r="203" spans="5:22">
      <c r="E203" s="17"/>
      <c r="F203" s="17"/>
      <c r="G203" s="17"/>
      <c r="H203" s="17"/>
      <c r="I203" s="17"/>
      <c r="J203" s="17"/>
      <c r="K203" s="17"/>
      <c r="L203" s="17"/>
      <c r="M203" s="256"/>
      <c r="N203" s="17"/>
      <c r="O203" s="17"/>
      <c r="P203" s="17"/>
      <c r="Q203" s="17"/>
      <c r="R203" s="18"/>
      <c r="S203" s="17"/>
      <c r="T203" s="17"/>
      <c r="U203" s="17"/>
      <c r="V203" s="17"/>
    </row>
    <row r="204" spans="5:22">
      <c r="E204" s="17"/>
      <c r="F204" s="17"/>
      <c r="G204" s="17"/>
      <c r="H204" s="17"/>
      <c r="I204" s="17"/>
      <c r="J204" s="17"/>
      <c r="K204" s="17"/>
      <c r="L204" s="17"/>
      <c r="M204" s="256"/>
      <c r="N204" s="17"/>
      <c r="O204" s="17"/>
      <c r="P204" s="17"/>
      <c r="Q204" s="17"/>
      <c r="R204" s="18"/>
      <c r="S204" s="17"/>
      <c r="T204" s="17"/>
      <c r="U204" s="17"/>
      <c r="V204" s="17"/>
    </row>
    <row r="205" spans="5:22">
      <c r="E205" s="17"/>
      <c r="F205" s="17"/>
      <c r="G205" s="17"/>
      <c r="H205" s="17"/>
      <c r="I205" s="17"/>
      <c r="J205" s="17"/>
      <c r="K205" s="17"/>
      <c r="L205" s="17"/>
      <c r="M205" s="256"/>
      <c r="N205" s="17"/>
      <c r="O205" s="17"/>
      <c r="P205" s="17"/>
      <c r="Q205" s="17"/>
      <c r="R205" s="18"/>
      <c r="S205" s="17"/>
      <c r="T205" s="17"/>
      <c r="U205" s="17"/>
      <c r="V205" s="17"/>
    </row>
    <row r="206" spans="5:22">
      <c r="E206" s="17"/>
      <c r="F206" s="17"/>
      <c r="G206" s="17"/>
      <c r="H206" s="17"/>
      <c r="I206" s="17"/>
      <c r="J206" s="17"/>
      <c r="K206" s="17"/>
      <c r="L206" s="17"/>
      <c r="M206" s="256"/>
      <c r="N206" s="17"/>
      <c r="O206" s="17"/>
      <c r="P206" s="17"/>
      <c r="Q206" s="17"/>
      <c r="R206" s="18"/>
      <c r="S206" s="17"/>
      <c r="T206" s="17"/>
      <c r="U206" s="17"/>
      <c r="V206" s="17"/>
    </row>
    <row r="207" spans="5:22">
      <c r="E207" s="17"/>
      <c r="F207" s="17"/>
      <c r="G207" s="17"/>
      <c r="H207" s="17"/>
      <c r="I207" s="17"/>
      <c r="J207" s="17"/>
      <c r="K207" s="17"/>
      <c r="L207" s="17"/>
      <c r="M207" s="256"/>
      <c r="N207" s="17"/>
      <c r="O207" s="17"/>
      <c r="P207" s="17"/>
      <c r="Q207" s="17"/>
      <c r="R207" s="18"/>
      <c r="S207" s="17"/>
      <c r="T207" s="17"/>
      <c r="U207" s="17"/>
      <c r="V207" s="17"/>
    </row>
    <row r="208" spans="5:22">
      <c r="E208" s="17"/>
      <c r="F208" s="17"/>
      <c r="G208" s="17"/>
      <c r="H208" s="17"/>
      <c r="I208" s="17"/>
      <c r="J208" s="17"/>
      <c r="K208" s="17"/>
      <c r="L208" s="17"/>
      <c r="M208" s="256"/>
      <c r="N208" s="17"/>
      <c r="O208" s="17"/>
      <c r="P208" s="17"/>
      <c r="Q208" s="17"/>
      <c r="R208" s="18"/>
      <c r="S208" s="17"/>
      <c r="T208" s="17"/>
      <c r="U208" s="17"/>
      <c r="V208" s="17"/>
    </row>
    <row r="209" spans="5:22">
      <c r="E209" s="17"/>
      <c r="F209" s="17"/>
      <c r="G209" s="17"/>
      <c r="H209" s="17"/>
      <c r="I209" s="17"/>
      <c r="J209" s="17"/>
      <c r="K209" s="17"/>
      <c r="L209" s="17"/>
      <c r="M209" s="256"/>
      <c r="N209" s="17"/>
      <c r="O209" s="17"/>
      <c r="P209" s="17"/>
      <c r="Q209" s="17"/>
      <c r="R209" s="18"/>
      <c r="S209" s="17"/>
      <c r="T209" s="17"/>
      <c r="U209" s="17"/>
      <c r="V209" s="17"/>
    </row>
    <row r="210" spans="5:22">
      <c r="E210" s="17"/>
      <c r="F210" s="17"/>
      <c r="G210" s="17"/>
      <c r="H210" s="17"/>
      <c r="I210" s="17"/>
      <c r="J210" s="17"/>
      <c r="K210" s="17"/>
      <c r="L210" s="17"/>
      <c r="M210" s="256"/>
      <c r="N210" s="17"/>
      <c r="O210" s="17"/>
      <c r="P210" s="17"/>
      <c r="Q210" s="17"/>
      <c r="R210" s="18"/>
      <c r="S210" s="17"/>
      <c r="T210" s="17"/>
      <c r="U210" s="17"/>
      <c r="V210" s="17"/>
    </row>
    <row r="211" spans="5:22">
      <c r="E211" s="17"/>
      <c r="F211" s="17"/>
      <c r="G211" s="17"/>
      <c r="H211" s="17"/>
      <c r="I211" s="17"/>
      <c r="J211" s="17"/>
      <c r="K211" s="17"/>
      <c r="L211" s="17"/>
      <c r="M211" s="256"/>
      <c r="N211" s="17"/>
      <c r="O211" s="17"/>
      <c r="P211" s="17"/>
      <c r="Q211" s="17"/>
      <c r="R211" s="18"/>
      <c r="S211" s="17"/>
      <c r="T211" s="17"/>
      <c r="U211" s="17"/>
      <c r="V211" s="17"/>
    </row>
    <row r="212" spans="5:22">
      <c r="E212" s="17"/>
      <c r="F212" s="17"/>
      <c r="G212" s="17"/>
      <c r="H212" s="17"/>
      <c r="I212" s="17"/>
      <c r="J212" s="17"/>
      <c r="K212" s="17"/>
      <c r="L212" s="17"/>
      <c r="M212" s="256"/>
      <c r="N212" s="17"/>
      <c r="O212" s="17"/>
      <c r="P212" s="17"/>
      <c r="Q212" s="17"/>
      <c r="R212" s="18"/>
      <c r="S212" s="17"/>
      <c r="T212" s="17"/>
      <c r="U212" s="17"/>
      <c r="V212" s="17"/>
    </row>
    <row r="213" spans="5:22">
      <c r="E213" s="17"/>
      <c r="F213" s="17"/>
      <c r="G213" s="17"/>
      <c r="H213" s="17"/>
      <c r="I213" s="17"/>
      <c r="J213" s="17"/>
      <c r="K213" s="17"/>
      <c r="L213" s="17"/>
      <c r="M213" s="256"/>
      <c r="N213" s="17"/>
      <c r="O213" s="17"/>
      <c r="P213" s="17"/>
      <c r="Q213" s="17"/>
      <c r="R213" s="18"/>
      <c r="S213" s="17"/>
      <c r="T213" s="17"/>
      <c r="U213" s="17"/>
      <c r="V213" s="17"/>
    </row>
    <row r="214" spans="5:22">
      <c r="E214" s="17"/>
      <c r="F214" s="17"/>
      <c r="G214" s="17"/>
      <c r="H214" s="17"/>
      <c r="I214" s="17"/>
      <c r="J214" s="17"/>
      <c r="K214" s="17"/>
      <c r="L214" s="17"/>
      <c r="M214" s="256"/>
      <c r="N214" s="17"/>
      <c r="O214" s="17"/>
      <c r="P214" s="17"/>
      <c r="Q214" s="17"/>
      <c r="R214" s="18"/>
      <c r="S214" s="17"/>
      <c r="T214" s="17"/>
      <c r="U214" s="17"/>
      <c r="V214" s="17"/>
    </row>
    <row r="215" spans="5:22">
      <c r="E215" s="17"/>
      <c r="F215" s="17"/>
      <c r="G215" s="17"/>
      <c r="H215" s="17"/>
      <c r="I215" s="17"/>
      <c r="J215" s="17"/>
      <c r="K215" s="17"/>
      <c r="L215" s="17"/>
      <c r="M215" s="256"/>
      <c r="N215" s="17"/>
      <c r="O215" s="17"/>
      <c r="P215" s="17"/>
      <c r="Q215" s="17"/>
      <c r="R215" s="18"/>
      <c r="S215" s="17"/>
      <c r="T215" s="17"/>
      <c r="U215" s="17"/>
      <c r="V215" s="17"/>
    </row>
    <row r="216" spans="5:22">
      <c r="E216" s="17"/>
      <c r="F216" s="17"/>
      <c r="G216" s="17"/>
      <c r="H216" s="17"/>
      <c r="I216" s="17"/>
      <c r="J216" s="17"/>
      <c r="K216" s="17"/>
      <c r="L216" s="17"/>
      <c r="M216" s="256"/>
      <c r="N216" s="17"/>
      <c r="O216" s="17"/>
      <c r="P216" s="17"/>
      <c r="Q216" s="17"/>
      <c r="R216" s="18"/>
      <c r="S216" s="17"/>
      <c r="T216" s="17"/>
      <c r="U216" s="17"/>
      <c r="V216" s="17"/>
    </row>
    <row r="217" spans="5:22">
      <c r="E217" s="17"/>
      <c r="F217" s="17"/>
      <c r="G217" s="17"/>
      <c r="H217" s="17"/>
      <c r="I217" s="17"/>
      <c r="J217" s="17"/>
      <c r="K217" s="17"/>
      <c r="L217" s="17"/>
      <c r="M217" s="256"/>
      <c r="N217" s="17"/>
      <c r="O217" s="17"/>
      <c r="P217" s="17"/>
      <c r="Q217" s="17"/>
      <c r="R217" s="18"/>
      <c r="S217" s="17"/>
      <c r="T217" s="17"/>
      <c r="U217" s="17"/>
      <c r="V217" s="17"/>
    </row>
    <row r="218" spans="5:22">
      <c r="E218" s="17"/>
      <c r="F218" s="17"/>
      <c r="G218" s="17"/>
      <c r="H218" s="17"/>
      <c r="I218" s="17"/>
      <c r="J218" s="17"/>
      <c r="K218" s="17"/>
      <c r="L218" s="17"/>
      <c r="M218" s="256"/>
      <c r="N218" s="17"/>
      <c r="O218" s="17"/>
      <c r="P218" s="17"/>
      <c r="Q218" s="17"/>
      <c r="R218" s="18"/>
      <c r="S218" s="17"/>
      <c r="T218" s="17"/>
      <c r="U218" s="17"/>
      <c r="V218" s="17"/>
    </row>
    <row r="219" spans="5:22">
      <c r="E219" s="17"/>
      <c r="F219" s="17"/>
      <c r="G219" s="17"/>
      <c r="H219" s="17"/>
      <c r="I219" s="17"/>
      <c r="J219" s="17"/>
      <c r="K219" s="17"/>
      <c r="L219" s="17"/>
      <c r="M219" s="256"/>
      <c r="N219" s="17"/>
      <c r="O219" s="17"/>
      <c r="P219" s="17"/>
      <c r="Q219" s="17"/>
      <c r="R219" s="18"/>
      <c r="S219" s="17"/>
      <c r="T219" s="17"/>
      <c r="U219" s="17"/>
      <c r="V219" s="17"/>
    </row>
    <row r="220" spans="5:22">
      <c r="E220" s="17"/>
      <c r="F220" s="17"/>
      <c r="G220" s="17"/>
      <c r="H220" s="17"/>
      <c r="I220" s="17"/>
      <c r="J220" s="17"/>
      <c r="K220" s="17"/>
      <c r="L220" s="17"/>
      <c r="M220" s="256"/>
      <c r="N220" s="17"/>
      <c r="O220" s="17"/>
      <c r="P220" s="17"/>
      <c r="Q220" s="17"/>
      <c r="R220" s="18"/>
      <c r="S220" s="17"/>
      <c r="T220" s="17"/>
      <c r="U220" s="17"/>
      <c r="V220" s="17"/>
    </row>
    <row r="221" spans="5:22">
      <c r="E221" s="17"/>
      <c r="F221" s="17"/>
      <c r="G221" s="17"/>
      <c r="H221" s="17"/>
      <c r="I221" s="17"/>
      <c r="J221" s="17"/>
      <c r="K221" s="17"/>
      <c r="L221" s="17"/>
      <c r="M221" s="256"/>
      <c r="N221" s="17"/>
      <c r="O221" s="17"/>
      <c r="P221" s="17"/>
      <c r="Q221" s="17"/>
      <c r="R221" s="18"/>
      <c r="S221" s="17"/>
      <c r="T221" s="17"/>
      <c r="U221" s="17"/>
      <c r="V221" s="17"/>
    </row>
    <row r="222" spans="5:22">
      <c r="E222" s="17"/>
      <c r="F222" s="17"/>
      <c r="G222" s="17"/>
      <c r="H222" s="17"/>
      <c r="I222" s="17"/>
      <c r="J222" s="17"/>
      <c r="K222" s="17"/>
      <c r="L222" s="17"/>
      <c r="M222" s="256"/>
      <c r="N222" s="17"/>
      <c r="O222" s="17"/>
      <c r="P222" s="17"/>
      <c r="Q222" s="17"/>
      <c r="R222" s="18"/>
      <c r="S222" s="17"/>
      <c r="T222" s="17"/>
      <c r="U222" s="17"/>
      <c r="V222" s="17"/>
    </row>
    <row r="223" spans="5:22">
      <c r="E223" s="17"/>
      <c r="F223" s="17"/>
      <c r="G223" s="17"/>
      <c r="H223" s="17"/>
      <c r="I223" s="17"/>
      <c r="J223" s="17"/>
      <c r="K223" s="17"/>
      <c r="L223" s="17"/>
      <c r="M223" s="256"/>
      <c r="N223" s="17"/>
      <c r="O223" s="17"/>
      <c r="P223" s="17"/>
      <c r="Q223" s="17"/>
      <c r="R223" s="18"/>
      <c r="S223" s="17"/>
      <c r="T223" s="17"/>
      <c r="U223" s="17"/>
      <c r="V223" s="17"/>
    </row>
    <row r="224" spans="5:22">
      <c r="E224" s="17"/>
      <c r="F224" s="17"/>
      <c r="G224" s="17"/>
      <c r="H224" s="17"/>
      <c r="I224" s="17"/>
      <c r="J224" s="17"/>
      <c r="K224" s="17"/>
      <c r="L224" s="17"/>
      <c r="M224" s="256"/>
      <c r="N224" s="17"/>
      <c r="O224" s="17"/>
      <c r="P224" s="17"/>
      <c r="Q224" s="17"/>
      <c r="R224" s="18"/>
      <c r="S224" s="17"/>
      <c r="T224" s="17"/>
      <c r="U224" s="17"/>
      <c r="V224" s="17"/>
    </row>
    <row r="225" spans="5:22">
      <c r="E225" s="17"/>
      <c r="F225" s="17"/>
      <c r="G225" s="17"/>
      <c r="H225" s="17"/>
      <c r="I225" s="17"/>
      <c r="J225" s="17"/>
      <c r="K225" s="17"/>
      <c r="L225" s="17"/>
      <c r="M225" s="256"/>
      <c r="N225" s="17"/>
      <c r="O225" s="17"/>
      <c r="P225" s="17"/>
      <c r="Q225" s="17"/>
      <c r="R225" s="18"/>
      <c r="S225" s="17"/>
      <c r="T225" s="17"/>
      <c r="U225" s="17"/>
      <c r="V225" s="17"/>
    </row>
    <row r="226" spans="5:22">
      <c r="E226" s="17"/>
      <c r="F226" s="17"/>
      <c r="G226" s="17"/>
      <c r="H226" s="17"/>
      <c r="I226" s="17"/>
      <c r="J226" s="17"/>
      <c r="K226" s="17"/>
      <c r="L226" s="17"/>
      <c r="M226" s="256"/>
      <c r="N226" s="17"/>
      <c r="O226" s="17"/>
      <c r="P226" s="17"/>
      <c r="Q226" s="17"/>
      <c r="R226" s="18"/>
      <c r="S226" s="17"/>
      <c r="T226" s="17"/>
      <c r="U226" s="17"/>
      <c r="V226" s="17"/>
    </row>
    <row r="227" spans="5:22">
      <c r="E227" s="17"/>
      <c r="F227" s="17"/>
      <c r="G227" s="17"/>
      <c r="H227" s="17"/>
      <c r="I227" s="17"/>
      <c r="J227" s="17"/>
      <c r="K227" s="17"/>
      <c r="L227" s="17"/>
      <c r="M227" s="256"/>
      <c r="N227" s="17"/>
      <c r="O227" s="17"/>
      <c r="P227" s="17"/>
      <c r="Q227" s="17"/>
      <c r="R227" s="18"/>
      <c r="S227" s="17"/>
      <c r="T227" s="17"/>
      <c r="U227" s="17"/>
      <c r="V227" s="17"/>
    </row>
    <row r="228" spans="5:22">
      <c r="E228" s="17"/>
      <c r="F228" s="17"/>
      <c r="G228" s="17"/>
      <c r="H228" s="17"/>
      <c r="I228" s="17"/>
      <c r="J228" s="17"/>
      <c r="K228" s="17"/>
      <c r="L228" s="17"/>
      <c r="M228" s="256"/>
      <c r="N228" s="17"/>
      <c r="O228" s="17"/>
      <c r="P228" s="17"/>
      <c r="Q228" s="17"/>
      <c r="R228" s="18"/>
      <c r="S228" s="17"/>
      <c r="T228" s="17"/>
      <c r="U228" s="17"/>
      <c r="V228" s="17"/>
    </row>
    <row r="229" spans="5:22">
      <c r="E229" s="17"/>
      <c r="F229" s="17"/>
      <c r="G229" s="17"/>
      <c r="H229" s="17"/>
      <c r="I229" s="17"/>
      <c r="J229" s="17"/>
      <c r="K229" s="17"/>
      <c r="L229" s="17"/>
      <c r="M229" s="256"/>
      <c r="N229" s="17"/>
      <c r="O229" s="17"/>
      <c r="P229" s="17"/>
      <c r="Q229" s="17"/>
      <c r="R229" s="18"/>
      <c r="S229" s="17"/>
      <c r="T229" s="17"/>
      <c r="U229" s="17"/>
      <c r="V229" s="17"/>
    </row>
    <row r="230" spans="5:22">
      <c r="E230" s="17"/>
      <c r="F230" s="17"/>
      <c r="G230" s="17"/>
      <c r="H230" s="17"/>
      <c r="I230" s="17"/>
      <c r="J230" s="17"/>
      <c r="K230" s="17"/>
      <c r="L230" s="17"/>
      <c r="M230" s="256"/>
      <c r="N230" s="17"/>
      <c r="O230" s="17"/>
      <c r="P230" s="17"/>
      <c r="Q230" s="17"/>
      <c r="R230" s="18"/>
      <c r="S230" s="17"/>
      <c r="T230" s="17"/>
      <c r="U230" s="17"/>
      <c r="V230" s="17"/>
    </row>
    <row r="231" spans="5:22">
      <c r="E231" s="17"/>
      <c r="F231" s="17"/>
      <c r="G231" s="17"/>
      <c r="H231" s="17"/>
      <c r="I231" s="17"/>
      <c r="J231" s="17"/>
      <c r="K231" s="17"/>
      <c r="L231" s="17"/>
      <c r="M231" s="256"/>
      <c r="N231" s="17"/>
      <c r="O231" s="17"/>
      <c r="P231" s="17"/>
      <c r="Q231" s="17"/>
      <c r="R231" s="18"/>
      <c r="S231" s="17"/>
      <c r="T231" s="17"/>
      <c r="U231" s="17"/>
      <c r="V231" s="17"/>
    </row>
    <row r="232" spans="5:22">
      <c r="E232" s="17"/>
      <c r="F232" s="17"/>
      <c r="G232" s="17"/>
      <c r="H232" s="17"/>
      <c r="I232" s="17"/>
      <c r="J232" s="17"/>
      <c r="K232" s="17"/>
      <c r="L232" s="17"/>
      <c r="M232" s="256"/>
      <c r="N232" s="17"/>
      <c r="O232" s="17"/>
      <c r="P232" s="17"/>
      <c r="Q232" s="17"/>
      <c r="R232" s="18"/>
      <c r="S232" s="17"/>
      <c r="T232" s="17"/>
      <c r="U232" s="17"/>
      <c r="V232" s="17"/>
    </row>
    <row r="233" spans="5:22">
      <c r="E233" s="17"/>
      <c r="F233" s="17"/>
      <c r="G233" s="17"/>
      <c r="H233" s="17"/>
      <c r="I233" s="17"/>
      <c r="J233" s="17"/>
      <c r="K233" s="17"/>
      <c r="L233" s="17"/>
      <c r="M233" s="256"/>
      <c r="N233" s="17"/>
      <c r="O233" s="17"/>
      <c r="P233" s="17"/>
      <c r="Q233" s="17"/>
      <c r="R233" s="18"/>
      <c r="S233" s="17"/>
      <c r="T233" s="17"/>
      <c r="U233" s="17"/>
      <c r="V233" s="17"/>
    </row>
    <row r="234" spans="5:22">
      <c r="E234" s="17"/>
      <c r="F234" s="17"/>
      <c r="G234" s="17"/>
      <c r="H234" s="17"/>
      <c r="I234" s="17"/>
      <c r="J234" s="17"/>
      <c r="K234" s="17"/>
      <c r="L234" s="17"/>
      <c r="M234" s="256"/>
      <c r="N234" s="17"/>
      <c r="O234" s="17"/>
      <c r="P234" s="17"/>
      <c r="Q234" s="17"/>
      <c r="R234" s="18"/>
      <c r="S234" s="17"/>
      <c r="T234" s="17"/>
      <c r="U234" s="17"/>
      <c r="V234" s="17"/>
    </row>
    <row r="235" spans="5:22">
      <c r="E235" s="17"/>
      <c r="F235" s="17"/>
      <c r="G235" s="17"/>
      <c r="H235" s="17"/>
      <c r="I235" s="17"/>
      <c r="J235" s="17"/>
      <c r="K235" s="17"/>
      <c r="L235" s="17"/>
      <c r="M235" s="256"/>
      <c r="N235" s="17"/>
      <c r="O235" s="17"/>
      <c r="P235" s="17"/>
      <c r="Q235" s="17"/>
      <c r="R235" s="18"/>
      <c r="S235" s="17"/>
      <c r="T235" s="17"/>
      <c r="U235" s="17"/>
      <c r="V235" s="17"/>
    </row>
    <row r="236" spans="5:22">
      <c r="E236" s="17"/>
      <c r="F236" s="17"/>
      <c r="G236" s="17"/>
      <c r="H236" s="17"/>
      <c r="I236" s="17"/>
      <c r="J236" s="17"/>
      <c r="K236" s="17"/>
      <c r="L236" s="17"/>
      <c r="M236" s="256"/>
      <c r="N236" s="17"/>
      <c r="O236" s="17"/>
      <c r="P236" s="17"/>
      <c r="Q236" s="17"/>
      <c r="R236" s="18"/>
      <c r="S236" s="17"/>
      <c r="T236" s="17"/>
      <c r="U236" s="17"/>
      <c r="V236" s="17"/>
    </row>
    <row r="237" spans="5:22">
      <c r="E237" s="17"/>
      <c r="F237" s="17"/>
      <c r="G237" s="17"/>
      <c r="H237" s="17"/>
      <c r="I237" s="17"/>
      <c r="J237" s="17"/>
      <c r="K237" s="17"/>
      <c r="L237" s="17"/>
      <c r="M237" s="256"/>
      <c r="N237" s="17"/>
      <c r="O237" s="17"/>
      <c r="P237" s="17"/>
      <c r="Q237" s="17"/>
      <c r="R237" s="18"/>
      <c r="S237" s="17"/>
      <c r="T237" s="17"/>
      <c r="U237" s="17"/>
      <c r="V237" s="17"/>
    </row>
    <row r="238" spans="5:22">
      <c r="E238" s="17"/>
      <c r="F238" s="17"/>
      <c r="G238" s="17"/>
      <c r="H238" s="17"/>
      <c r="I238" s="17"/>
      <c r="J238" s="17"/>
      <c r="K238" s="17"/>
      <c r="L238" s="17"/>
      <c r="M238" s="256"/>
      <c r="N238" s="17"/>
      <c r="O238" s="17"/>
      <c r="P238" s="17"/>
      <c r="Q238" s="17"/>
      <c r="R238" s="18"/>
      <c r="S238" s="17"/>
      <c r="T238" s="17"/>
      <c r="U238" s="17"/>
      <c r="V238" s="17"/>
    </row>
    <row r="239" spans="5:22">
      <c r="E239" s="17"/>
      <c r="F239" s="17"/>
      <c r="G239" s="17"/>
      <c r="H239" s="17"/>
      <c r="I239" s="17"/>
      <c r="J239" s="17"/>
      <c r="K239" s="17"/>
      <c r="L239" s="17"/>
      <c r="M239" s="256"/>
      <c r="N239" s="17"/>
      <c r="O239" s="17"/>
      <c r="P239" s="17"/>
      <c r="Q239" s="17"/>
      <c r="R239" s="18"/>
      <c r="S239" s="17"/>
      <c r="T239" s="17"/>
      <c r="U239" s="17"/>
      <c r="V239" s="17"/>
    </row>
    <row r="240" spans="5:22">
      <c r="E240" s="17"/>
      <c r="F240" s="17"/>
      <c r="G240" s="17"/>
      <c r="H240" s="17"/>
      <c r="I240" s="17"/>
      <c r="J240" s="17"/>
      <c r="K240" s="17"/>
      <c r="L240" s="17"/>
      <c r="M240" s="256"/>
      <c r="N240" s="17"/>
      <c r="O240" s="17"/>
      <c r="P240" s="17"/>
      <c r="Q240" s="17"/>
      <c r="R240" s="18"/>
      <c r="S240" s="17"/>
      <c r="T240" s="17"/>
      <c r="U240" s="17"/>
      <c r="V240" s="17"/>
    </row>
    <row r="241" spans="5:22">
      <c r="E241" s="17"/>
      <c r="F241" s="17"/>
      <c r="G241" s="17"/>
      <c r="H241" s="17"/>
      <c r="I241" s="17"/>
      <c r="J241" s="17"/>
      <c r="K241" s="17"/>
      <c r="L241" s="17"/>
      <c r="M241" s="256"/>
      <c r="N241" s="17"/>
      <c r="O241" s="17"/>
      <c r="P241" s="17"/>
      <c r="Q241" s="17"/>
      <c r="R241" s="18"/>
      <c r="S241" s="17"/>
      <c r="T241" s="17"/>
      <c r="U241" s="17"/>
      <c r="V241" s="17"/>
    </row>
  </sheetData>
  <phoneticPr fontId="0" type="noConversion"/>
  <pageMargins left="0.24" right="0.21" top="0.5" bottom="0.78" header="0.25" footer="0.25"/>
  <pageSetup scale="65" orientation="landscape" r:id="rId1"/>
  <headerFooter scaleWithDoc="0" alignWithMargins="0">
    <oddHeader>&amp;CBench Request 10.1 - Attachment A&amp;RAdjustment No. 3.02 (Electric) and 
3.00 (Natural Gas)</oddHeader>
    <oddFooter>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R133"/>
  <sheetViews>
    <sheetView zoomScaleNormal="100" workbookViewId="0">
      <selection activeCell="I46" sqref="I46"/>
    </sheetView>
  </sheetViews>
  <sheetFormatPr defaultColWidth="9.33203125" defaultRowHeight="12.75"/>
  <cols>
    <col min="1" max="2" width="3.83203125" style="2" customWidth="1"/>
    <col min="3" max="3" width="6.33203125" style="2" customWidth="1"/>
    <col min="4" max="4" width="23.1640625" style="2" customWidth="1"/>
    <col min="5" max="5" width="14" style="2" bestFit="1" customWidth="1"/>
    <col min="6" max="6" width="11.83203125" style="2" hidden="1" customWidth="1"/>
    <col min="7" max="7" width="13.83203125" style="2" bestFit="1" customWidth="1"/>
    <col min="8" max="8" width="4.33203125" style="2" customWidth="1"/>
    <col min="9" max="9" width="18.5" style="2" customWidth="1"/>
    <col min="10" max="10" width="19.6640625" style="2" customWidth="1"/>
    <col min="11" max="12" width="20.33203125" style="2" bestFit="1" customWidth="1"/>
    <col min="13" max="13" width="4.83203125" style="11" customWidth="1"/>
    <col min="14" max="15" width="20.33203125" style="2" bestFit="1" customWidth="1"/>
    <col min="16" max="16" width="3" style="11" customWidth="1"/>
    <col min="17" max="17" width="20.33203125" style="2" bestFit="1" customWidth="1"/>
    <col min="18" max="18" width="2.6640625" style="2" customWidth="1"/>
    <col min="19" max="16384" width="9.33203125" style="2"/>
  </cols>
  <sheetData>
    <row r="1" spans="2:18">
      <c r="C1" s="34" t="s">
        <v>24</v>
      </c>
      <c r="D1" s="1"/>
      <c r="I1" s="37"/>
    </row>
    <row r="2" spans="2:18">
      <c r="C2" s="1" t="s">
        <v>99</v>
      </c>
      <c r="D2" s="1"/>
      <c r="I2" s="37"/>
    </row>
    <row r="3" spans="2:18" ht="13.5" thickBot="1">
      <c r="C3" s="1" t="str">
        <f>'Washington Electric'!C3</f>
        <v>12 Months Ending 09/30/15</v>
      </c>
      <c r="D3" s="1"/>
      <c r="I3" s="37"/>
      <c r="K3" s="103"/>
      <c r="L3" s="103"/>
      <c r="M3" s="164"/>
      <c r="N3" s="103"/>
      <c r="O3" s="103"/>
      <c r="P3" s="164"/>
      <c r="Q3" s="103"/>
      <c r="R3" s="103"/>
    </row>
    <row r="4" spans="2:18" s="3" customFormat="1">
      <c r="I4" s="67">
        <v>2014</v>
      </c>
      <c r="J4" s="67">
        <v>2015</v>
      </c>
      <c r="K4" s="166" t="s">
        <v>205</v>
      </c>
      <c r="L4" s="67" t="s">
        <v>0</v>
      </c>
      <c r="M4" s="159"/>
      <c r="N4" s="67">
        <v>2017</v>
      </c>
      <c r="O4" s="166" t="s">
        <v>205</v>
      </c>
      <c r="P4" s="159"/>
      <c r="Q4" s="67" t="s">
        <v>0</v>
      </c>
      <c r="R4" s="67"/>
    </row>
    <row r="5" spans="2:18" s="3" customFormat="1">
      <c r="I5" s="121">
        <f>'Pro-Forma Increases'!D26</f>
        <v>1.242E-2</v>
      </c>
      <c r="J5" s="121">
        <f>'Pro-Forma Increases'!D28</f>
        <v>2.8000000000000001E-2</v>
      </c>
      <c r="K5" s="184" t="s">
        <v>202</v>
      </c>
      <c r="L5" s="121" t="s">
        <v>204</v>
      </c>
      <c r="M5" s="160"/>
      <c r="N5" s="121">
        <f>'Pro-Forma Increases'!D32</f>
        <v>2.5139999999999999E-2</v>
      </c>
      <c r="O5" s="184" t="s">
        <v>202</v>
      </c>
      <c r="P5" s="160"/>
      <c r="Q5" s="121" t="s">
        <v>204</v>
      </c>
      <c r="R5" s="121"/>
    </row>
    <row r="6" spans="2:18" s="4" customFormat="1">
      <c r="E6" s="5" t="s">
        <v>100</v>
      </c>
      <c r="F6" s="5"/>
      <c r="G6" s="5" t="s">
        <v>117</v>
      </c>
      <c r="H6" s="5"/>
      <c r="I6" s="120">
        <f>'Pro-Forma Increases'!D11</f>
        <v>1.455E-2</v>
      </c>
      <c r="J6" s="120">
        <f>'Pro-Forma Increases'!D13</f>
        <v>3.1E-2</v>
      </c>
      <c r="K6" s="185" t="s">
        <v>225</v>
      </c>
      <c r="L6" s="250" t="s">
        <v>226</v>
      </c>
      <c r="M6" s="168"/>
      <c r="N6" s="120">
        <f>'Pro-Forma Increases'!D17</f>
        <v>2.2919999999999999E-2</v>
      </c>
      <c r="O6" s="185" t="s">
        <v>224</v>
      </c>
      <c r="P6" s="161"/>
      <c r="Q6" s="250" t="s">
        <v>227</v>
      </c>
      <c r="R6" s="120"/>
    </row>
    <row r="7" spans="2:18">
      <c r="C7" s="2" t="s">
        <v>32</v>
      </c>
      <c r="K7" s="180"/>
      <c r="O7" s="180"/>
    </row>
    <row r="8" spans="2:18">
      <c r="C8" s="2" t="s">
        <v>33</v>
      </c>
      <c r="E8" s="35"/>
      <c r="F8" s="35"/>
      <c r="G8" s="35"/>
      <c r="H8" s="35"/>
      <c r="K8" s="180"/>
      <c r="O8" s="180"/>
    </row>
    <row r="9" spans="2:18">
      <c r="B9" s="2" t="s">
        <v>27</v>
      </c>
      <c r="C9" s="1">
        <v>500</v>
      </c>
      <c r="D9" s="1" t="s">
        <v>34</v>
      </c>
      <c r="E9" s="17">
        <f>'AN Electric'!L11</f>
        <v>43501</v>
      </c>
      <c r="F9" s="17"/>
      <c r="G9" s="17">
        <f t="shared" ref="G9:G19" si="0">F9+E9</f>
        <v>43501</v>
      </c>
      <c r="H9" s="17"/>
      <c r="I9" s="19">
        <f>ROUND(IF($B9="a",G9*I$5,G9*I$6),0)</f>
        <v>540</v>
      </c>
      <c r="J9" s="19">
        <f>ROUND(IF($B9="a",(G9+I9)*J$5,(G9+I9)*J$6),0)</f>
        <v>1233</v>
      </c>
      <c r="K9" s="186">
        <f>SUM(I9:J9)</f>
        <v>1773</v>
      </c>
      <c r="L9" s="19">
        <f>G9+K9</f>
        <v>45274</v>
      </c>
      <c r="M9" s="44"/>
      <c r="N9" s="19">
        <f t="shared" ref="N9:N19" si="1">ROUND(IF($B9="a",(G9+I9+J9)*N$5,(G9+I9+J9)*N$6),0)</f>
        <v>1138</v>
      </c>
      <c r="O9" s="186">
        <f>N9</f>
        <v>1138</v>
      </c>
      <c r="P9" s="44"/>
      <c r="Q9" s="19">
        <f>L9+O9</f>
        <v>46412</v>
      </c>
      <c r="R9" s="19"/>
    </row>
    <row r="10" spans="2:18">
      <c r="C10" s="1">
        <v>501</v>
      </c>
      <c r="D10" s="1" t="s">
        <v>35</v>
      </c>
      <c r="E10" s="17">
        <f>'AN Electric'!L12</f>
        <v>280204</v>
      </c>
      <c r="F10" s="17"/>
      <c r="G10" s="17">
        <f t="shared" si="0"/>
        <v>280204</v>
      </c>
      <c r="H10" s="17"/>
      <c r="I10" s="20">
        <f t="shared" ref="I10:I19" si="2">ROUND(IF($B10="a",G10*I$5,G10*I$6),0)</f>
        <v>4077</v>
      </c>
      <c r="J10" s="20">
        <f>ROUND(IF($B10="a",(G10+I10)*J$5,(G10+I10)*J$6),0)</f>
        <v>8813</v>
      </c>
      <c r="K10" s="187">
        <f t="shared" ref="K10:K73" si="3">SUM(I10:J10)</f>
        <v>12890</v>
      </c>
      <c r="L10" s="20">
        <f t="shared" ref="L10:L73" si="4">G10+K10</f>
        <v>293094</v>
      </c>
      <c r="M10" s="43"/>
      <c r="N10" s="239">
        <f t="shared" si="1"/>
        <v>6718</v>
      </c>
      <c r="O10" s="187">
        <f t="shared" ref="O10:O73" si="5">N10</f>
        <v>6718</v>
      </c>
      <c r="P10" s="43"/>
      <c r="Q10" s="20">
        <f t="shared" ref="Q10:Q73" si="6">L10+O10</f>
        <v>299812</v>
      </c>
      <c r="R10" s="20"/>
    </row>
    <row r="11" spans="2:18">
      <c r="C11" s="1">
        <v>502</v>
      </c>
      <c r="D11" s="1" t="s">
        <v>36</v>
      </c>
      <c r="E11" s="17">
        <f>'AN Electric'!L13</f>
        <v>169553</v>
      </c>
      <c r="F11" s="17"/>
      <c r="G11" s="17">
        <f t="shared" si="0"/>
        <v>169553</v>
      </c>
      <c r="H11" s="17"/>
      <c r="I11" s="20">
        <f t="shared" si="2"/>
        <v>2467</v>
      </c>
      <c r="J11" s="20">
        <f t="shared" ref="J11:J19" si="7">ROUND(IF($B11="a",(G11+I11)*J$5,(G11+I11)*J$6),0)</f>
        <v>5333</v>
      </c>
      <c r="K11" s="187">
        <f t="shared" si="3"/>
        <v>7800</v>
      </c>
      <c r="L11" s="20">
        <f t="shared" si="4"/>
        <v>177353</v>
      </c>
      <c r="M11" s="43"/>
      <c r="N11" s="239">
        <f t="shared" si="1"/>
        <v>4065</v>
      </c>
      <c r="O11" s="187">
        <f t="shared" si="5"/>
        <v>4065</v>
      </c>
      <c r="P11" s="43"/>
      <c r="Q11" s="20">
        <f t="shared" si="6"/>
        <v>181418</v>
      </c>
      <c r="R11" s="20"/>
    </row>
    <row r="12" spans="2:18">
      <c r="C12" s="1">
        <v>505</v>
      </c>
      <c r="D12" s="1" t="s">
        <v>37</v>
      </c>
      <c r="E12" s="17">
        <f>'AN Electric'!L14</f>
        <v>164148</v>
      </c>
      <c r="F12" s="17"/>
      <c r="G12" s="17">
        <f t="shared" si="0"/>
        <v>164148</v>
      </c>
      <c r="H12" s="17"/>
      <c r="I12" s="20">
        <f t="shared" si="2"/>
        <v>2388</v>
      </c>
      <c r="J12" s="20">
        <f t="shared" si="7"/>
        <v>5163</v>
      </c>
      <c r="K12" s="187">
        <f t="shared" si="3"/>
        <v>7551</v>
      </c>
      <c r="L12" s="20">
        <f t="shared" si="4"/>
        <v>171699</v>
      </c>
      <c r="M12" s="43"/>
      <c r="N12" s="239">
        <f t="shared" si="1"/>
        <v>3935</v>
      </c>
      <c r="O12" s="187">
        <f t="shared" si="5"/>
        <v>3935</v>
      </c>
      <c r="P12" s="43"/>
      <c r="Q12" s="20">
        <f t="shared" si="6"/>
        <v>175634</v>
      </c>
      <c r="R12" s="20"/>
    </row>
    <row r="13" spans="2:18">
      <c r="C13" s="1">
        <v>506</v>
      </c>
      <c r="D13" s="1" t="s">
        <v>38</v>
      </c>
      <c r="E13" s="17">
        <f>'AN Electric'!L15</f>
        <v>66490</v>
      </c>
      <c r="F13" s="17"/>
      <c r="G13" s="17">
        <f t="shared" si="0"/>
        <v>66490</v>
      </c>
      <c r="H13" s="17"/>
      <c r="I13" s="20">
        <f t="shared" si="2"/>
        <v>967</v>
      </c>
      <c r="J13" s="20">
        <f t="shared" si="7"/>
        <v>2091</v>
      </c>
      <c r="K13" s="187">
        <f t="shared" si="3"/>
        <v>3058</v>
      </c>
      <c r="L13" s="20">
        <f t="shared" si="4"/>
        <v>69548</v>
      </c>
      <c r="M13" s="43"/>
      <c r="N13" s="239">
        <f t="shared" si="1"/>
        <v>1594</v>
      </c>
      <c r="O13" s="187">
        <f t="shared" si="5"/>
        <v>1594</v>
      </c>
      <c r="P13" s="43"/>
      <c r="Q13" s="20">
        <f t="shared" si="6"/>
        <v>71142</v>
      </c>
      <c r="R13" s="20"/>
    </row>
    <row r="14" spans="2:18">
      <c r="C14" s="1">
        <v>507</v>
      </c>
      <c r="D14" s="1"/>
      <c r="E14" s="17">
        <f>'AN Electric'!L16</f>
        <v>-6358</v>
      </c>
      <c r="F14" s="17"/>
      <c r="G14" s="17"/>
      <c r="H14" s="17"/>
      <c r="I14" s="20"/>
      <c r="J14" s="20">
        <f t="shared" si="7"/>
        <v>0</v>
      </c>
      <c r="K14" s="187">
        <f t="shared" si="3"/>
        <v>0</v>
      </c>
      <c r="L14" s="20">
        <f t="shared" si="4"/>
        <v>0</v>
      </c>
      <c r="M14" s="43"/>
      <c r="N14" s="239">
        <f t="shared" si="1"/>
        <v>0</v>
      </c>
      <c r="O14" s="187">
        <f t="shared" si="5"/>
        <v>0</v>
      </c>
      <c r="P14" s="43"/>
      <c r="Q14" s="20">
        <f t="shared" si="6"/>
        <v>0</v>
      </c>
      <c r="R14" s="20"/>
    </row>
    <row r="15" spans="2:18">
      <c r="B15" s="2" t="s">
        <v>27</v>
      </c>
      <c r="C15" s="1">
        <v>510</v>
      </c>
      <c r="D15" s="1" t="s">
        <v>34</v>
      </c>
      <c r="E15" s="17">
        <f>'AN Electric'!L17</f>
        <v>44063</v>
      </c>
      <c r="F15" s="17"/>
      <c r="G15" s="17">
        <f t="shared" si="0"/>
        <v>44063</v>
      </c>
      <c r="H15" s="17"/>
      <c r="I15" s="19">
        <f t="shared" si="2"/>
        <v>547</v>
      </c>
      <c r="J15" s="19">
        <f t="shared" si="7"/>
        <v>1249</v>
      </c>
      <c r="K15" s="186">
        <f t="shared" si="3"/>
        <v>1796</v>
      </c>
      <c r="L15" s="19">
        <f t="shared" si="4"/>
        <v>45859</v>
      </c>
      <c r="M15" s="44"/>
      <c r="N15" s="19">
        <f t="shared" si="1"/>
        <v>1153</v>
      </c>
      <c r="O15" s="186">
        <f t="shared" si="5"/>
        <v>1153</v>
      </c>
      <c r="P15" s="44"/>
      <c r="Q15" s="19">
        <f t="shared" si="6"/>
        <v>47012</v>
      </c>
      <c r="R15" s="19"/>
    </row>
    <row r="16" spans="2:18">
      <c r="C16" s="1">
        <v>511</v>
      </c>
      <c r="D16" s="1" t="s">
        <v>39</v>
      </c>
      <c r="E16" s="17">
        <f>'AN Electric'!L18</f>
        <v>1681</v>
      </c>
      <c r="F16" s="17"/>
      <c r="G16" s="17">
        <f t="shared" si="0"/>
        <v>1681</v>
      </c>
      <c r="H16" s="17"/>
      <c r="I16" s="20">
        <f t="shared" si="2"/>
        <v>24</v>
      </c>
      <c r="J16" s="20">
        <f t="shared" si="7"/>
        <v>53</v>
      </c>
      <c r="K16" s="187">
        <f t="shared" si="3"/>
        <v>77</v>
      </c>
      <c r="L16" s="20">
        <f t="shared" si="4"/>
        <v>1758</v>
      </c>
      <c r="M16" s="43"/>
      <c r="N16" s="239">
        <f t="shared" si="1"/>
        <v>40</v>
      </c>
      <c r="O16" s="187">
        <f t="shared" si="5"/>
        <v>40</v>
      </c>
      <c r="P16" s="43"/>
      <c r="Q16" s="20">
        <f t="shared" si="6"/>
        <v>1798</v>
      </c>
      <c r="R16" s="20"/>
    </row>
    <row r="17" spans="2:18">
      <c r="C17" s="1">
        <v>512</v>
      </c>
      <c r="D17" s="1" t="s">
        <v>40</v>
      </c>
      <c r="E17" s="17">
        <f>'AN Electric'!L19</f>
        <v>200326</v>
      </c>
      <c r="F17" s="17"/>
      <c r="G17" s="17">
        <f t="shared" si="0"/>
        <v>200326</v>
      </c>
      <c r="H17" s="17"/>
      <c r="I17" s="20">
        <f t="shared" si="2"/>
        <v>2915</v>
      </c>
      <c r="J17" s="20">
        <f t="shared" si="7"/>
        <v>6300</v>
      </c>
      <c r="K17" s="187">
        <f t="shared" si="3"/>
        <v>9215</v>
      </c>
      <c r="L17" s="20">
        <f t="shared" si="4"/>
        <v>209541</v>
      </c>
      <c r="M17" s="43"/>
      <c r="N17" s="239">
        <f t="shared" si="1"/>
        <v>4803</v>
      </c>
      <c r="O17" s="187">
        <f t="shared" si="5"/>
        <v>4803</v>
      </c>
      <c r="P17" s="43"/>
      <c r="Q17" s="20">
        <f t="shared" si="6"/>
        <v>214344</v>
      </c>
      <c r="R17" s="20"/>
    </row>
    <row r="18" spans="2:18">
      <c r="C18" s="1">
        <v>513</v>
      </c>
      <c r="D18" s="1" t="s">
        <v>41</v>
      </c>
      <c r="E18" s="17">
        <f>'AN Electric'!L20</f>
        <v>20399</v>
      </c>
      <c r="F18" s="17"/>
      <c r="G18" s="17">
        <f t="shared" si="0"/>
        <v>20399</v>
      </c>
      <c r="H18" s="17"/>
      <c r="I18" s="20">
        <f t="shared" si="2"/>
        <v>297</v>
      </c>
      <c r="J18" s="20">
        <f t="shared" si="7"/>
        <v>642</v>
      </c>
      <c r="K18" s="187">
        <f t="shared" si="3"/>
        <v>939</v>
      </c>
      <c r="L18" s="20">
        <f t="shared" si="4"/>
        <v>21338</v>
      </c>
      <c r="M18" s="43"/>
      <c r="N18" s="239">
        <f t="shared" si="1"/>
        <v>489</v>
      </c>
      <c r="O18" s="187">
        <f t="shared" si="5"/>
        <v>489</v>
      </c>
      <c r="P18" s="43"/>
      <c r="Q18" s="20">
        <f t="shared" si="6"/>
        <v>21827</v>
      </c>
      <c r="R18" s="20"/>
    </row>
    <row r="19" spans="2:18">
      <c r="C19" s="1">
        <v>514</v>
      </c>
      <c r="D19" s="1" t="s">
        <v>42</v>
      </c>
      <c r="E19" s="17">
        <f>'AN Electric'!L21</f>
        <v>41920</v>
      </c>
      <c r="F19" s="17"/>
      <c r="G19" s="17">
        <f t="shared" si="0"/>
        <v>41920</v>
      </c>
      <c r="H19" s="17"/>
      <c r="I19" s="20">
        <f t="shared" si="2"/>
        <v>610</v>
      </c>
      <c r="J19" s="20">
        <f t="shared" si="7"/>
        <v>1318</v>
      </c>
      <c r="K19" s="187">
        <f t="shared" si="3"/>
        <v>1928</v>
      </c>
      <c r="L19" s="20">
        <f t="shared" si="4"/>
        <v>43848</v>
      </c>
      <c r="M19" s="43"/>
      <c r="N19" s="239">
        <f t="shared" si="1"/>
        <v>1005</v>
      </c>
      <c r="O19" s="187">
        <f t="shared" si="5"/>
        <v>1005</v>
      </c>
      <c r="P19" s="43"/>
      <c r="Q19" s="20">
        <f t="shared" si="6"/>
        <v>44853</v>
      </c>
      <c r="R19" s="20"/>
    </row>
    <row r="20" spans="2:18">
      <c r="C20" s="2" t="s">
        <v>43</v>
      </c>
      <c r="E20" s="36">
        <f t="shared" ref="E20:G20" si="8">SUM(E9:E19)</f>
        <v>1025927</v>
      </c>
      <c r="F20" s="36"/>
      <c r="G20" s="36">
        <f t="shared" si="8"/>
        <v>1032285</v>
      </c>
      <c r="H20" s="36"/>
      <c r="I20" s="36">
        <f t="shared" ref="I20:J20" si="9">SUM(I9:I19)</f>
        <v>14832</v>
      </c>
      <c r="J20" s="36">
        <f t="shared" si="9"/>
        <v>32195</v>
      </c>
      <c r="K20" s="188">
        <f t="shared" si="3"/>
        <v>47027</v>
      </c>
      <c r="L20" s="36">
        <f t="shared" si="4"/>
        <v>1079312</v>
      </c>
      <c r="M20" s="18"/>
      <c r="N20" s="102">
        <f t="shared" ref="N20" si="10">SUM(N9:N19)</f>
        <v>24940</v>
      </c>
      <c r="O20" s="188">
        <f t="shared" si="5"/>
        <v>24940</v>
      </c>
      <c r="P20" s="18"/>
      <c r="Q20" s="36">
        <f t="shared" si="6"/>
        <v>1104252</v>
      </c>
      <c r="R20" s="36"/>
    </row>
    <row r="21" spans="2:18">
      <c r="E21" s="17"/>
      <c r="F21" s="17"/>
      <c r="G21" s="17"/>
      <c r="H21" s="17"/>
      <c r="I21" s="17"/>
      <c r="J21" s="17"/>
      <c r="K21" s="189"/>
      <c r="L21" s="17"/>
      <c r="M21" s="18"/>
      <c r="N21" s="100"/>
      <c r="O21" s="189"/>
      <c r="P21" s="18"/>
      <c r="Q21" s="17"/>
      <c r="R21" s="17"/>
    </row>
    <row r="22" spans="2:18">
      <c r="C22" s="2" t="s">
        <v>44</v>
      </c>
      <c r="E22" s="17"/>
      <c r="F22" s="17"/>
      <c r="G22" s="17"/>
      <c r="H22" s="17"/>
      <c r="I22" s="17"/>
      <c r="J22" s="17"/>
      <c r="K22" s="189"/>
      <c r="L22" s="17"/>
      <c r="M22" s="18"/>
      <c r="N22" s="100"/>
      <c r="O22" s="189"/>
      <c r="P22" s="18"/>
      <c r="Q22" s="17"/>
      <c r="R22" s="17"/>
    </row>
    <row r="23" spans="2:18">
      <c r="B23" s="2" t="s">
        <v>27</v>
      </c>
      <c r="C23" s="1">
        <v>535</v>
      </c>
      <c r="D23" s="1" t="s">
        <v>34</v>
      </c>
      <c r="E23" s="17">
        <f>'AN Electric'!L25</f>
        <v>393219</v>
      </c>
      <c r="F23" s="17"/>
      <c r="G23" s="17">
        <f t="shared" ref="G23:G32" si="11">F23+E23</f>
        <v>393219</v>
      </c>
      <c r="H23" s="17"/>
      <c r="I23" s="19">
        <f t="shared" ref="I23:I32" si="12">ROUND(IF($B23="a",G23*I$5,G23*I$6),0)</f>
        <v>4884</v>
      </c>
      <c r="J23" s="19">
        <f t="shared" ref="J23:J32" si="13">ROUND(IF($B23="a",(G23+I23)*J$5,(G23+I23)*J$6),0)</f>
        <v>11147</v>
      </c>
      <c r="K23" s="186">
        <f t="shared" si="3"/>
        <v>16031</v>
      </c>
      <c r="L23" s="19">
        <f t="shared" si="4"/>
        <v>409250</v>
      </c>
      <c r="M23" s="44"/>
      <c r="N23" s="19">
        <f t="shared" ref="N23:N32" si="14">ROUND(IF($B23="a",(G23+I23+J23)*N$5,(G23+I23+J23)*N$6),0)</f>
        <v>10289</v>
      </c>
      <c r="O23" s="186">
        <f t="shared" si="5"/>
        <v>10289</v>
      </c>
      <c r="P23" s="44"/>
      <c r="Q23" s="19">
        <f t="shared" si="6"/>
        <v>419539</v>
      </c>
      <c r="R23" s="19"/>
    </row>
    <row r="24" spans="2:18">
      <c r="C24" s="1">
        <v>536</v>
      </c>
      <c r="D24" s="1" t="s">
        <v>45</v>
      </c>
      <c r="E24" s="17">
        <f>'AN Electric'!L26</f>
        <v>14016</v>
      </c>
      <c r="F24" s="17"/>
      <c r="G24" s="17">
        <f t="shared" si="11"/>
        <v>14016</v>
      </c>
      <c r="H24" s="17"/>
      <c r="I24" s="20">
        <f t="shared" si="12"/>
        <v>204</v>
      </c>
      <c r="J24" s="20">
        <f t="shared" si="13"/>
        <v>441</v>
      </c>
      <c r="K24" s="187">
        <f t="shared" si="3"/>
        <v>645</v>
      </c>
      <c r="L24" s="20">
        <f t="shared" si="4"/>
        <v>14661</v>
      </c>
      <c r="M24" s="43"/>
      <c r="N24" s="239">
        <f t="shared" si="14"/>
        <v>336</v>
      </c>
      <c r="O24" s="187">
        <f t="shared" si="5"/>
        <v>336</v>
      </c>
      <c r="P24" s="43"/>
      <c r="Q24" s="20">
        <f t="shared" si="6"/>
        <v>14997</v>
      </c>
      <c r="R24" s="20"/>
    </row>
    <row r="25" spans="2:18">
      <c r="C25" s="1">
        <v>537</v>
      </c>
      <c r="D25" s="1" t="s">
        <v>46</v>
      </c>
      <c r="E25" s="17">
        <f>'AN Electric'!L27</f>
        <v>138391</v>
      </c>
      <c r="F25" s="17"/>
      <c r="G25" s="17">
        <f t="shared" si="11"/>
        <v>138391</v>
      </c>
      <c r="H25" s="17"/>
      <c r="I25" s="20">
        <f t="shared" si="12"/>
        <v>2014</v>
      </c>
      <c r="J25" s="20">
        <f t="shared" si="13"/>
        <v>4353</v>
      </c>
      <c r="K25" s="187">
        <f t="shared" si="3"/>
        <v>6367</v>
      </c>
      <c r="L25" s="20">
        <f t="shared" si="4"/>
        <v>144758</v>
      </c>
      <c r="M25" s="43"/>
      <c r="N25" s="239">
        <f t="shared" si="14"/>
        <v>3318</v>
      </c>
      <c r="O25" s="187">
        <f t="shared" si="5"/>
        <v>3318</v>
      </c>
      <c r="P25" s="43"/>
      <c r="Q25" s="20">
        <f t="shared" si="6"/>
        <v>148076</v>
      </c>
      <c r="R25" s="20"/>
    </row>
    <row r="26" spans="2:18">
      <c r="C26" s="1">
        <v>538</v>
      </c>
      <c r="D26" s="1" t="s">
        <v>37</v>
      </c>
      <c r="E26" s="17">
        <f>'AN Electric'!L28</f>
        <v>1466827</v>
      </c>
      <c r="F26" s="17"/>
      <c r="G26" s="17">
        <f t="shared" si="11"/>
        <v>1466827</v>
      </c>
      <c r="H26" s="17"/>
      <c r="I26" s="20">
        <f t="shared" si="12"/>
        <v>21342</v>
      </c>
      <c r="J26" s="20">
        <f t="shared" si="13"/>
        <v>46133</v>
      </c>
      <c r="K26" s="187">
        <f t="shared" si="3"/>
        <v>67475</v>
      </c>
      <c r="L26" s="20">
        <f t="shared" si="4"/>
        <v>1534302</v>
      </c>
      <c r="M26" s="43"/>
      <c r="N26" s="239">
        <f t="shared" si="14"/>
        <v>35166</v>
      </c>
      <c r="O26" s="187">
        <f t="shared" si="5"/>
        <v>35166</v>
      </c>
      <c r="P26" s="43"/>
      <c r="Q26" s="20">
        <f t="shared" si="6"/>
        <v>1569468</v>
      </c>
      <c r="R26" s="20"/>
    </row>
    <row r="27" spans="2:18">
      <c r="C27" s="1">
        <v>539</v>
      </c>
      <c r="D27" s="1" t="s">
        <v>47</v>
      </c>
      <c r="E27" s="17">
        <f>'AN Electric'!L29</f>
        <v>31346</v>
      </c>
      <c r="F27" s="17"/>
      <c r="G27" s="17">
        <f>F27+E27</f>
        <v>31346</v>
      </c>
      <c r="H27" s="17"/>
      <c r="I27" s="20">
        <f t="shared" si="12"/>
        <v>456</v>
      </c>
      <c r="J27" s="20">
        <f t="shared" si="13"/>
        <v>986</v>
      </c>
      <c r="K27" s="187">
        <f t="shared" si="3"/>
        <v>1442</v>
      </c>
      <c r="L27" s="20">
        <f t="shared" si="4"/>
        <v>32788</v>
      </c>
      <c r="M27" s="43"/>
      <c r="N27" s="239">
        <f t="shared" si="14"/>
        <v>752</v>
      </c>
      <c r="O27" s="187">
        <f t="shared" si="5"/>
        <v>752</v>
      </c>
      <c r="P27" s="43"/>
      <c r="Q27" s="20">
        <f t="shared" si="6"/>
        <v>33540</v>
      </c>
      <c r="R27" s="20"/>
    </row>
    <row r="28" spans="2:18">
      <c r="B28" s="2" t="s">
        <v>27</v>
      </c>
      <c r="C28" s="1">
        <v>541</v>
      </c>
      <c r="D28" s="1" t="s">
        <v>34</v>
      </c>
      <c r="E28" s="17">
        <f>'AN Electric'!L30</f>
        <v>192488</v>
      </c>
      <c r="F28" s="17"/>
      <c r="G28" s="17">
        <f>F28+E28</f>
        <v>192488</v>
      </c>
      <c r="H28" s="17"/>
      <c r="I28" s="20">
        <f>ROUND(IF($B28="a",G28*I$5,G28*I$6),0)</f>
        <v>2391</v>
      </c>
      <c r="J28" s="20">
        <f t="shared" si="13"/>
        <v>5457</v>
      </c>
      <c r="K28" s="187">
        <f t="shared" si="3"/>
        <v>7848</v>
      </c>
      <c r="L28" s="20">
        <f t="shared" si="4"/>
        <v>200336</v>
      </c>
      <c r="M28" s="43"/>
      <c r="N28" s="239">
        <f t="shared" si="14"/>
        <v>5036</v>
      </c>
      <c r="O28" s="187">
        <f t="shared" si="5"/>
        <v>5036</v>
      </c>
      <c r="P28" s="43"/>
      <c r="Q28" s="20">
        <f t="shared" si="6"/>
        <v>205372</v>
      </c>
      <c r="R28" s="20"/>
    </row>
    <row r="29" spans="2:18">
      <c r="C29" s="1">
        <v>542</v>
      </c>
      <c r="D29" s="1">
        <f>D6</f>
        <v>0</v>
      </c>
      <c r="E29" s="17">
        <f>'AN Electric'!L31</f>
        <v>55927</v>
      </c>
      <c r="F29" s="17"/>
      <c r="G29" s="17">
        <f t="shared" si="11"/>
        <v>55927</v>
      </c>
      <c r="H29" s="17"/>
      <c r="I29" s="20">
        <f t="shared" si="12"/>
        <v>814</v>
      </c>
      <c r="J29" s="20">
        <f t="shared" si="13"/>
        <v>1759</v>
      </c>
      <c r="K29" s="187">
        <f t="shared" si="3"/>
        <v>2573</v>
      </c>
      <c r="L29" s="20">
        <f t="shared" si="4"/>
        <v>58500</v>
      </c>
      <c r="M29" s="43"/>
      <c r="N29" s="239">
        <f t="shared" si="14"/>
        <v>1341</v>
      </c>
      <c r="O29" s="187">
        <f t="shared" si="5"/>
        <v>1341</v>
      </c>
      <c r="P29" s="43"/>
      <c r="Q29" s="20">
        <f t="shared" si="6"/>
        <v>59841</v>
      </c>
      <c r="R29" s="20"/>
    </row>
    <row r="30" spans="2:18">
      <c r="C30" s="1">
        <v>543</v>
      </c>
      <c r="D30" s="1" t="s">
        <v>48</v>
      </c>
      <c r="E30" s="17">
        <f>'AN Electric'!L32</f>
        <v>68436</v>
      </c>
      <c r="F30" s="17"/>
      <c r="G30" s="17">
        <f t="shared" si="11"/>
        <v>68436</v>
      </c>
      <c r="H30" s="17"/>
      <c r="I30" s="20">
        <f t="shared" si="12"/>
        <v>996</v>
      </c>
      <c r="J30" s="20">
        <f t="shared" si="13"/>
        <v>2152</v>
      </c>
      <c r="K30" s="187">
        <f t="shared" si="3"/>
        <v>3148</v>
      </c>
      <c r="L30" s="20">
        <f t="shared" si="4"/>
        <v>71584</v>
      </c>
      <c r="M30" s="43"/>
      <c r="N30" s="239">
        <f t="shared" si="14"/>
        <v>1641</v>
      </c>
      <c r="O30" s="187">
        <f t="shared" si="5"/>
        <v>1641</v>
      </c>
      <c r="P30" s="43"/>
      <c r="Q30" s="20">
        <f t="shared" si="6"/>
        <v>73225</v>
      </c>
      <c r="R30" s="20"/>
    </row>
    <row r="31" spans="2:18">
      <c r="C31" s="1">
        <v>544</v>
      </c>
      <c r="D31" s="1" t="s">
        <v>41</v>
      </c>
      <c r="E31" s="17">
        <f>'AN Electric'!L33</f>
        <v>419939</v>
      </c>
      <c r="F31" s="17"/>
      <c r="G31" s="17">
        <f t="shared" si="11"/>
        <v>419939</v>
      </c>
      <c r="H31" s="17"/>
      <c r="I31" s="20">
        <f t="shared" si="12"/>
        <v>6110</v>
      </c>
      <c r="J31" s="20">
        <f t="shared" si="13"/>
        <v>13208</v>
      </c>
      <c r="K31" s="187">
        <f t="shared" si="3"/>
        <v>19318</v>
      </c>
      <c r="L31" s="20">
        <f t="shared" si="4"/>
        <v>439257</v>
      </c>
      <c r="M31" s="43"/>
      <c r="N31" s="239">
        <f t="shared" si="14"/>
        <v>10068</v>
      </c>
      <c r="O31" s="187">
        <f t="shared" si="5"/>
        <v>10068</v>
      </c>
      <c r="P31" s="43"/>
      <c r="Q31" s="20">
        <f t="shared" si="6"/>
        <v>449325</v>
      </c>
      <c r="R31" s="20"/>
    </row>
    <row r="32" spans="2:18">
      <c r="C32" s="1">
        <v>545</v>
      </c>
      <c r="D32" s="1" t="s">
        <v>49</v>
      </c>
      <c r="E32" s="17">
        <f>'AN Electric'!L34</f>
        <v>93603</v>
      </c>
      <c r="F32" s="17"/>
      <c r="G32" s="17">
        <f t="shared" si="11"/>
        <v>93603</v>
      </c>
      <c r="H32" s="17"/>
      <c r="I32" s="20">
        <f t="shared" si="12"/>
        <v>1362</v>
      </c>
      <c r="J32" s="20">
        <f t="shared" si="13"/>
        <v>2944</v>
      </c>
      <c r="K32" s="187">
        <f t="shared" si="3"/>
        <v>4306</v>
      </c>
      <c r="L32" s="20">
        <f t="shared" si="4"/>
        <v>97909</v>
      </c>
      <c r="M32" s="43"/>
      <c r="N32" s="239">
        <f t="shared" si="14"/>
        <v>2244</v>
      </c>
      <c r="O32" s="187">
        <f t="shared" si="5"/>
        <v>2244</v>
      </c>
      <c r="P32" s="43"/>
      <c r="Q32" s="20">
        <f t="shared" si="6"/>
        <v>100153</v>
      </c>
      <c r="R32" s="20"/>
    </row>
    <row r="33" spans="2:18">
      <c r="C33" s="2" t="s">
        <v>50</v>
      </c>
      <c r="E33" s="36">
        <f t="shared" ref="E33:G33" si="15">SUM(E23:E32)</f>
        <v>2874192</v>
      </c>
      <c r="F33" s="36"/>
      <c r="G33" s="36">
        <f t="shared" si="15"/>
        <v>2874192</v>
      </c>
      <c r="H33" s="36"/>
      <c r="I33" s="36">
        <f t="shared" ref="I33:J33" si="16">SUM(I23:I32)</f>
        <v>40573</v>
      </c>
      <c r="J33" s="36">
        <f t="shared" si="16"/>
        <v>88580</v>
      </c>
      <c r="K33" s="188">
        <f t="shared" si="3"/>
        <v>129153</v>
      </c>
      <c r="L33" s="36">
        <f t="shared" si="4"/>
        <v>3003345</v>
      </c>
      <c r="M33" s="18"/>
      <c r="N33" s="102">
        <f t="shared" ref="N33" si="17">SUM(N23:N32)</f>
        <v>70191</v>
      </c>
      <c r="O33" s="188">
        <f t="shared" si="5"/>
        <v>70191</v>
      </c>
      <c r="P33" s="18"/>
      <c r="Q33" s="36">
        <f t="shared" si="6"/>
        <v>3073536</v>
      </c>
      <c r="R33" s="36"/>
    </row>
    <row r="34" spans="2:18">
      <c r="E34" s="17"/>
      <c r="F34" s="17"/>
      <c r="G34" s="17"/>
      <c r="H34" s="17"/>
      <c r="I34" s="17"/>
      <c r="J34" s="17"/>
      <c r="K34" s="189"/>
      <c r="L34" s="17"/>
      <c r="M34" s="18"/>
      <c r="N34" s="100"/>
      <c r="O34" s="189"/>
      <c r="P34" s="18"/>
      <c r="Q34" s="17"/>
      <c r="R34" s="17"/>
    </row>
    <row r="35" spans="2:18">
      <c r="C35" s="2" t="s">
        <v>51</v>
      </c>
      <c r="E35" s="17"/>
      <c r="F35" s="17"/>
      <c r="G35" s="17"/>
      <c r="H35" s="17"/>
      <c r="I35" s="17"/>
      <c r="J35" s="17"/>
      <c r="K35" s="189"/>
      <c r="L35" s="17"/>
      <c r="M35" s="18"/>
      <c r="N35" s="100"/>
      <c r="O35" s="189"/>
      <c r="P35" s="18"/>
      <c r="Q35" s="17"/>
      <c r="R35" s="17"/>
    </row>
    <row r="36" spans="2:18">
      <c r="B36" s="2" t="s">
        <v>27</v>
      </c>
      <c r="C36" s="1">
        <v>546</v>
      </c>
      <c r="D36" s="1" t="s">
        <v>34</v>
      </c>
      <c r="E36" s="17">
        <f>'AN Electric'!L38</f>
        <v>36263</v>
      </c>
      <c r="F36" s="17"/>
      <c r="G36" s="17">
        <f t="shared" ref="G36:G42" si="18">F36+E36</f>
        <v>36263</v>
      </c>
      <c r="H36" s="17"/>
      <c r="I36" s="19">
        <f t="shared" ref="I36:I42" si="19">ROUND(IF($B36="a",G36*I$5,G36*I$6),0)</f>
        <v>450</v>
      </c>
      <c r="J36" s="19">
        <f t="shared" ref="J36:J42" si="20">ROUND(IF($B36="a",(G36+I36)*J$5,(G36+I36)*J$6),0)</f>
        <v>1028</v>
      </c>
      <c r="K36" s="186">
        <f t="shared" si="3"/>
        <v>1478</v>
      </c>
      <c r="L36" s="19">
        <f t="shared" si="4"/>
        <v>37741</v>
      </c>
      <c r="M36" s="44"/>
      <c r="N36" s="19">
        <f t="shared" ref="N36:N42" si="21">ROUND(IF($B36="a",(G36+I36+J36)*N$5,(G36+I36+J36)*N$6),0)</f>
        <v>949</v>
      </c>
      <c r="O36" s="186">
        <f t="shared" si="5"/>
        <v>949</v>
      </c>
      <c r="P36" s="44"/>
      <c r="Q36" s="19">
        <f t="shared" si="6"/>
        <v>38690</v>
      </c>
      <c r="R36" s="19"/>
    </row>
    <row r="37" spans="2:18">
      <c r="C37" s="1">
        <v>548</v>
      </c>
      <c r="D37" s="1" t="s">
        <v>52</v>
      </c>
      <c r="E37" s="17">
        <f>'AN Electric'!L39</f>
        <v>55211</v>
      </c>
      <c r="F37" s="17"/>
      <c r="G37" s="17">
        <f t="shared" si="18"/>
        <v>55211</v>
      </c>
      <c r="H37" s="17"/>
      <c r="I37" s="20">
        <f t="shared" si="19"/>
        <v>803</v>
      </c>
      <c r="J37" s="20">
        <f t="shared" si="20"/>
        <v>1736</v>
      </c>
      <c r="K37" s="187">
        <f t="shared" si="3"/>
        <v>2539</v>
      </c>
      <c r="L37" s="20">
        <f t="shared" si="4"/>
        <v>57750</v>
      </c>
      <c r="M37" s="43"/>
      <c r="N37" s="239">
        <f t="shared" si="21"/>
        <v>1324</v>
      </c>
      <c r="O37" s="187">
        <f t="shared" si="5"/>
        <v>1324</v>
      </c>
      <c r="P37" s="43"/>
      <c r="Q37" s="20">
        <f t="shared" si="6"/>
        <v>59074</v>
      </c>
      <c r="R37" s="20"/>
    </row>
    <row r="38" spans="2:18">
      <c r="C38" s="1">
        <v>549</v>
      </c>
      <c r="D38" s="1" t="s">
        <v>53</v>
      </c>
      <c r="E38" s="17">
        <f>'AN Electric'!L40</f>
        <v>6629</v>
      </c>
      <c r="F38" s="17"/>
      <c r="G38" s="17">
        <f t="shared" si="18"/>
        <v>6629</v>
      </c>
      <c r="H38" s="17"/>
      <c r="I38" s="20">
        <f t="shared" si="19"/>
        <v>96</v>
      </c>
      <c r="J38" s="20">
        <f t="shared" si="20"/>
        <v>208</v>
      </c>
      <c r="K38" s="187">
        <f t="shared" si="3"/>
        <v>304</v>
      </c>
      <c r="L38" s="20">
        <f t="shared" si="4"/>
        <v>6933</v>
      </c>
      <c r="M38" s="43"/>
      <c r="N38" s="239">
        <f t="shared" si="21"/>
        <v>159</v>
      </c>
      <c r="O38" s="187">
        <f t="shared" si="5"/>
        <v>159</v>
      </c>
      <c r="P38" s="43"/>
      <c r="Q38" s="20">
        <f t="shared" si="6"/>
        <v>7092</v>
      </c>
      <c r="R38" s="20"/>
    </row>
    <row r="39" spans="2:18">
      <c r="B39" s="2" t="s">
        <v>27</v>
      </c>
      <c r="C39" s="1">
        <v>551</v>
      </c>
      <c r="D39" s="1" t="s">
        <v>34</v>
      </c>
      <c r="E39" s="17">
        <f>'AN Electric'!L41</f>
        <v>89723</v>
      </c>
      <c r="F39" s="17"/>
      <c r="G39" s="17">
        <f t="shared" si="18"/>
        <v>89723</v>
      </c>
      <c r="H39" s="17"/>
      <c r="I39" s="19">
        <f t="shared" si="19"/>
        <v>1114</v>
      </c>
      <c r="J39" s="19">
        <f t="shared" si="20"/>
        <v>2543</v>
      </c>
      <c r="K39" s="186">
        <f t="shared" si="3"/>
        <v>3657</v>
      </c>
      <c r="L39" s="19">
        <f t="shared" si="4"/>
        <v>93380</v>
      </c>
      <c r="M39" s="44"/>
      <c r="N39" s="19">
        <f t="shared" si="21"/>
        <v>2348</v>
      </c>
      <c r="O39" s="186">
        <f t="shared" si="5"/>
        <v>2348</v>
      </c>
      <c r="P39" s="44"/>
      <c r="Q39" s="19">
        <f t="shared" si="6"/>
        <v>95728</v>
      </c>
      <c r="R39" s="19"/>
    </row>
    <row r="40" spans="2:18">
      <c r="C40" s="1">
        <v>552</v>
      </c>
      <c r="D40" s="1" t="s">
        <v>39</v>
      </c>
      <c r="E40" s="17">
        <f>'AN Electric'!L42</f>
        <v>134</v>
      </c>
      <c r="F40" s="17"/>
      <c r="G40" s="17">
        <f t="shared" si="18"/>
        <v>134</v>
      </c>
      <c r="H40" s="17"/>
      <c r="I40" s="20">
        <f t="shared" si="19"/>
        <v>2</v>
      </c>
      <c r="J40" s="20">
        <f t="shared" si="20"/>
        <v>4</v>
      </c>
      <c r="K40" s="187">
        <f t="shared" si="3"/>
        <v>6</v>
      </c>
      <c r="L40" s="20">
        <f t="shared" si="4"/>
        <v>140</v>
      </c>
      <c r="M40" s="43"/>
      <c r="N40" s="239">
        <f t="shared" si="21"/>
        <v>3</v>
      </c>
      <c r="O40" s="187">
        <f t="shared" si="5"/>
        <v>3</v>
      </c>
      <c r="P40" s="43"/>
      <c r="Q40" s="20">
        <f t="shared" si="6"/>
        <v>143</v>
      </c>
      <c r="R40" s="20"/>
    </row>
    <row r="41" spans="2:18">
      <c r="C41" s="1">
        <v>553</v>
      </c>
      <c r="D41" s="1" t="s">
        <v>54</v>
      </c>
      <c r="E41" s="17">
        <f>'AN Electric'!L43</f>
        <v>87973</v>
      </c>
      <c r="F41" s="17"/>
      <c r="G41" s="17">
        <f t="shared" si="18"/>
        <v>87973</v>
      </c>
      <c r="H41" s="17"/>
      <c r="I41" s="20">
        <f t="shared" si="19"/>
        <v>1280</v>
      </c>
      <c r="J41" s="20">
        <f t="shared" si="20"/>
        <v>2767</v>
      </c>
      <c r="K41" s="187">
        <f t="shared" si="3"/>
        <v>4047</v>
      </c>
      <c r="L41" s="20">
        <f t="shared" si="4"/>
        <v>92020</v>
      </c>
      <c r="M41" s="43"/>
      <c r="N41" s="239">
        <f t="shared" si="21"/>
        <v>2109</v>
      </c>
      <c r="O41" s="187">
        <f t="shared" si="5"/>
        <v>2109</v>
      </c>
      <c r="P41" s="43"/>
      <c r="Q41" s="20">
        <f t="shared" si="6"/>
        <v>94129</v>
      </c>
      <c r="R41" s="20"/>
    </row>
    <row r="42" spans="2:18">
      <c r="C42" s="1">
        <v>554</v>
      </c>
      <c r="D42" s="1" t="s">
        <v>55</v>
      </c>
      <c r="E42" s="17">
        <f>'AN Electric'!L44</f>
        <v>11688</v>
      </c>
      <c r="F42" s="17"/>
      <c r="G42" s="17">
        <f t="shared" si="18"/>
        <v>11688</v>
      </c>
      <c r="H42" s="17"/>
      <c r="I42" s="20">
        <f t="shared" si="19"/>
        <v>170</v>
      </c>
      <c r="J42" s="20">
        <f t="shared" si="20"/>
        <v>368</v>
      </c>
      <c r="K42" s="187">
        <f t="shared" si="3"/>
        <v>538</v>
      </c>
      <c r="L42" s="20">
        <f t="shared" si="4"/>
        <v>12226</v>
      </c>
      <c r="M42" s="43"/>
      <c r="N42" s="239">
        <f t="shared" si="21"/>
        <v>280</v>
      </c>
      <c r="O42" s="187">
        <f t="shared" si="5"/>
        <v>280</v>
      </c>
      <c r="P42" s="43"/>
      <c r="Q42" s="20">
        <f t="shared" si="6"/>
        <v>12506</v>
      </c>
      <c r="R42" s="20"/>
    </row>
    <row r="43" spans="2:18">
      <c r="C43" s="2" t="s">
        <v>56</v>
      </c>
      <c r="E43" s="36">
        <f t="shared" ref="E43:G43" si="22">SUM(E36:E42)</f>
        <v>287621</v>
      </c>
      <c r="F43" s="36"/>
      <c r="G43" s="36">
        <f t="shared" si="22"/>
        <v>287621</v>
      </c>
      <c r="H43" s="36"/>
      <c r="I43" s="36">
        <f t="shared" ref="I43:J43" si="23">SUM(I36:I42)</f>
        <v>3915</v>
      </c>
      <c r="J43" s="36">
        <f t="shared" si="23"/>
        <v>8654</v>
      </c>
      <c r="K43" s="188">
        <f t="shared" si="3"/>
        <v>12569</v>
      </c>
      <c r="L43" s="36">
        <f t="shared" si="4"/>
        <v>300190</v>
      </c>
      <c r="M43" s="18"/>
      <c r="N43" s="102">
        <f t="shared" ref="N43" si="24">SUM(N36:N42)</f>
        <v>7172</v>
      </c>
      <c r="O43" s="188">
        <f t="shared" si="5"/>
        <v>7172</v>
      </c>
      <c r="P43" s="18"/>
      <c r="Q43" s="36">
        <f t="shared" si="6"/>
        <v>307362</v>
      </c>
      <c r="R43" s="36"/>
    </row>
    <row r="44" spans="2:18">
      <c r="E44" s="17"/>
      <c r="F44" s="17"/>
      <c r="G44" s="17"/>
      <c r="H44" s="17"/>
      <c r="I44" s="17"/>
      <c r="J44" s="17"/>
      <c r="K44" s="189"/>
      <c r="L44" s="17"/>
      <c r="M44" s="18"/>
      <c r="N44" s="100"/>
      <c r="O44" s="189"/>
      <c r="P44" s="18"/>
      <c r="Q44" s="17"/>
      <c r="R44" s="17"/>
    </row>
    <row r="45" spans="2:18">
      <c r="C45" s="2" t="s">
        <v>57</v>
      </c>
      <c r="E45" s="17"/>
      <c r="F45" s="17"/>
      <c r="G45" s="17"/>
      <c r="H45" s="17"/>
      <c r="I45" s="17"/>
      <c r="J45" s="17"/>
      <c r="K45" s="189"/>
      <c r="L45" s="17"/>
      <c r="M45" s="18"/>
      <c r="N45" s="100"/>
      <c r="O45" s="189"/>
      <c r="P45" s="18"/>
      <c r="Q45" s="17"/>
      <c r="R45" s="17"/>
    </row>
    <row r="46" spans="2:18">
      <c r="B46" s="2" t="s">
        <v>27</v>
      </c>
      <c r="C46" s="1">
        <v>556</v>
      </c>
      <c r="D46" s="1" t="s">
        <v>58</v>
      </c>
      <c r="E46" s="17">
        <f>'AN Electric'!L48</f>
        <v>140372</v>
      </c>
      <c r="F46" s="17"/>
      <c r="G46" s="17">
        <f>F46+E46</f>
        <v>140372</v>
      </c>
      <c r="H46" s="17"/>
      <c r="I46" s="19">
        <f>ROUND(IF($B46="a",G46*I$5,G46*I$6),0)</f>
        <v>1743</v>
      </c>
      <c r="J46" s="19">
        <f t="shared" ref="J46:J47" si="25">ROUND(IF($B46="a",(G46+I46)*J$5,(G46+I46)*J$6),0)</f>
        <v>3979</v>
      </c>
      <c r="K46" s="186">
        <f t="shared" si="3"/>
        <v>5722</v>
      </c>
      <c r="L46" s="19">
        <f t="shared" si="4"/>
        <v>146094</v>
      </c>
      <c r="M46" s="44"/>
      <c r="N46" s="19">
        <f>ROUND(IF($B46="a",(G46+I46+J46)*N$5,(G46+I46+J46)*N$6),0)</f>
        <v>3673</v>
      </c>
      <c r="O46" s="186">
        <f t="shared" si="5"/>
        <v>3673</v>
      </c>
      <c r="P46" s="44"/>
      <c r="Q46" s="19">
        <f t="shared" si="6"/>
        <v>149767</v>
      </c>
      <c r="R46" s="19"/>
    </row>
    <row r="47" spans="2:18">
      <c r="B47" s="2" t="s">
        <v>27</v>
      </c>
      <c r="C47" s="1">
        <v>557</v>
      </c>
      <c r="D47" s="1" t="s">
        <v>59</v>
      </c>
      <c r="E47" s="17">
        <f>'AN Electric'!L49</f>
        <v>1179215</v>
      </c>
      <c r="F47" s="17"/>
      <c r="G47" s="17">
        <f>F47+E47</f>
        <v>1179215</v>
      </c>
      <c r="H47" s="17"/>
      <c r="I47" s="19">
        <f>ROUND(IF($B47="a",G47*I$5,G47*I$6),0)</f>
        <v>14646</v>
      </c>
      <c r="J47" s="19">
        <f t="shared" si="25"/>
        <v>33428</v>
      </c>
      <c r="K47" s="186">
        <f t="shared" si="3"/>
        <v>48074</v>
      </c>
      <c r="L47" s="19">
        <f t="shared" si="4"/>
        <v>1227289</v>
      </c>
      <c r="M47" s="44"/>
      <c r="N47" s="19">
        <f>ROUND(IF($B47="a",(G47+I47+J47)*N$5,(G47+I47+J47)*N$6),0)</f>
        <v>30854</v>
      </c>
      <c r="O47" s="186">
        <f t="shared" si="5"/>
        <v>30854</v>
      </c>
      <c r="P47" s="44"/>
      <c r="Q47" s="19">
        <f t="shared" si="6"/>
        <v>1258143</v>
      </c>
      <c r="R47" s="19"/>
    </row>
    <row r="48" spans="2:18">
      <c r="C48" s="2" t="s">
        <v>60</v>
      </c>
      <c r="E48" s="36">
        <f t="shared" ref="E48:G48" si="26">SUM(E46:E47)</f>
        <v>1319587</v>
      </c>
      <c r="F48" s="36"/>
      <c r="G48" s="36">
        <f t="shared" si="26"/>
        <v>1319587</v>
      </c>
      <c r="H48" s="36"/>
      <c r="I48" s="36">
        <f t="shared" ref="I48:J48" si="27">SUM(I46:I47)</f>
        <v>16389</v>
      </c>
      <c r="J48" s="36">
        <f t="shared" si="27"/>
        <v>37407</v>
      </c>
      <c r="K48" s="188">
        <f t="shared" si="3"/>
        <v>53796</v>
      </c>
      <c r="L48" s="36">
        <f t="shared" si="4"/>
        <v>1373383</v>
      </c>
      <c r="M48" s="18"/>
      <c r="N48" s="102">
        <f t="shared" ref="N48" si="28">SUM(N46:N47)</f>
        <v>34527</v>
      </c>
      <c r="O48" s="188">
        <f t="shared" si="5"/>
        <v>34527</v>
      </c>
      <c r="P48" s="18"/>
      <c r="Q48" s="36">
        <f t="shared" si="6"/>
        <v>1407910</v>
      </c>
      <c r="R48" s="36"/>
    </row>
    <row r="49" spans="2:18">
      <c r="E49" s="17"/>
      <c r="F49" s="17"/>
      <c r="G49" s="17"/>
      <c r="H49" s="17"/>
      <c r="I49" s="17"/>
      <c r="J49" s="17"/>
      <c r="K49" s="189"/>
      <c r="L49" s="17"/>
      <c r="M49" s="18"/>
      <c r="N49" s="100"/>
      <c r="O49" s="189">
        <f t="shared" si="5"/>
        <v>0</v>
      </c>
      <c r="P49" s="18"/>
      <c r="Q49" s="17">
        <f t="shared" si="6"/>
        <v>0</v>
      </c>
      <c r="R49" s="17"/>
    </row>
    <row r="50" spans="2:18">
      <c r="C50" s="2" t="s">
        <v>29</v>
      </c>
      <c r="E50" s="102">
        <f>E20+E33+E43+E48</f>
        <v>5507327</v>
      </c>
      <c r="F50" s="102"/>
      <c r="G50" s="102">
        <f>G20+G33+G43+G48</f>
        <v>5513685</v>
      </c>
      <c r="H50" s="102"/>
      <c r="I50" s="102">
        <f>I20+I33+I43+I48</f>
        <v>75709</v>
      </c>
      <c r="J50" s="102">
        <f>J20+J33+J43+J48</f>
        <v>166836</v>
      </c>
      <c r="K50" s="190">
        <f t="shared" si="3"/>
        <v>242545</v>
      </c>
      <c r="L50" s="102">
        <f t="shared" si="4"/>
        <v>5756230</v>
      </c>
      <c r="M50" s="154"/>
      <c r="N50" s="102">
        <f t="shared" ref="N50" si="29">N20+N33+N43+N48</f>
        <v>136830</v>
      </c>
      <c r="O50" s="190">
        <f t="shared" si="5"/>
        <v>136830</v>
      </c>
      <c r="P50" s="154"/>
      <c r="Q50" s="102">
        <f t="shared" si="6"/>
        <v>5893060</v>
      </c>
      <c r="R50" s="102"/>
    </row>
    <row r="51" spans="2:18">
      <c r="D51" s="2">
        <f>D29</f>
        <v>0</v>
      </c>
      <c r="E51" s="17"/>
      <c r="F51" s="17"/>
      <c r="G51" s="17"/>
      <c r="H51" s="17"/>
      <c r="I51" s="17"/>
      <c r="J51" s="17"/>
      <c r="K51" s="189"/>
      <c r="L51" s="17"/>
      <c r="M51" s="18"/>
      <c r="N51" s="100"/>
      <c r="O51" s="189"/>
      <c r="P51" s="18"/>
      <c r="Q51" s="17"/>
      <c r="R51" s="17"/>
    </row>
    <row r="52" spans="2:18">
      <c r="C52" s="2" t="s">
        <v>2</v>
      </c>
      <c r="E52" s="17"/>
      <c r="F52" s="17"/>
      <c r="G52" s="17"/>
      <c r="H52" s="17"/>
      <c r="I52" s="17"/>
      <c r="J52" s="17"/>
      <c r="K52" s="189"/>
      <c r="L52" s="17"/>
      <c r="M52" s="18"/>
      <c r="N52" s="100"/>
      <c r="O52" s="189"/>
      <c r="P52" s="18"/>
      <c r="Q52" s="17"/>
      <c r="R52" s="17"/>
    </row>
    <row r="53" spans="2:18">
      <c r="B53" s="2" t="s">
        <v>27</v>
      </c>
      <c r="C53" s="1">
        <v>560</v>
      </c>
      <c r="D53" s="1" t="s">
        <v>34</v>
      </c>
      <c r="E53" s="17">
        <f>'AN Electric'!L55</f>
        <v>381282</v>
      </c>
      <c r="F53" s="17"/>
      <c r="G53" s="17">
        <f t="shared" ref="G53:G65" si="30">F53+E53</f>
        <v>381282</v>
      </c>
      <c r="H53" s="17"/>
      <c r="I53" s="19">
        <f t="shared" ref="I53:I65" si="31">ROUND(IF($B53="a",G53*I$5,G53*I$6),0)</f>
        <v>4736</v>
      </c>
      <c r="J53" s="19">
        <f t="shared" ref="J53:J65" si="32">ROUND(IF($B53="a",(G53+I53)*J$5,(G53+I53)*J$6),0)</f>
        <v>10809</v>
      </c>
      <c r="K53" s="186">
        <f t="shared" si="3"/>
        <v>15545</v>
      </c>
      <c r="L53" s="19">
        <f t="shared" si="4"/>
        <v>396827</v>
      </c>
      <c r="M53" s="44"/>
      <c r="N53" s="19">
        <f t="shared" ref="N53:N65" si="33">ROUND(IF($B53="a",(G53+I53+J53)*N$5,(G53+I53+J53)*N$6),0)</f>
        <v>9976</v>
      </c>
      <c r="O53" s="186">
        <f t="shared" si="5"/>
        <v>9976</v>
      </c>
      <c r="P53" s="44"/>
      <c r="Q53" s="19">
        <f t="shared" si="6"/>
        <v>406803</v>
      </c>
      <c r="R53" s="19"/>
    </row>
    <row r="54" spans="2:18">
      <c r="B54" s="2" t="s">
        <v>27</v>
      </c>
      <c r="C54" s="1">
        <v>561</v>
      </c>
      <c r="D54" s="1" t="s">
        <v>61</v>
      </c>
      <c r="E54" s="17">
        <f>'AN Electric'!L56</f>
        <v>532995</v>
      </c>
      <c r="F54" s="17"/>
      <c r="G54" s="17">
        <f t="shared" si="30"/>
        <v>532995</v>
      </c>
      <c r="H54" s="17"/>
      <c r="I54" s="19">
        <f t="shared" si="31"/>
        <v>6620</v>
      </c>
      <c r="J54" s="19">
        <f t="shared" si="32"/>
        <v>15109</v>
      </c>
      <c r="K54" s="186">
        <f t="shared" si="3"/>
        <v>21729</v>
      </c>
      <c r="L54" s="19">
        <f t="shared" si="4"/>
        <v>554724</v>
      </c>
      <c r="M54" s="44"/>
      <c r="N54" s="19">
        <f t="shared" si="33"/>
        <v>13946</v>
      </c>
      <c r="O54" s="186">
        <f t="shared" si="5"/>
        <v>13946</v>
      </c>
      <c r="P54" s="44"/>
      <c r="Q54" s="19">
        <f t="shared" si="6"/>
        <v>568670</v>
      </c>
      <c r="R54" s="19"/>
    </row>
    <row r="55" spans="2:18">
      <c r="C55" s="1">
        <v>562</v>
      </c>
      <c r="D55" s="1" t="s">
        <v>62</v>
      </c>
      <c r="E55" s="17">
        <f>'AN Electric'!L57</f>
        <v>57476</v>
      </c>
      <c r="F55" s="17"/>
      <c r="G55" s="17">
        <f t="shared" si="30"/>
        <v>57476</v>
      </c>
      <c r="H55" s="17"/>
      <c r="I55" s="20">
        <f t="shared" si="31"/>
        <v>836</v>
      </c>
      <c r="J55" s="20">
        <f t="shared" si="32"/>
        <v>1808</v>
      </c>
      <c r="K55" s="187">
        <f t="shared" si="3"/>
        <v>2644</v>
      </c>
      <c r="L55" s="20">
        <f t="shared" si="4"/>
        <v>60120</v>
      </c>
      <c r="M55" s="43"/>
      <c r="N55" s="239">
        <f t="shared" si="33"/>
        <v>1378</v>
      </c>
      <c r="O55" s="187">
        <f t="shared" si="5"/>
        <v>1378</v>
      </c>
      <c r="P55" s="43"/>
      <c r="Q55" s="20">
        <f t="shared" si="6"/>
        <v>61498</v>
      </c>
      <c r="R55" s="20"/>
    </row>
    <row r="56" spans="2:18">
      <c r="C56" s="1">
        <v>563</v>
      </c>
      <c r="D56" s="1" t="s">
        <v>63</v>
      </c>
      <c r="E56" s="17">
        <f>'AN Electric'!L58</f>
        <v>22170</v>
      </c>
      <c r="F56" s="17"/>
      <c r="G56" s="17">
        <f t="shared" si="30"/>
        <v>22170</v>
      </c>
      <c r="H56" s="17"/>
      <c r="I56" s="20">
        <f t="shared" si="31"/>
        <v>323</v>
      </c>
      <c r="J56" s="20">
        <f t="shared" si="32"/>
        <v>697</v>
      </c>
      <c r="K56" s="187">
        <f t="shared" si="3"/>
        <v>1020</v>
      </c>
      <c r="L56" s="20">
        <f t="shared" si="4"/>
        <v>23190</v>
      </c>
      <c r="M56" s="43"/>
      <c r="N56" s="239">
        <f t="shared" si="33"/>
        <v>532</v>
      </c>
      <c r="O56" s="187">
        <f t="shared" si="5"/>
        <v>532</v>
      </c>
      <c r="P56" s="43"/>
      <c r="Q56" s="20">
        <f t="shared" si="6"/>
        <v>23722</v>
      </c>
      <c r="R56" s="20"/>
    </row>
    <row r="57" spans="2:18">
      <c r="C57" s="1">
        <v>564</v>
      </c>
      <c r="D57" s="1" t="s">
        <v>64</v>
      </c>
      <c r="E57" s="17">
        <f>'AN Electric'!L59</f>
        <v>0</v>
      </c>
      <c r="F57" s="17"/>
      <c r="G57" s="17">
        <f t="shared" si="30"/>
        <v>0</v>
      </c>
      <c r="H57" s="17"/>
      <c r="I57" s="20">
        <f t="shared" si="31"/>
        <v>0</v>
      </c>
      <c r="J57" s="20">
        <f t="shared" si="32"/>
        <v>0</v>
      </c>
      <c r="K57" s="187">
        <f t="shared" si="3"/>
        <v>0</v>
      </c>
      <c r="L57" s="20">
        <f t="shared" si="4"/>
        <v>0</v>
      </c>
      <c r="M57" s="43"/>
      <c r="N57" s="239">
        <f t="shared" si="33"/>
        <v>0</v>
      </c>
      <c r="O57" s="187">
        <f t="shared" si="5"/>
        <v>0</v>
      </c>
      <c r="P57" s="43"/>
      <c r="Q57" s="20">
        <f t="shared" si="6"/>
        <v>0</v>
      </c>
      <c r="R57" s="20"/>
    </row>
    <row r="58" spans="2:18">
      <c r="C58" s="1">
        <v>566</v>
      </c>
      <c r="D58" s="1" t="s">
        <v>65</v>
      </c>
      <c r="E58" s="17">
        <f>'AN Electric'!L60</f>
        <v>152158</v>
      </c>
      <c r="F58" s="17"/>
      <c r="G58" s="17">
        <f t="shared" si="30"/>
        <v>152158</v>
      </c>
      <c r="H58" s="17"/>
      <c r="I58" s="20">
        <f t="shared" si="31"/>
        <v>2214</v>
      </c>
      <c r="J58" s="20">
        <f t="shared" si="32"/>
        <v>4786</v>
      </c>
      <c r="K58" s="187">
        <f t="shared" si="3"/>
        <v>7000</v>
      </c>
      <c r="L58" s="20">
        <f t="shared" si="4"/>
        <v>159158</v>
      </c>
      <c r="M58" s="43"/>
      <c r="N58" s="239">
        <f t="shared" si="33"/>
        <v>3648</v>
      </c>
      <c r="O58" s="187">
        <f t="shared" si="5"/>
        <v>3648</v>
      </c>
      <c r="P58" s="43"/>
      <c r="Q58" s="20">
        <f t="shared" si="6"/>
        <v>162806</v>
      </c>
      <c r="R58" s="20"/>
    </row>
    <row r="59" spans="2:18">
      <c r="B59" s="128"/>
      <c r="C59" s="30">
        <v>567</v>
      </c>
      <c r="D59" s="30" t="s">
        <v>194</v>
      </c>
      <c r="E59" s="17">
        <f>'AN Electric'!L61</f>
        <v>7239</v>
      </c>
      <c r="F59" s="17"/>
      <c r="G59" s="17">
        <f t="shared" si="30"/>
        <v>7239</v>
      </c>
      <c r="H59" s="17"/>
      <c r="I59" s="20">
        <f t="shared" si="31"/>
        <v>105</v>
      </c>
      <c r="J59" s="20">
        <f t="shared" si="32"/>
        <v>228</v>
      </c>
      <c r="K59" s="187">
        <f t="shared" si="3"/>
        <v>333</v>
      </c>
      <c r="L59" s="20">
        <f t="shared" si="4"/>
        <v>7572</v>
      </c>
      <c r="M59" s="43"/>
      <c r="N59" s="239">
        <f t="shared" si="33"/>
        <v>174</v>
      </c>
      <c r="O59" s="187">
        <f t="shared" si="5"/>
        <v>174</v>
      </c>
      <c r="P59" s="43"/>
      <c r="Q59" s="20">
        <f t="shared" si="6"/>
        <v>7746</v>
      </c>
      <c r="R59" s="20"/>
    </row>
    <row r="60" spans="2:18">
      <c r="B60" s="2" t="s">
        <v>27</v>
      </c>
      <c r="C60" s="1">
        <v>568</v>
      </c>
      <c r="D60" s="1" t="s">
        <v>34</v>
      </c>
      <c r="E60" s="17">
        <f>'AN Electric'!L62</f>
        <v>153527</v>
      </c>
      <c r="F60" s="17"/>
      <c r="G60" s="17">
        <f t="shared" si="30"/>
        <v>153527</v>
      </c>
      <c r="H60" s="17"/>
      <c r="I60" s="19">
        <f t="shared" si="31"/>
        <v>1907</v>
      </c>
      <c r="J60" s="19">
        <f t="shared" si="32"/>
        <v>4352</v>
      </c>
      <c r="K60" s="186">
        <f t="shared" si="3"/>
        <v>6259</v>
      </c>
      <c r="L60" s="19">
        <f t="shared" si="4"/>
        <v>159786</v>
      </c>
      <c r="M60" s="44"/>
      <c r="N60" s="19">
        <f t="shared" si="33"/>
        <v>4017</v>
      </c>
      <c r="O60" s="186">
        <f t="shared" si="5"/>
        <v>4017</v>
      </c>
      <c r="P60" s="44"/>
      <c r="Q60" s="19">
        <f t="shared" si="6"/>
        <v>163803</v>
      </c>
      <c r="R60" s="19"/>
    </row>
    <row r="61" spans="2:18">
      <c r="C61" s="1">
        <v>569</v>
      </c>
      <c r="D61" s="1" t="s">
        <v>39</v>
      </c>
      <c r="E61" s="17">
        <f>'AN Electric'!L63</f>
        <v>95935</v>
      </c>
      <c r="F61" s="17"/>
      <c r="G61" s="17">
        <f t="shared" si="30"/>
        <v>95935</v>
      </c>
      <c r="H61" s="17"/>
      <c r="I61" s="20">
        <f t="shared" si="31"/>
        <v>1396</v>
      </c>
      <c r="J61" s="20">
        <f t="shared" si="32"/>
        <v>3017</v>
      </c>
      <c r="K61" s="187">
        <f t="shared" si="3"/>
        <v>4413</v>
      </c>
      <c r="L61" s="20">
        <f t="shared" si="4"/>
        <v>100348</v>
      </c>
      <c r="M61" s="43"/>
      <c r="N61" s="239">
        <f t="shared" si="33"/>
        <v>2300</v>
      </c>
      <c r="O61" s="187">
        <f t="shared" si="5"/>
        <v>2300</v>
      </c>
      <c r="P61" s="43"/>
      <c r="Q61" s="20">
        <f t="shared" si="6"/>
        <v>102648</v>
      </c>
      <c r="R61" s="20"/>
    </row>
    <row r="62" spans="2:18">
      <c r="C62" s="1">
        <v>570</v>
      </c>
      <c r="D62" s="1" t="s">
        <v>66</v>
      </c>
      <c r="E62" s="17">
        <f>'AN Electric'!L64</f>
        <v>223842</v>
      </c>
      <c r="F62" s="17"/>
      <c r="G62" s="17">
        <f t="shared" si="30"/>
        <v>223842</v>
      </c>
      <c r="H62" s="17"/>
      <c r="I62" s="20">
        <f t="shared" si="31"/>
        <v>3257</v>
      </c>
      <c r="J62" s="20">
        <f t="shared" si="32"/>
        <v>7040</v>
      </c>
      <c r="K62" s="187">
        <f t="shared" si="3"/>
        <v>10297</v>
      </c>
      <c r="L62" s="20">
        <f t="shared" si="4"/>
        <v>234139</v>
      </c>
      <c r="M62" s="43"/>
      <c r="N62" s="239">
        <f t="shared" si="33"/>
        <v>5366</v>
      </c>
      <c r="O62" s="187">
        <f t="shared" si="5"/>
        <v>5366</v>
      </c>
      <c r="P62" s="43"/>
      <c r="Q62" s="20">
        <f t="shared" si="6"/>
        <v>239505</v>
      </c>
      <c r="R62" s="20"/>
    </row>
    <row r="63" spans="2:18">
      <c r="C63" s="1">
        <v>571</v>
      </c>
      <c r="D63" s="1" t="s">
        <v>67</v>
      </c>
      <c r="E63" s="17">
        <f>'AN Electric'!L65</f>
        <v>13628</v>
      </c>
      <c r="F63" s="17"/>
      <c r="G63" s="17">
        <f t="shared" si="30"/>
        <v>13628</v>
      </c>
      <c r="H63" s="17"/>
      <c r="I63" s="20">
        <f t="shared" si="31"/>
        <v>198</v>
      </c>
      <c r="J63" s="20">
        <f t="shared" si="32"/>
        <v>429</v>
      </c>
      <c r="K63" s="187">
        <f t="shared" si="3"/>
        <v>627</v>
      </c>
      <c r="L63" s="20">
        <f t="shared" si="4"/>
        <v>14255</v>
      </c>
      <c r="M63" s="43"/>
      <c r="N63" s="239">
        <f t="shared" si="33"/>
        <v>327</v>
      </c>
      <c r="O63" s="187">
        <f t="shared" si="5"/>
        <v>327</v>
      </c>
      <c r="P63" s="43"/>
      <c r="Q63" s="20">
        <f t="shared" si="6"/>
        <v>14582</v>
      </c>
      <c r="R63" s="20"/>
    </row>
    <row r="64" spans="2:18">
      <c r="C64" s="1">
        <v>572</v>
      </c>
      <c r="D64" s="1" t="s">
        <v>68</v>
      </c>
      <c r="E64" s="17">
        <f>'AN Electric'!L66</f>
        <v>1742</v>
      </c>
      <c r="F64" s="17"/>
      <c r="G64" s="17">
        <f t="shared" si="30"/>
        <v>1742</v>
      </c>
      <c r="H64" s="17"/>
      <c r="I64" s="20">
        <f t="shared" si="31"/>
        <v>25</v>
      </c>
      <c r="J64" s="20">
        <f t="shared" si="32"/>
        <v>55</v>
      </c>
      <c r="K64" s="187">
        <f t="shared" si="3"/>
        <v>80</v>
      </c>
      <c r="L64" s="20">
        <f t="shared" si="4"/>
        <v>1822</v>
      </c>
      <c r="M64" s="43"/>
      <c r="N64" s="239">
        <f t="shared" si="33"/>
        <v>42</v>
      </c>
      <c r="O64" s="187">
        <f t="shared" si="5"/>
        <v>42</v>
      </c>
      <c r="P64" s="43"/>
      <c r="Q64" s="20">
        <f t="shared" si="6"/>
        <v>1864</v>
      </c>
      <c r="R64" s="20"/>
    </row>
    <row r="65" spans="2:18">
      <c r="C65" s="1">
        <v>573</v>
      </c>
      <c r="D65" s="1" t="s">
        <v>69</v>
      </c>
      <c r="E65" s="17">
        <f>'AN Electric'!L67</f>
        <v>8747</v>
      </c>
      <c r="F65" s="17"/>
      <c r="G65" s="17">
        <f t="shared" si="30"/>
        <v>8747</v>
      </c>
      <c r="H65" s="17"/>
      <c r="I65" s="20">
        <f t="shared" si="31"/>
        <v>127</v>
      </c>
      <c r="J65" s="20">
        <f t="shared" si="32"/>
        <v>275</v>
      </c>
      <c r="K65" s="187">
        <f t="shared" si="3"/>
        <v>402</v>
      </c>
      <c r="L65" s="20">
        <f t="shared" si="4"/>
        <v>9149</v>
      </c>
      <c r="M65" s="43"/>
      <c r="N65" s="239">
        <f t="shared" si="33"/>
        <v>210</v>
      </c>
      <c r="O65" s="187">
        <f t="shared" si="5"/>
        <v>210</v>
      </c>
      <c r="P65" s="43"/>
      <c r="Q65" s="20">
        <f t="shared" si="6"/>
        <v>9359</v>
      </c>
      <c r="R65" s="20"/>
    </row>
    <row r="66" spans="2:18">
      <c r="C66" s="2" t="s">
        <v>3</v>
      </c>
      <c r="E66" s="36">
        <f t="shared" ref="E66:G66" si="34">SUM(E53:E65)</f>
        <v>1650741</v>
      </c>
      <c r="F66" s="36"/>
      <c r="G66" s="36">
        <f t="shared" si="34"/>
        <v>1650741</v>
      </c>
      <c r="H66" s="36"/>
      <c r="I66" s="36">
        <f t="shared" ref="I66:J66" si="35">SUM(I53:I65)</f>
        <v>21744</v>
      </c>
      <c r="J66" s="36">
        <f t="shared" si="35"/>
        <v>48605</v>
      </c>
      <c r="K66" s="188">
        <f t="shared" si="3"/>
        <v>70349</v>
      </c>
      <c r="L66" s="36">
        <f t="shared" si="4"/>
        <v>1721090</v>
      </c>
      <c r="M66" s="18"/>
      <c r="N66" s="102">
        <f t="shared" ref="N66" si="36">SUM(N53:N65)</f>
        <v>41916</v>
      </c>
      <c r="O66" s="188">
        <f t="shared" si="5"/>
        <v>41916</v>
      </c>
      <c r="P66" s="18"/>
      <c r="Q66" s="36">
        <f t="shared" si="6"/>
        <v>1763006</v>
      </c>
      <c r="R66" s="36"/>
    </row>
    <row r="67" spans="2:18">
      <c r="E67" s="17"/>
      <c r="F67" s="17"/>
      <c r="G67" s="17"/>
      <c r="H67" s="17"/>
      <c r="I67" s="17"/>
      <c r="J67" s="17"/>
      <c r="K67" s="189"/>
      <c r="L67" s="17"/>
      <c r="M67" s="18"/>
      <c r="N67" s="100"/>
      <c r="O67" s="189"/>
      <c r="P67" s="18"/>
      <c r="Q67" s="17"/>
      <c r="R67" s="17"/>
    </row>
    <row r="68" spans="2:18">
      <c r="C68" s="2" t="s">
        <v>4</v>
      </c>
      <c r="E68" s="17"/>
      <c r="F68" s="17"/>
      <c r="G68" s="17"/>
      <c r="H68" s="17"/>
      <c r="I68" s="17"/>
      <c r="J68" s="17"/>
      <c r="K68" s="189"/>
      <c r="L68" s="17"/>
      <c r="M68" s="18"/>
      <c r="N68" s="100"/>
      <c r="O68" s="189"/>
      <c r="P68" s="18"/>
      <c r="Q68" s="17"/>
      <c r="R68" s="17"/>
    </row>
    <row r="69" spans="2:18">
      <c r="B69" s="2" t="s">
        <v>27</v>
      </c>
      <c r="C69" s="1">
        <v>580</v>
      </c>
      <c r="D69" s="1" t="s">
        <v>34</v>
      </c>
      <c r="E69" s="17">
        <f>'AN Electric'!L71</f>
        <v>783141</v>
      </c>
      <c r="F69" s="17"/>
      <c r="G69" s="17">
        <f t="shared" ref="G69:G87" si="37">F69+E69</f>
        <v>783141</v>
      </c>
      <c r="H69" s="17"/>
      <c r="I69" s="19">
        <f t="shared" ref="I69:I87" si="38">ROUND(IF($B69="a",G69*I$5,G69*I$6),0)</f>
        <v>9727</v>
      </c>
      <c r="J69" s="19">
        <f t="shared" ref="J69:J84" si="39">ROUND(IF($B69="a",(G69+I69)*J$5,(G69+I69)*J$6),0)</f>
        <v>22200</v>
      </c>
      <c r="K69" s="186">
        <f t="shared" si="3"/>
        <v>31927</v>
      </c>
      <c r="L69" s="19">
        <f t="shared" si="4"/>
        <v>815068</v>
      </c>
      <c r="M69" s="44"/>
      <c r="N69" s="19">
        <f t="shared" ref="N69:N87" si="40">ROUND(IF($B69="a",(G69+I69+J69)*N$5,(G69+I69+J69)*N$6),0)</f>
        <v>20491</v>
      </c>
      <c r="O69" s="186">
        <f t="shared" si="5"/>
        <v>20491</v>
      </c>
      <c r="P69" s="44"/>
      <c r="Q69" s="19">
        <f t="shared" si="6"/>
        <v>835559</v>
      </c>
      <c r="R69" s="19"/>
    </row>
    <row r="70" spans="2:18">
      <c r="B70" s="2" t="s">
        <v>27</v>
      </c>
      <c r="C70" s="1">
        <v>581</v>
      </c>
      <c r="D70" s="1" t="s">
        <v>61</v>
      </c>
      <c r="E70" s="17">
        <f>'AN Electric'!L72</f>
        <v>0</v>
      </c>
      <c r="F70" s="17"/>
      <c r="G70" s="17">
        <f t="shared" si="37"/>
        <v>0</v>
      </c>
      <c r="H70" s="17"/>
      <c r="I70" s="19">
        <f t="shared" si="38"/>
        <v>0</v>
      </c>
      <c r="J70" s="19">
        <f t="shared" si="39"/>
        <v>0</v>
      </c>
      <c r="K70" s="186">
        <f t="shared" si="3"/>
        <v>0</v>
      </c>
      <c r="L70" s="19">
        <f t="shared" si="4"/>
        <v>0</v>
      </c>
      <c r="M70" s="44"/>
      <c r="N70" s="19">
        <f t="shared" si="40"/>
        <v>0</v>
      </c>
      <c r="O70" s="186">
        <f t="shared" si="5"/>
        <v>0</v>
      </c>
      <c r="P70" s="44"/>
      <c r="Q70" s="19">
        <f t="shared" si="6"/>
        <v>0</v>
      </c>
      <c r="R70" s="19"/>
    </row>
    <row r="71" spans="2:18">
      <c r="C71" s="1">
        <v>582</v>
      </c>
      <c r="D71" s="1" t="s">
        <v>62</v>
      </c>
      <c r="E71" s="17">
        <f>'AN Electric'!L73</f>
        <v>154662</v>
      </c>
      <c r="F71" s="17"/>
      <c r="G71" s="17">
        <f t="shared" si="37"/>
        <v>154662</v>
      </c>
      <c r="H71" s="17"/>
      <c r="I71" s="20">
        <f t="shared" si="38"/>
        <v>2250</v>
      </c>
      <c r="J71" s="20">
        <f t="shared" si="39"/>
        <v>4864</v>
      </c>
      <c r="K71" s="187">
        <f t="shared" si="3"/>
        <v>7114</v>
      </c>
      <c r="L71" s="20">
        <f t="shared" si="4"/>
        <v>161776</v>
      </c>
      <c r="M71" s="43"/>
      <c r="N71" s="239">
        <f t="shared" si="40"/>
        <v>3708</v>
      </c>
      <c r="O71" s="187">
        <f t="shared" si="5"/>
        <v>3708</v>
      </c>
      <c r="P71" s="43"/>
      <c r="Q71" s="20">
        <f t="shared" si="6"/>
        <v>165484</v>
      </c>
      <c r="R71" s="20"/>
    </row>
    <row r="72" spans="2:18">
      <c r="C72" s="1">
        <v>583</v>
      </c>
      <c r="D72" s="1" t="s">
        <v>63</v>
      </c>
      <c r="E72" s="17">
        <f>'AN Electric'!L74</f>
        <v>327083</v>
      </c>
      <c r="F72" s="17"/>
      <c r="G72" s="17">
        <f t="shared" si="37"/>
        <v>327083</v>
      </c>
      <c r="H72" s="17"/>
      <c r="I72" s="20">
        <f t="shared" si="38"/>
        <v>4759</v>
      </c>
      <c r="J72" s="20">
        <f t="shared" si="39"/>
        <v>10287</v>
      </c>
      <c r="K72" s="187">
        <f t="shared" si="3"/>
        <v>15046</v>
      </c>
      <c r="L72" s="20">
        <f t="shared" si="4"/>
        <v>342129</v>
      </c>
      <c r="M72" s="43"/>
      <c r="N72" s="239">
        <f t="shared" si="40"/>
        <v>7842</v>
      </c>
      <c r="O72" s="187">
        <f t="shared" si="5"/>
        <v>7842</v>
      </c>
      <c r="P72" s="43"/>
      <c r="Q72" s="20">
        <f t="shared" si="6"/>
        <v>349971</v>
      </c>
      <c r="R72" s="20"/>
    </row>
    <row r="73" spans="2:18">
      <c r="C73" s="1">
        <v>584</v>
      </c>
      <c r="D73" s="1">
        <f>D51</f>
        <v>0</v>
      </c>
      <c r="E73" s="17">
        <f>'AN Electric'!L75</f>
        <v>162675</v>
      </c>
      <c r="F73" s="17"/>
      <c r="G73" s="17">
        <f t="shared" si="37"/>
        <v>162675</v>
      </c>
      <c r="H73" s="17"/>
      <c r="I73" s="20">
        <f t="shared" si="38"/>
        <v>2367</v>
      </c>
      <c r="J73" s="20">
        <f t="shared" si="39"/>
        <v>5116</v>
      </c>
      <c r="K73" s="187">
        <f t="shared" si="3"/>
        <v>7483</v>
      </c>
      <c r="L73" s="20">
        <f t="shared" si="4"/>
        <v>170158</v>
      </c>
      <c r="M73" s="43"/>
      <c r="N73" s="239">
        <f t="shared" si="40"/>
        <v>3900</v>
      </c>
      <c r="O73" s="187">
        <f t="shared" si="5"/>
        <v>3900</v>
      </c>
      <c r="P73" s="43"/>
      <c r="Q73" s="20">
        <f t="shared" si="6"/>
        <v>174058</v>
      </c>
      <c r="R73" s="20"/>
    </row>
    <row r="74" spans="2:18">
      <c r="C74" s="1">
        <v>585</v>
      </c>
      <c r="D74" s="1" t="s">
        <v>70</v>
      </c>
      <c r="E74" s="17">
        <f>'AN Electric'!L76</f>
        <v>8308</v>
      </c>
      <c r="F74" s="17"/>
      <c r="G74" s="17">
        <f t="shared" si="37"/>
        <v>8308</v>
      </c>
      <c r="H74" s="17"/>
      <c r="I74" s="20">
        <f t="shared" si="38"/>
        <v>121</v>
      </c>
      <c r="J74" s="20">
        <f t="shared" si="39"/>
        <v>261</v>
      </c>
      <c r="K74" s="187">
        <f t="shared" ref="K74:K122" si="41">SUM(I74:J74)</f>
        <v>382</v>
      </c>
      <c r="L74" s="20">
        <f t="shared" ref="L74:L122" si="42">G74+K74</f>
        <v>8690</v>
      </c>
      <c r="M74" s="43"/>
      <c r="N74" s="239">
        <f t="shared" si="40"/>
        <v>199</v>
      </c>
      <c r="O74" s="187">
        <f t="shared" ref="O74:O122" si="43">N74</f>
        <v>199</v>
      </c>
      <c r="P74" s="43"/>
      <c r="Q74" s="20">
        <f t="shared" ref="Q74:Q122" si="44">L74+O74</f>
        <v>8889</v>
      </c>
      <c r="R74" s="20"/>
    </row>
    <row r="75" spans="2:18">
      <c r="C75" s="1">
        <v>586</v>
      </c>
      <c r="D75" s="1" t="s">
        <v>71</v>
      </c>
      <c r="E75" s="17">
        <f>'AN Electric'!L77</f>
        <v>203760</v>
      </c>
      <c r="F75" s="17"/>
      <c r="G75" s="17">
        <f t="shared" si="37"/>
        <v>203760</v>
      </c>
      <c r="H75" s="17"/>
      <c r="I75" s="20">
        <f t="shared" si="38"/>
        <v>2965</v>
      </c>
      <c r="J75" s="20">
        <f t="shared" si="39"/>
        <v>6408</v>
      </c>
      <c r="K75" s="187">
        <f t="shared" si="41"/>
        <v>9373</v>
      </c>
      <c r="L75" s="20">
        <f t="shared" si="42"/>
        <v>213133</v>
      </c>
      <c r="M75" s="43"/>
      <c r="N75" s="239">
        <f t="shared" si="40"/>
        <v>4885</v>
      </c>
      <c r="O75" s="187">
        <f t="shared" si="43"/>
        <v>4885</v>
      </c>
      <c r="P75" s="43"/>
      <c r="Q75" s="20">
        <f t="shared" si="44"/>
        <v>218018</v>
      </c>
      <c r="R75" s="20"/>
    </row>
    <row r="76" spans="2:18">
      <c r="C76" s="1">
        <v>587</v>
      </c>
      <c r="D76" s="1" t="s">
        <v>72</v>
      </c>
      <c r="E76" s="17">
        <f>'AN Electric'!L78</f>
        <v>169923</v>
      </c>
      <c r="F76" s="17"/>
      <c r="G76" s="17">
        <f t="shared" si="37"/>
        <v>169923</v>
      </c>
      <c r="H76" s="17"/>
      <c r="I76" s="20">
        <f t="shared" si="38"/>
        <v>2472</v>
      </c>
      <c r="J76" s="20">
        <f t="shared" si="39"/>
        <v>5344</v>
      </c>
      <c r="K76" s="187">
        <f t="shared" si="41"/>
        <v>7816</v>
      </c>
      <c r="L76" s="20">
        <f t="shared" si="42"/>
        <v>177739</v>
      </c>
      <c r="M76" s="43"/>
      <c r="N76" s="239">
        <f t="shared" si="40"/>
        <v>4074</v>
      </c>
      <c r="O76" s="187">
        <f t="shared" si="43"/>
        <v>4074</v>
      </c>
      <c r="P76" s="43"/>
      <c r="Q76" s="20">
        <f t="shared" si="44"/>
        <v>181813</v>
      </c>
      <c r="R76" s="20"/>
    </row>
    <row r="77" spans="2:18">
      <c r="C77" s="1">
        <v>588</v>
      </c>
      <c r="D77" s="1" t="s">
        <v>73</v>
      </c>
      <c r="E77" s="17">
        <f>'AN Electric'!L79</f>
        <v>1499655</v>
      </c>
      <c r="F77" s="17"/>
      <c r="G77" s="17">
        <f t="shared" si="37"/>
        <v>1499655</v>
      </c>
      <c r="H77" s="17"/>
      <c r="I77" s="20">
        <f t="shared" si="38"/>
        <v>21820</v>
      </c>
      <c r="J77" s="20">
        <f t="shared" si="39"/>
        <v>47166</v>
      </c>
      <c r="K77" s="187">
        <f t="shared" si="41"/>
        <v>68986</v>
      </c>
      <c r="L77" s="20">
        <f t="shared" si="42"/>
        <v>1568641</v>
      </c>
      <c r="M77" s="43"/>
      <c r="N77" s="239">
        <f t="shared" si="40"/>
        <v>35953</v>
      </c>
      <c r="O77" s="187">
        <f t="shared" si="43"/>
        <v>35953</v>
      </c>
      <c r="P77" s="43"/>
      <c r="Q77" s="20">
        <f t="shared" si="44"/>
        <v>1604594</v>
      </c>
      <c r="R77" s="20"/>
    </row>
    <row r="78" spans="2:18">
      <c r="C78" s="1">
        <v>589</v>
      </c>
      <c r="D78" s="1" t="s">
        <v>74</v>
      </c>
      <c r="E78" s="17">
        <f>'AN Electric'!L80</f>
        <v>5845</v>
      </c>
      <c r="F78" s="17"/>
      <c r="G78" s="17">
        <f t="shared" si="37"/>
        <v>5845</v>
      </c>
      <c r="H78" s="17"/>
      <c r="I78" s="20">
        <f t="shared" si="38"/>
        <v>85</v>
      </c>
      <c r="J78" s="20">
        <f t="shared" si="39"/>
        <v>184</v>
      </c>
      <c r="K78" s="187">
        <f t="shared" si="41"/>
        <v>269</v>
      </c>
      <c r="L78" s="20">
        <f t="shared" si="42"/>
        <v>6114</v>
      </c>
      <c r="M78" s="43"/>
      <c r="N78" s="239">
        <f t="shared" si="40"/>
        <v>140</v>
      </c>
      <c r="O78" s="187">
        <f t="shared" si="43"/>
        <v>140</v>
      </c>
      <c r="P78" s="43"/>
      <c r="Q78" s="20">
        <f t="shared" si="44"/>
        <v>6254</v>
      </c>
      <c r="R78" s="20"/>
    </row>
    <row r="79" spans="2:18">
      <c r="B79" s="2" t="s">
        <v>27</v>
      </c>
      <c r="C79" s="1">
        <v>590</v>
      </c>
      <c r="D79" s="1" t="s">
        <v>34</v>
      </c>
      <c r="E79" s="17">
        <f>'AN Electric'!L81</f>
        <v>173229</v>
      </c>
      <c r="F79" s="17"/>
      <c r="G79" s="17">
        <f t="shared" si="37"/>
        <v>173229</v>
      </c>
      <c r="H79" s="17"/>
      <c r="I79" s="19">
        <f t="shared" si="38"/>
        <v>2152</v>
      </c>
      <c r="J79" s="19">
        <f t="shared" si="39"/>
        <v>4911</v>
      </c>
      <c r="K79" s="186">
        <f t="shared" si="41"/>
        <v>7063</v>
      </c>
      <c r="L79" s="19">
        <f t="shared" si="42"/>
        <v>180292</v>
      </c>
      <c r="M79" s="44"/>
      <c r="N79" s="19">
        <f t="shared" si="40"/>
        <v>4533</v>
      </c>
      <c r="O79" s="186">
        <f t="shared" si="43"/>
        <v>4533</v>
      </c>
      <c r="P79" s="44"/>
      <c r="Q79" s="19">
        <f t="shared" si="44"/>
        <v>184825</v>
      </c>
      <c r="R79" s="19"/>
    </row>
    <row r="80" spans="2:18">
      <c r="C80" s="1">
        <v>591</v>
      </c>
      <c r="D80" s="1" t="s">
        <v>39</v>
      </c>
      <c r="E80" s="17">
        <f>'AN Electric'!L82</f>
        <v>60098</v>
      </c>
      <c r="F80" s="17"/>
      <c r="G80" s="17">
        <f t="shared" si="37"/>
        <v>60098</v>
      </c>
      <c r="H80" s="17"/>
      <c r="I80" s="20">
        <f t="shared" si="38"/>
        <v>874</v>
      </c>
      <c r="J80" s="20">
        <f t="shared" si="39"/>
        <v>1890</v>
      </c>
      <c r="K80" s="187">
        <f t="shared" si="41"/>
        <v>2764</v>
      </c>
      <c r="L80" s="20">
        <f t="shared" si="42"/>
        <v>62862</v>
      </c>
      <c r="M80" s="43"/>
      <c r="N80" s="239">
        <f t="shared" si="40"/>
        <v>1441</v>
      </c>
      <c r="O80" s="187">
        <f t="shared" si="43"/>
        <v>1441</v>
      </c>
      <c r="P80" s="43"/>
      <c r="Q80" s="20">
        <f t="shared" si="44"/>
        <v>64303</v>
      </c>
      <c r="R80" s="20"/>
    </row>
    <row r="81" spans="2:18">
      <c r="C81" s="1">
        <v>592</v>
      </c>
      <c r="D81" s="1" t="s">
        <v>75</v>
      </c>
      <c r="E81" s="17">
        <f>'AN Electric'!L83</f>
        <v>111938</v>
      </c>
      <c r="F81" s="17"/>
      <c r="G81" s="17">
        <f t="shared" si="37"/>
        <v>111938</v>
      </c>
      <c r="H81" s="17"/>
      <c r="I81" s="20">
        <f t="shared" si="38"/>
        <v>1629</v>
      </c>
      <c r="J81" s="20">
        <f t="shared" si="39"/>
        <v>3521</v>
      </c>
      <c r="K81" s="187">
        <f t="shared" si="41"/>
        <v>5150</v>
      </c>
      <c r="L81" s="20">
        <f t="shared" si="42"/>
        <v>117088</v>
      </c>
      <c r="M81" s="43"/>
      <c r="N81" s="239">
        <f t="shared" si="40"/>
        <v>2684</v>
      </c>
      <c r="O81" s="187">
        <f t="shared" si="43"/>
        <v>2684</v>
      </c>
      <c r="P81" s="43"/>
      <c r="Q81" s="20">
        <f t="shared" si="44"/>
        <v>119772</v>
      </c>
      <c r="R81" s="20"/>
    </row>
    <row r="82" spans="2:18">
      <c r="C82" s="1">
        <v>593</v>
      </c>
      <c r="D82" s="1" t="s">
        <v>67</v>
      </c>
      <c r="E82" s="17">
        <f>'AN Electric'!L84</f>
        <v>517628</v>
      </c>
      <c r="F82" s="17"/>
      <c r="G82" s="17">
        <f t="shared" si="37"/>
        <v>517628</v>
      </c>
      <c r="H82" s="17"/>
      <c r="I82" s="20">
        <f t="shared" si="38"/>
        <v>7531</v>
      </c>
      <c r="J82" s="20">
        <f t="shared" si="39"/>
        <v>16280</v>
      </c>
      <c r="K82" s="187">
        <f t="shared" si="41"/>
        <v>23811</v>
      </c>
      <c r="L82" s="20">
        <f t="shared" si="42"/>
        <v>541439</v>
      </c>
      <c r="M82" s="43"/>
      <c r="N82" s="239">
        <f t="shared" si="40"/>
        <v>12410</v>
      </c>
      <c r="O82" s="187">
        <f t="shared" si="43"/>
        <v>12410</v>
      </c>
      <c r="P82" s="43"/>
      <c r="Q82" s="20">
        <f t="shared" si="44"/>
        <v>553849</v>
      </c>
      <c r="R82" s="20"/>
    </row>
    <row r="83" spans="2:18">
      <c r="C83" s="1">
        <v>594</v>
      </c>
      <c r="D83" s="1" t="s">
        <v>76</v>
      </c>
      <c r="E83" s="17">
        <f>'AN Electric'!L85</f>
        <v>181546</v>
      </c>
      <c r="F83" s="17"/>
      <c r="G83" s="17">
        <f t="shared" si="37"/>
        <v>181546</v>
      </c>
      <c r="H83" s="17"/>
      <c r="I83" s="20">
        <f t="shared" si="38"/>
        <v>2641</v>
      </c>
      <c r="J83" s="20">
        <f t="shared" si="39"/>
        <v>5710</v>
      </c>
      <c r="K83" s="187">
        <f t="shared" si="41"/>
        <v>8351</v>
      </c>
      <c r="L83" s="20">
        <f t="shared" si="42"/>
        <v>189897</v>
      </c>
      <c r="M83" s="43"/>
      <c r="N83" s="239">
        <f t="shared" si="40"/>
        <v>4352</v>
      </c>
      <c r="O83" s="187">
        <f t="shared" si="43"/>
        <v>4352</v>
      </c>
      <c r="P83" s="43"/>
      <c r="Q83" s="20">
        <f t="shared" si="44"/>
        <v>194249</v>
      </c>
      <c r="R83" s="20"/>
    </row>
    <row r="84" spans="2:18">
      <c r="C84" s="1">
        <v>595</v>
      </c>
      <c r="D84" s="1" t="s">
        <v>77</v>
      </c>
      <c r="E84" s="17">
        <f>'AN Electric'!L86</f>
        <v>121569</v>
      </c>
      <c r="F84" s="17"/>
      <c r="G84" s="17">
        <f t="shared" si="37"/>
        <v>121569</v>
      </c>
      <c r="H84" s="17"/>
      <c r="I84" s="20">
        <f t="shared" si="38"/>
        <v>1769</v>
      </c>
      <c r="J84" s="20">
        <f t="shared" si="39"/>
        <v>3823</v>
      </c>
      <c r="K84" s="187">
        <f t="shared" si="41"/>
        <v>5592</v>
      </c>
      <c r="L84" s="20">
        <f t="shared" si="42"/>
        <v>127161</v>
      </c>
      <c r="M84" s="43"/>
      <c r="N84" s="239">
        <f t="shared" si="40"/>
        <v>2915</v>
      </c>
      <c r="O84" s="187">
        <f t="shared" si="43"/>
        <v>2915</v>
      </c>
      <c r="P84" s="43"/>
      <c r="Q84" s="20">
        <f t="shared" si="44"/>
        <v>130076</v>
      </c>
      <c r="R84" s="20"/>
    </row>
    <row r="85" spans="2:18">
      <c r="C85" s="1">
        <v>596</v>
      </c>
      <c r="D85" s="1" t="s">
        <v>78</v>
      </c>
      <c r="E85" s="17">
        <f>'AN Electric'!L87</f>
        <v>103931</v>
      </c>
      <c r="F85" s="17"/>
      <c r="G85" s="17">
        <f t="shared" si="37"/>
        <v>103931</v>
      </c>
      <c r="H85" s="17"/>
      <c r="I85" s="20">
        <f t="shared" si="38"/>
        <v>1512</v>
      </c>
      <c r="J85" s="20">
        <f t="shared" ref="J85:J87" si="45">ROUND(IF($B85="a",(G85+I85)*J$5,(G85+I85)*J$6),0)</f>
        <v>3269</v>
      </c>
      <c r="K85" s="187">
        <f t="shared" si="41"/>
        <v>4781</v>
      </c>
      <c r="L85" s="20">
        <f t="shared" si="42"/>
        <v>108712</v>
      </c>
      <c r="M85" s="43"/>
      <c r="N85" s="239">
        <f t="shared" si="40"/>
        <v>2492</v>
      </c>
      <c r="O85" s="187">
        <f t="shared" si="43"/>
        <v>2492</v>
      </c>
      <c r="P85" s="43"/>
      <c r="Q85" s="20">
        <f t="shared" si="44"/>
        <v>111204</v>
      </c>
      <c r="R85" s="20"/>
    </row>
    <row r="86" spans="2:18">
      <c r="C86" s="1">
        <v>597</v>
      </c>
      <c r="D86" s="1" t="s">
        <v>79</v>
      </c>
      <c r="E86" s="17">
        <f>'AN Electric'!L88</f>
        <v>4776</v>
      </c>
      <c r="F86" s="17"/>
      <c r="G86" s="17">
        <f t="shared" si="37"/>
        <v>4776</v>
      </c>
      <c r="H86" s="17"/>
      <c r="I86" s="20">
        <f t="shared" si="38"/>
        <v>69</v>
      </c>
      <c r="J86" s="20">
        <f t="shared" si="45"/>
        <v>150</v>
      </c>
      <c r="K86" s="187">
        <f t="shared" si="41"/>
        <v>219</v>
      </c>
      <c r="L86" s="20">
        <f t="shared" si="42"/>
        <v>4995</v>
      </c>
      <c r="M86" s="43"/>
      <c r="N86" s="239">
        <f t="shared" si="40"/>
        <v>114</v>
      </c>
      <c r="O86" s="187">
        <f t="shared" si="43"/>
        <v>114</v>
      </c>
      <c r="P86" s="43"/>
      <c r="Q86" s="20">
        <f t="shared" si="44"/>
        <v>5109</v>
      </c>
      <c r="R86" s="20"/>
    </row>
    <row r="87" spans="2:18">
      <c r="C87" s="1">
        <v>598</v>
      </c>
      <c r="D87" s="1" t="s">
        <v>73</v>
      </c>
      <c r="E87" s="17">
        <f>'AN Electric'!L89</f>
        <v>62741</v>
      </c>
      <c r="F87" s="17"/>
      <c r="G87" s="17">
        <f t="shared" si="37"/>
        <v>62741</v>
      </c>
      <c r="H87" s="17"/>
      <c r="I87" s="20">
        <f t="shared" si="38"/>
        <v>913</v>
      </c>
      <c r="J87" s="20">
        <f t="shared" si="45"/>
        <v>1973</v>
      </c>
      <c r="K87" s="187">
        <f t="shared" si="41"/>
        <v>2886</v>
      </c>
      <c r="L87" s="20">
        <f t="shared" si="42"/>
        <v>65627</v>
      </c>
      <c r="M87" s="43"/>
      <c r="N87" s="239">
        <f t="shared" si="40"/>
        <v>1504</v>
      </c>
      <c r="O87" s="187">
        <f t="shared" si="43"/>
        <v>1504</v>
      </c>
      <c r="P87" s="43"/>
      <c r="Q87" s="20">
        <f t="shared" si="44"/>
        <v>67131</v>
      </c>
      <c r="R87" s="20"/>
    </row>
    <row r="88" spans="2:18">
      <c r="C88" s="2" t="s">
        <v>5</v>
      </c>
      <c r="E88" s="36">
        <f t="shared" ref="E88:G88" si="46">SUM(E69:E87)</f>
        <v>4652508</v>
      </c>
      <c r="F88" s="36"/>
      <c r="G88" s="36">
        <f t="shared" si="46"/>
        <v>4652508</v>
      </c>
      <c r="H88" s="36"/>
      <c r="I88" s="36">
        <f t="shared" ref="I88:J88" si="47">SUM(I69:I87)</f>
        <v>65656</v>
      </c>
      <c r="J88" s="36">
        <f t="shared" si="47"/>
        <v>143357</v>
      </c>
      <c r="K88" s="188">
        <f t="shared" si="41"/>
        <v>209013</v>
      </c>
      <c r="L88" s="36">
        <f t="shared" si="42"/>
        <v>4861521</v>
      </c>
      <c r="M88" s="18"/>
      <c r="N88" s="102">
        <f t="shared" ref="N88" si="48">SUM(N69:N87)</f>
        <v>113637</v>
      </c>
      <c r="O88" s="188">
        <f t="shared" si="43"/>
        <v>113637</v>
      </c>
      <c r="P88" s="18"/>
      <c r="Q88" s="36">
        <f t="shared" si="44"/>
        <v>4975158</v>
      </c>
      <c r="R88" s="36"/>
    </row>
    <row r="89" spans="2:18">
      <c r="E89" s="17"/>
      <c r="F89" s="17"/>
      <c r="G89" s="17"/>
      <c r="H89" s="17"/>
      <c r="I89" s="17"/>
      <c r="J89" s="17"/>
      <c r="K89" s="189"/>
      <c r="L89" s="17"/>
      <c r="M89" s="18"/>
      <c r="N89" s="100"/>
      <c r="O89" s="189"/>
      <c r="P89" s="18"/>
      <c r="Q89" s="17"/>
      <c r="R89" s="17"/>
    </row>
    <row r="90" spans="2:18">
      <c r="C90" s="2" t="s">
        <v>6</v>
      </c>
      <c r="E90" s="17"/>
      <c r="F90" s="17"/>
      <c r="G90" s="17"/>
      <c r="H90" s="17"/>
      <c r="I90" s="17"/>
      <c r="J90" s="17"/>
      <c r="K90" s="189"/>
      <c r="L90" s="17"/>
      <c r="M90" s="18"/>
      <c r="N90" s="100"/>
      <c r="O90" s="189"/>
      <c r="P90" s="18"/>
      <c r="Q90" s="17"/>
      <c r="R90" s="17"/>
    </row>
    <row r="91" spans="2:18">
      <c r="B91" s="2" t="s">
        <v>27</v>
      </c>
      <c r="C91" s="1">
        <v>901</v>
      </c>
      <c r="D91" s="1" t="s">
        <v>80</v>
      </c>
      <c r="E91" s="17">
        <f>'AN Electric'!L93</f>
        <v>71778</v>
      </c>
      <c r="F91" s="17"/>
      <c r="G91" s="17">
        <f>F91+E91</f>
        <v>71778</v>
      </c>
      <c r="H91" s="17"/>
      <c r="I91" s="19">
        <f>ROUND(IF($B91="a",G91*I$5,G91*I$6),0)</f>
        <v>891</v>
      </c>
      <c r="J91" s="19">
        <f t="shared" ref="J91:J94" si="49">ROUND(IF($B91="a",(G91+I91)*J$5,(G91+I91)*J$6),0)</f>
        <v>2035</v>
      </c>
      <c r="K91" s="186">
        <f t="shared" si="41"/>
        <v>2926</v>
      </c>
      <c r="L91" s="19">
        <f t="shared" si="42"/>
        <v>74704</v>
      </c>
      <c r="M91" s="44"/>
      <c r="N91" s="19">
        <f>ROUND(IF($B91="a",(G91+I91+J91)*N$5,(G91+I91+J91)*N$6),0)</f>
        <v>1878</v>
      </c>
      <c r="O91" s="186">
        <f t="shared" si="43"/>
        <v>1878</v>
      </c>
      <c r="P91" s="44"/>
      <c r="Q91" s="19">
        <f t="shared" si="44"/>
        <v>76582</v>
      </c>
      <c r="R91" s="19"/>
    </row>
    <row r="92" spans="2:18">
      <c r="C92" s="1">
        <v>902</v>
      </c>
      <c r="D92" s="1" t="s">
        <v>81</v>
      </c>
      <c r="E92" s="17">
        <f>'AN Electric'!L94</f>
        <v>178143</v>
      </c>
      <c r="F92" s="17"/>
      <c r="G92" s="17">
        <f>F92+E92</f>
        <v>178143</v>
      </c>
      <c r="H92" s="17"/>
      <c r="I92" s="20">
        <f>ROUND(IF($B92="a",G92*I$5,G92*I$6),0)</f>
        <v>2592</v>
      </c>
      <c r="J92" s="20">
        <f t="shared" si="49"/>
        <v>5603</v>
      </c>
      <c r="K92" s="187">
        <f t="shared" si="41"/>
        <v>8195</v>
      </c>
      <c r="L92" s="20">
        <f t="shared" si="42"/>
        <v>186338</v>
      </c>
      <c r="M92" s="43"/>
      <c r="N92" s="239">
        <f>ROUND(IF($B92="a",(G92+I92+J92)*N$5,(G92+I92+J92)*N$6),0)</f>
        <v>4271</v>
      </c>
      <c r="O92" s="187">
        <f t="shared" si="43"/>
        <v>4271</v>
      </c>
      <c r="P92" s="43"/>
      <c r="Q92" s="20">
        <f t="shared" si="44"/>
        <v>190609</v>
      </c>
      <c r="R92" s="20"/>
    </row>
    <row r="93" spans="2:18">
      <c r="B93" s="2" t="s">
        <v>27</v>
      </c>
      <c r="C93" s="1">
        <v>903</v>
      </c>
      <c r="D93" s="1" t="s">
        <v>82</v>
      </c>
      <c r="E93" s="17">
        <f>'AN Electric'!L95</f>
        <v>1449314</v>
      </c>
      <c r="F93" s="17"/>
      <c r="G93" s="17">
        <f>F93+E93</f>
        <v>1449314</v>
      </c>
      <c r="H93" s="17"/>
      <c r="I93" s="19">
        <f>ROUND(IF($B93="a",G93*I$5,G93*I$6),0)</f>
        <v>18000</v>
      </c>
      <c r="J93" s="19">
        <f t="shared" si="49"/>
        <v>41085</v>
      </c>
      <c r="K93" s="186">
        <f t="shared" si="41"/>
        <v>59085</v>
      </c>
      <c r="L93" s="19">
        <f t="shared" si="42"/>
        <v>1508399</v>
      </c>
      <c r="M93" s="44"/>
      <c r="N93" s="19">
        <f>ROUND(IF($B93="a",(G93+I93+J93)*N$5,(G93+I93+J93)*N$6),0)</f>
        <v>37921</v>
      </c>
      <c r="O93" s="186">
        <f t="shared" si="43"/>
        <v>37921</v>
      </c>
      <c r="P93" s="44"/>
      <c r="Q93" s="19">
        <f t="shared" si="44"/>
        <v>1546320</v>
      </c>
      <c r="R93" s="19"/>
    </row>
    <row r="94" spans="2:18">
      <c r="B94" s="2" t="s">
        <v>27</v>
      </c>
      <c r="C94" s="1">
        <v>905</v>
      </c>
      <c r="D94" s="1" t="s">
        <v>83</v>
      </c>
      <c r="E94" s="17">
        <f>'AN Electric'!L96</f>
        <v>37686</v>
      </c>
      <c r="F94" s="17"/>
      <c r="G94" s="17">
        <f>F94+E94</f>
        <v>37686</v>
      </c>
      <c r="H94" s="17"/>
      <c r="I94" s="19">
        <f>ROUND(IF($B94="a",G94*I$5,G94*I$6),0)</f>
        <v>468</v>
      </c>
      <c r="J94" s="19">
        <f t="shared" si="49"/>
        <v>1068</v>
      </c>
      <c r="K94" s="186">
        <f t="shared" si="41"/>
        <v>1536</v>
      </c>
      <c r="L94" s="19">
        <f t="shared" si="42"/>
        <v>39222</v>
      </c>
      <c r="M94" s="44"/>
      <c r="N94" s="19">
        <f>ROUND(IF($B94="a",(G94+I94+J94)*N$5,(G94+I94+J94)*N$6),0)</f>
        <v>986</v>
      </c>
      <c r="O94" s="186">
        <f t="shared" si="43"/>
        <v>986</v>
      </c>
      <c r="P94" s="44"/>
      <c r="Q94" s="19">
        <f t="shared" si="44"/>
        <v>40208</v>
      </c>
      <c r="R94" s="19"/>
    </row>
    <row r="95" spans="2:18">
      <c r="C95" s="2" t="s">
        <v>7</v>
      </c>
      <c r="E95" s="36">
        <f t="shared" ref="E95:G95" si="50">SUM(E91:E94)</f>
        <v>1736921</v>
      </c>
      <c r="F95" s="36"/>
      <c r="G95" s="36">
        <f t="shared" si="50"/>
        <v>1736921</v>
      </c>
      <c r="H95" s="36"/>
      <c r="I95" s="36">
        <f t="shared" ref="I95:J95" si="51">SUM(I91:I94)</f>
        <v>21951</v>
      </c>
      <c r="J95" s="36">
        <f t="shared" si="51"/>
        <v>49791</v>
      </c>
      <c r="K95" s="188">
        <f t="shared" si="41"/>
        <v>71742</v>
      </c>
      <c r="L95" s="36">
        <f t="shared" si="42"/>
        <v>1808663</v>
      </c>
      <c r="M95" s="18"/>
      <c r="N95" s="102">
        <f t="shared" ref="N95" si="52">SUM(N91:N94)</f>
        <v>45056</v>
      </c>
      <c r="O95" s="188">
        <f t="shared" si="43"/>
        <v>45056</v>
      </c>
      <c r="P95" s="18"/>
      <c r="Q95" s="36">
        <f t="shared" si="44"/>
        <v>1853719</v>
      </c>
      <c r="R95" s="36"/>
    </row>
    <row r="96" spans="2:18">
      <c r="E96" s="17"/>
      <c r="F96" s="17"/>
      <c r="G96" s="17"/>
      <c r="H96" s="17"/>
      <c r="I96" s="17"/>
      <c r="J96" s="17"/>
      <c r="K96" s="189"/>
      <c r="L96" s="17"/>
      <c r="M96" s="18"/>
      <c r="N96" s="100"/>
      <c r="O96" s="189"/>
      <c r="P96" s="18"/>
      <c r="Q96" s="17">
        <f t="shared" si="44"/>
        <v>0</v>
      </c>
      <c r="R96" s="17"/>
    </row>
    <row r="97" spans="2:18">
      <c r="C97" s="2" t="s">
        <v>8</v>
      </c>
      <c r="E97" s="17"/>
      <c r="F97" s="17"/>
      <c r="G97" s="17"/>
      <c r="H97" s="17"/>
      <c r="I97" s="17"/>
      <c r="J97" s="17"/>
      <c r="K97" s="189"/>
      <c r="L97" s="17"/>
      <c r="M97" s="18"/>
      <c r="N97" s="100"/>
      <c r="O97" s="189"/>
      <c r="P97" s="18"/>
      <c r="Q97" s="17">
        <f t="shared" si="44"/>
        <v>0</v>
      </c>
      <c r="R97" s="17"/>
    </row>
    <row r="98" spans="2:18">
      <c r="B98" s="2" t="s">
        <v>27</v>
      </c>
      <c r="C98" s="1">
        <v>908</v>
      </c>
      <c r="D98" s="1" t="s">
        <v>84</v>
      </c>
      <c r="E98" s="17">
        <f>'AN Electric'!L100</f>
        <v>123433</v>
      </c>
      <c r="F98" s="17"/>
      <c r="G98" s="17">
        <f>F98+E98</f>
        <v>123433</v>
      </c>
      <c r="H98" s="17"/>
      <c r="I98" s="19">
        <f>ROUND(IF($B98="a",G98*I$5,G98*I$6),0)</f>
        <v>1533</v>
      </c>
      <c r="J98" s="19">
        <f t="shared" ref="J98:J100" si="53">ROUND(IF($B98="a",(G98+I98)*J$5,(G98+I98)*J$6),0)</f>
        <v>3499</v>
      </c>
      <c r="K98" s="186">
        <f t="shared" si="41"/>
        <v>5032</v>
      </c>
      <c r="L98" s="19">
        <f t="shared" si="42"/>
        <v>128465</v>
      </c>
      <c r="M98" s="44"/>
      <c r="N98" s="19">
        <f>ROUND(IF($B98="a",(G98+I98+J98)*N$5,(G98+I98+J98)*N$6),0)</f>
        <v>3230</v>
      </c>
      <c r="O98" s="186">
        <f t="shared" si="43"/>
        <v>3230</v>
      </c>
      <c r="P98" s="44"/>
      <c r="Q98" s="19">
        <f t="shared" si="44"/>
        <v>131695</v>
      </c>
      <c r="R98" s="19"/>
    </row>
    <row r="99" spans="2:18">
      <c r="B99" s="2" t="s">
        <v>27</v>
      </c>
      <c r="C99" s="1">
        <v>909</v>
      </c>
      <c r="D99" s="1" t="s">
        <v>85</v>
      </c>
      <c r="E99" s="17">
        <f>'AN Electric'!L101</f>
        <v>66715</v>
      </c>
      <c r="F99" s="17"/>
      <c r="G99" s="17">
        <f>F99+E99</f>
        <v>66715</v>
      </c>
      <c r="H99" s="17"/>
      <c r="I99" s="19">
        <f>ROUND(IF($B99="a",G99*I$5,G99*I$6),0)</f>
        <v>829</v>
      </c>
      <c r="J99" s="19">
        <f t="shared" si="53"/>
        <v>1891</v>
      </c>
      <c r="K99" s="186">
        <f t="shared" si="41"/>
        <v>2720</v>
      </c>
      <c r="L99" s="19">
        <f t="shared" si="42"/>
        <v>69435</v>
      </c>
      <c r="M99" s="44"/>
      <c r="N99" s="19">
        <f>ROUND(IF($B99="a",(G99+I99+J99)*N$5,(G99+I99+J99)*N$6),0)</f>
        <v>1746</v>
      </c>
      <c r="O99" s="186">
        <f t="shared" si="43"/>
        <v>1746</v>
      </c>
      <c r="P99" s="44"/>
      <c r="Q99" s="19">
        <f t="shared" si="44"/>
        <v>71181</v>
      </c>
      <c r="R99" s="19"/>
    </row>
    <row r="100" spans="2:18">
      <c r="B100" s="2" t="s">
        <v>27</v>
      </c>
      <c r="C100" s="1">
        <v>910</v>
      </c>
      <c r="D100" s="1" t="s">
        <v>86</v>
      </c>
      <c r="E100" s="17">
        <f>'AN Electric'!L102</f>
        <v>-138</v>
      </c>
      <c r="F100" s="17"/>
      <c r="G100" s="17">
        <f>F100+E100</f>
        <v>-138</v>
      </c>
      <c r="H100" s="17"/>
      <c r="I100" s="19">
        <f>ROUND(IF($B100="a",G100*I$5,G100*I$6),0)</f>
        <v>-2</v>
      </c>
      <c r="J100" s="19">
        <f t="shared" si="53"/>
        <v>-4</v>
      </c>
      <c r="K100" s="186">
        <f t="shared" si="41"/>
        <v>-6</v>
      </c>
      <c r="L100" s="19">
        <f t="shared" si="42"/>
        <v>-144</v>
      </c>
      <c r="M100" s="44"/>
      <c r="N100" s="19">
        <f>ROUND(IF($B100="a",(G100+I100+J100)*N$5,(G100+I100+J100)*N$6),0)</f>
        <v>-4</v>
      </c>
      <c r="O100" s="186">
        <f t="shared" si="43"/>
        <v>-4</v>
      </c>
      <c r="P100" s="44"/>
      <c r="Q100" s="19">
        <f t="shared" si="44"/>
        <v>-148</v>
      </c>
      <c r="R100" s="19"/>
    </row>
    <row r="101" spans="2:18">
      <c r="C101" s="2" t="s">
        <v>9</v>
      </c>
      <c r="E101" s="36">
        <f>SUM(E98:E100)</f>
        <v>190010</v>
      </c>
      <c r="F101" s="36"/>
      <c r="G101" s="36">
        <f>SUM(G98:G100)</f>
        <v>190010</v>
      </c>
      <c r="H101" s="36"/>
      <c r="I101" s="36">
        <f>SUM(I98:I100)</f>
        <v>2360</v>
      </c>
      <c r="J101" s="36">
        <f>SUM(J98:J100)</f>
        <v>5386</v>
      </c>
      <c r="K101" s="188">
        <f t="shared" si="41"/>
        <v>7746</v>
      </c>
      <c r="L101" s="36">
        <f t="shared" si="42"/>
        <v>197756</v>
      </c>
      <c r="M101" s="18"/>
      <c r="N101" s="102">
        <f>SUM(N98:N100)</f>
        <v>4972</v>
      </c>
      <c r="O101" s="188">
        <f t="shared" si="43"/>
        <v>4972</v>
      </c>
      <c r="P101" s="18"/>
      <c r="Q101" s="36">
        <f t="shared" si="44"/>
        <v>202728</v>
      </c>
      <c r="R101" s="36"/>
    </row>
    <row r="102" spans="2:18">
      <c r="E102" s="17"/>
      <c r="F102" s="17"/>
      <c r="G102" s="17"/>
      <c r="H102" s="17"/>
      <c r="I102" s="17"/>
      <c r="J102" s="17"/>
      <c r="K102" s="189">
        <f t="shared" si="41"/>
        <v>0</v>
      </c>
      <c r="L102" s="17">
        <f t="shared" si="42"/>
        <v>0</v>
      </c>
      <c r="M102" s="18"/>
      <c r="N102" s="100"/>
      <c r="O102" s="189"/>
      <c r="P102" s="18"/>
      <c r="Q102" s="17"/>
      <c r="R102" s="17"/>
    </row>
    <row r="103" spans="2:18">
      <c r="C103" s="2" t="s">
        <v>10</v>
      </c>
      <c r="E103" s="17"/>
      <c r="F103" s="17"/>
      <c r="G103" s="17"/>
      <c r="H103" s="17"/>
      <c r="I103" s="17"/>
      <c r="J103" s="17"/>
      <c r="K103" s="189">
        <f t="shared" si="41"/>
        <v>0</v>
      </c>
      <c r="L103" s="17">
        <f t="shared" si="42"/>
        <v>0</v>
      </c>
      <c r="M103" s="18"/>
      <c r="N103" s="100"/>
      <c r="O103" s="189"/>
      <c r="P103" s="18"/>
      <c r="Q103" s="17"/>
      <c r="R103" s="17"/>
    </row>
    <row r="104" spans="2:18">
      <c r="B104" s="2" t="s">
        <v>27</v>
      </c>
      <c r="C104" s="2">
        <v>911</v>
      </c>
      <c r="D104" s="2" t="s">
        <v>80</v>
      </c>
      <c r="E104" s="17">
        <f>'AN Electric'!L106</f>
        <v>0</v>
      </c>
      <c r="F104" s="17"/>
      <c r="G104" s="17">
        <f>F104+E104</f>
        <v>0</v>
      </c>
      <c r="H104" s="17"/>
      <c r="I104" s="19">
        <f>ROUND(IF($B104="a",G104*I$5,G104*I$6),0)</f>
        <v>0</v>
      </c>
      <c r="J104" s="19">
        <f t="shared" ref="J104:J107" si="54">ROUND(IF($B104="a",(G104+I104)*J$5,(G104+I104)*J$6),0)</f>
        <v>0</v>
      </c>
      <c r="K104" s="186">
        <f t="shared" si="41"/>
        <v>0</v>
      </c>
      <c r="L104" s="19">
        <f t="shared" si="42"/>
        <v>0</v>
      </c>
      <c r="M104" s="44"/>
      <c r="N104" s="19">
        <f>ROUND(IF($B104="a",(G104+I104)*N$5,(G104+I104+J104)*N$6),0)</f>
        <v>0</v>
      </c>
      <c r="O104" s="186">
        <f t="shared" si="43"/>
        <v>0</v>
      </c>
      <c r="P104" s="44"/>
      <c r="Q104" s="19">
        <f t="shared" si="44"/>
        <v>0</v>
      </c>
      <c r="R104" s="19"/>
    </row>
    <row r="105" spans="2:18">
      <c r="B105" s="2" t="s">
        <v>27</v>
      </c>
      <c r="C105" s="1">
        <v>912</v>
      </c>
      <c r="D105" s="1" t="s">
        <v>87</v>
      </c>
      <c r="E105" s="17">
        <f>'AN Electric'!L107</f>
        <v>0</v>
      </c>
      <c r="F105" s="17"/>
      <c r="G105" s="17">
        <f>F105+E105</f>
        <v>0</v>
      </c>
      <c r="H105" s="17"/>
      <c r="I105" s="19">
        <f>ROUND(IF($B105="a",G105*I$5,G105*I$6),0)</f>
        <v>0</v>
      </c>
      <c r="J105" s="19">
        <f t="shared" si="54"/>
        <v>0</v>
      </c>
      <c r="K105" s="186">
        <f t="shared" si="41"/>
        <v>0</v>
      </c>
      <c r="L105" s="19">
        <f t="shared" si="42"/>
        <v>0</v>
      </c>
      <c r="M105" s="44"/>
      <c r="N105" s="19">
        <f>ROUND(IF($B105="a",(G105+I105)*N$5,(G105+I105+J105)*N$6),0)</f>
        <v>0</v>
      </c>
      <c r="O105" s="186">
        <f t="shared" si="43"/>
        <v>0</v>
      </c>
      <c r="P105" s="44"/>
      <c r="Q105" s="19">
        <f t="shared" si="44"/>
        <v>0</v>
      </c>
      <c r="R105" s="19"/>
    </row>
    <row r="106" spans="2:18">
      <c r="B106" s="2" t="s">
        <v>27</v>
      </c>
      <c r="C106" s="1">
        <v>913</v>
      </c>
      <c r="D106" s="1" t="s">
        <v>85</v>
      </c>
      <c r="E106" s="17">
        <f>'AN Electric'!L108</f>
        <v>0</v>
      </c>
      <c r="F106" s="17"/>
      <c r="G106" s="17">
        <f>F106+E106</f>
        <v>0</v>
      </c>
      <c r="H106" s="17"/>
      <c r="I106" s="19">
        <f>ROUND(IF($B106="a",G106*I$5,G106*I$6),0)</f>
        <v>0</v>
      </c>
      <c r="J106" s="19">
        <f t="shared" si="54"/>
        <v>0</v>
      </c>
      <c r="K106" s="186">
        <f t="shared" si="41"/>
        <v>0</v>
      </c>
      <c r="L106" s="19">
        <f t="shared" si="42"/>
        <v>0</v>
      </c>
      <c r="M106" s="44"/>
      <c r="N106" s="19">
        <f>ROUND(IF($B106="a",(G106+I106)*N$5,(G106+I106+J106)*N$6),0)</f>
        <v>0</v>
      </c>
      <c r="O106" s="186">
        <f t="shared" si="43"/>
        <v>0</v>
      </c>
      <c r="P106" s="44"/>
      <c r="Q106" s="19">
        <f t="shared" si="44"/>
        <v>0</v>
      </c>
      <c r="R106" s="19"/>
    </row>
    <row r="107" spans="2:18">
      <c r="B107" s="2" t="s">
        <v>27</v>
      </c>
      <c r="C107" s="1">
        <v>916</v>
      </c>
      <c r="D107" s="1" t="s">
        <v>88</v>
      </c>
      <c r="E107" s="17">
        <f>'AN Electric'!L109</f>
        <v>0</v>
      </c>
      <c r="F107" s="17"/>
      <c r="G107" s="17">
        <f>F107+E107</f>
        <v>0</v>
      </c>
      <c r="H107" s="17"/>
      <c r="I107" s="19">
        <f>ROUND(IF($B107="a",G107*I$5,G107*I$6),0)</f>
        <v>0</v>
      </c>
      <c r="J107" s="19">
        <f t="shared" si="54"/>
        <v>0</v>
      </c>
      <c r="K107" s="186">
        <f t="shared" si="41"/>
        <v>0</v>
      </c>
      <c r="L107" s="19">
        <f t="shared" si="42"/>
        <v>0</v>
      </c>
      <c r="M107" s="44"/>
      <c r="N107" s="19">
        <f>ROUND(IF($B107="a",(G107+I107)*N$5,(G107+I107+J107)*N$6),0)</f>
        <v>0</v>
      </c>
      <c r="O107" s="186">
        <f t="shared" si="43"/>
        <v>0</v>
      </c>
      <c r="P107" s="44"/>
      <c r="Q107" s="19">
        <f t="shared" si="44"/>
        <v>0</v>
      </c>
      <c r="R107" s="19"/>
    </row>
    <row r="108" spans="2:18">
      <c r="C108" s="2" t="s">
        <v>11</v>
      </c>
      <c r="E108" s="36">
        <f t="shared" ref="E108:G108" si="55">SUM(E104:E107)</f>
        <v>0</v>
      </c>
      <c r="F108" s="36"/>
      <c r="G108" s="36">
        <f t="shared" si="55"/>
        <v>0</v>
      </c>
      <c r="H108" s="36"/>
      <c r="I108" s="36">
        <f t="shared" ref="I108:J108" si="56">SUM(I104:I107)</f>
        <v>0</v>
      </c>
      <c r="J108" s="36">
        <f t="shared" si="56"/>
        <v>0</v>
      </c>
      <c r="K108" s="188">
        <f t="shared" si="41"/>
        <v>0</v>
      </c>
      <c r="L108" s="36">
        <f t="shared" si="42"/>
        <v>0</v>
      </c>
      <c r="M108" s="18"/>
      <c r="N108" s="102">
        <f>SUM(N104:N107)</f>
        <v>0</v>
      </c>
      <c r="O108" s="188">
        <f t="shared" si="43"/>
        <v>0</v>
      </c>
      <c r="P108" s="18"/>
      <c r="Q108" s="36">
        <f t="shared" si="44"/>
        <v>0</v>
      </c>
      <c r="R108" s="36"/>
    </row>
    <row r="109" spans="2:18">
      <c r="E109" s="17"/>
      <c r="F109" s="17"/>
      <c r="G109" s="17"/>
      <c r="H109" s="17"/>
      <c r="I109" s="17"/>
      <c r="J109" s="17"/>
      <c r="K109" s="189"/>
      <c r="L109" s="17"/>
      <c r="M109" s="18"/>
      <c r="N109" s="100"/>
      <c r="O109" s="189"/>
      <c r="P109" s="18"/>
      <c r="Q109" s="17"/>
      <c r="R109" s="17"/>
    </row>
    <row r="110" spans="2:18">
      <c r="C110" s="2" t="s">
        <v>12</v>
      </c>
      <c r="E110" s="17"/>
      <c r="F110" s="17"/>
      <c r="G110" s="17"/>
      <c r="H110" s="17"/>
      <c r="I110" s="17"/>
      <c r="J110" s="17"/>
      <c r="K110" s="189"/>
      <c r="L110" s="17"/>
      <c r="M110" s="18"/>
      <c r="N110" s="100"/>
      <c r="O110" s="189"/>
      <c r="P110" s="18"/>
      <c r="Q110" s="17"/>
      <c r="R110" s="17"/>
    </row>
    <row r="111" spans="2:18">
      <c r="B111" s="2" t="s">
        <v>27</v>
      </c>
      <c r="C111" s="1">
        <v>920</v>
      </c>
      <c r="D111" s="1" t="s">
        <v>89</v>
      </c>
      <c r="E111" s="17">
        <f>'AN Electric'!L113</f>
        <v>4656741</v>
      </c>
      <c r="F111" s="17"/>
      <c r="G111" s="17">
        <f t="shared" ref="G111:G119" si="57">F111+E111</f>
        <v>4656741</v>
      </c>
      <c r="H111" s="17"/>
      <c r="I111" s="19">
        <f t="shared" ref="I111:I119" si="58">ROUND(IF($B111="a",G111*I$5,G111*I$6),0)</f>
        <v>57837</v>
      </c>
      <c r="J111" s="19">
        <f>ROUND(IF($B111="a",(G111+I111)*J$5,(G111+I111)*J$6),0)</f>
        <v>132008</v>
      </c>
      <c r="K111" s="186">
        <f t="shared" si="41"/>
        <v>189845</v>
      </c>
      <c r="L111" s="19">
        <f t="shared" si="42"/>
        <v>4846586</v>
      </c>
      <c r="M111" s="44"/>
      <c r="N111" s="19">
        <f t="shared" ref="N111:N119" si="59">ROUND(IF($B111="a",(G111+I111+J111)*N$5,(G111+I111+J111)*N$6),0)</f>
        <v>121843</v>
      </c>
      <c r="O111" s="186">
        <f t="shared" si="43"/>
        <v>121843</v>
      </c>
      <c r="P111" s="44"/>
      <c r="Q111" s="19">
        <f t="shared" si="44"/>
        <v>4968429</v>
      </c>
      <c r="R111" s="19"/>
    </row>
    <row r="112" spans="2:18">
      <c r="B112" s="2" t="s">
        <v>27</v>
      </c>
      <c r="C112" s="1">
        <v>921</v>
      </c>
      <c r="D112" s="1" t="s">
        <v>90</v>
      </c>
      <c r="E112" s="17">
        <f>'AN Electric'!L114</f>
        <v>41322</v>
      </c>
      <c r="F112" s="17"/>
      <c r="G112" s="17">
        <f t="shared" si="57"/>
        <v>41322</v>
      </c>
      <c r="H112" s="17"/>
      <c r="I112" s="19">
        <f t="shared" si="58"/>
        <v>513</v>
      </c>
      <c r="J112" s="19">
        <f t="shared" ref="J112:J119" si="60">ROUND(IF($B112="a",(G112+I112)*J$5,(G112+I112)*J$6),0)</f>
        <v>1171</v>
      </c>
      <c r="K112" s="186">
        <f t="shared" si="41"/>
        <v>1684</v>
      </c>
      <c r="L112" s="19">
        <f t="shared" si="42"/>
        <v>43006</v>
      </c>
      <c r="M112" s="44"/>
      <c r="N112" s="19">
        <f t="shared" si="59"/>
        <v>1081</v>
      </c>
      <c r="O112" s="186">
        <f t="shared" si="43"/>
        <v>1081</v>
      </c>
      <c r="P112" s="44"/>
      <c r="Q112" s="19">
        <f t="shared" si="44"/>
        <v>44087</v>
      </c>
      <c r="R112" s="19"/>
    </row>
    <row r="113" spans="2:18">
      <c r="B113" s="2" t="s">
        <v>27</v>
      </c>
      <c r="C113" s="1">
        <v>923</v>
      </c>
      <c r="D113" s="1" t="s">
        <v>91</v>
      </c>
      <c r="E113" s="17">
        <f>'AN Electric'!L115</f>
        <v>7017</v>
      </c>
      <c r="F113" s="17"/>
      <c r="G113" s="17">
        <f t="shared" si="57"/>
        <v>7017</v>
      </c>
      <c r="H113" s="17"/>
      <c r="I113" s="19">
        <f t="shared" si="58"/>
        <v>87</v>
      </c>
      <c r="J113" s="19">
        <f t="shared" si="60"/>
        <v>199</v>
      </c>
      <c r="K113" s="186">
        <f t="shared" si="41"/>
        <v>286</v>
      </c>
      <c r="L113" s="19">
        <f t="shared" si="42"/>
        <v>7303</v>
      </c>
      <c r="M113" s="44"/>
      <c r="N113" s="19">
        <f t="shared" si="59"/>
        <v>184</v>
      </c>
      <c r="O113" s="186">
        <f t="shared" si="43"/>
        <v>184</v>
      </c>
      <c r="P113" s="44"/>
      <c r="Q113" s="19">
        <f t="shared" si="44"/>
        <v>7487</v>
      </c>
      <c r="R113" s="19"/>
    </row>
    <row r="114" spans="2:18">
      <c r="B114" s="2" t="s">
        <v>27</v>
      </c>
      <c r="C114" s="1">
        <v>925</v>
      </c>
      <c r="D114" s="1" t="s">
        <v>92</v>
      </c>
      <c r="E114" s="17">
        <f>'AN Electric'!L116</f>
        <v>0</v>
      </c>
      <c r="F114" s="17"/>
      <c r="G114" s="17">
        <f t="shared" si="57"/>
        <v>0</v>
      </c>
      <c r="H114" s="17"/>
      <c r="I114" s="19">
        <f t="shared" si="58"/>
        <v>0</v>
      </c>
      <c r="J114" s="19">
        <f t="shared" si="60"/>
        <v>0</v>
      </c>
      <c r="K114" s="186">
        <f t="shared" si="41"/>
        <v>0</v>
      </c>
      <c r="L114" s="19">
        <f t="shared" si="42"/>
        <v>0</v>
      </c>
      <c r="M114" s="44"/>
      <c r="N114" s="19">
        <f t="shared" si="59"/>
        <v>0</v>
      </c>
      <c r="O114" s="186">
        <f t="shared" si="43"/>
        <v>0</v>
      </c>
      <c r="P114" s="44"/>
      <c r="Q114" s="19">
        <f t="shared" si="44"/>
        <v>0</v>
      </c>
      <c r="R114" s="19"/>
    </row>
    <row r="115" spans="2:18">
      <c r="B115" s="2" t="s">
        <v>27</v>
      </c>
      <c r="C115" s="1">
        <v>926</v>
      </c>
      <c r="D115" s="1" t="s">
        <v>93</v>
      </c>
      <c r="E115" s="17">
        <f>'AN Electric'!L117</f>
        <v>0</v>
      </c>
      <c r="F115" s="17"/>
      <c r="G115" s="17">
        <f t="shared" si="57"/>
        <v>0</v>
      </c>
      <c r="H115" s="17"/>
      <c r="I115" s="19">
        <f t="shared" si="58"/>
        <v>0</v>
      </c>
      <c r="J115" s="19">
        <f t="shared" si="60"/>
        <v>0</v>
      </c>
      <c r="K115" s="186">
        <f t="shared" si="41"/>
        <v>0</v>
      </c>
      <c r="L115" s="19">
        <f t="shared" si="42"/>
        <v>0</v>
      </c>
      <c r="M115" s="44"/>
      <c r="N115" s="19">
        <f t="shared" si="59"/>
        <v>0</v>
      </c>
      <c r="O115" s="186">
        <f t="shared" si="43"/>
        <v>0</v>
      </c>
      <c r="P115" s="44"/>
      <c r="Q115" s="19">
        <f t="shared" si="44"/>
        <v>0</v>
      </c>
      <c r="R115" s="19"/>
    </row>
    <row r="116" spans="2:18">
      <c r="B116" s="2" t="s">
        <v>27</v>
      </c>
      <c r="C116" s="1">
        <v>927</v>
      </c>
      <c r="D116" s="1" t="s">
        <v>94</v>
      </c>
      <c r="E116" s="17">
        <f>'AN Electric'!L118</f>
        <v>0</v>
      </c>
      <c r="F116" s="17"/>
      <c r="G116" s="17">
        <f t="shared" si="57"/>
        <v>0</v>
      </c>
      <c r="H116" s="17"/>
      <c r="I116" s="19">
        <f t="shared" si="58"/>
        <v>0</v>
      </c>
      <c r="J116" s="19">
        <f t="shared" si="60"/>
        <v>0</v>
      </c>
      <c r="K116" s="186">
        <f t="shared" si="41"/>
        <v>0</v>
      </c>
      <c r="L116" s="19">
        <f t="shared" si="42"/>
        <v>0</v>
      </c>
      <c r="M116" s="44"/>
      <c r="N116" s="19">
        <f t="shared" si="59"/>
        <v>0</v>
      </c>
      <c r="O116" s="186">
        <f t="shared" si="43"/>
        <v>0</v>
      </c>
      <c r="P116" s="44"/>
      <c r="Q116" s="19">
        <f t="shared" si="44"/>
        <v>0</v>
      </c>
      <c r="R116" s="19"/>
    </row>
    <row r="117" spans="2:18">
      <c r="B117" s="2" t="s">
        <v>27</v>
      </c>
      <c r="C117" s="1">
        <v>928</v>
      </c>
      <c r="D117" s="1" t="s">
        <v>95</v>
      </c>
      <c r="E117" s="17">
        <f>'AN Electric'!L119</f>
        <v>290511</v>
      </c>
      <c r="F117" s="17"/>
      <c r="G117" s="17">
        <f t="shared" si="57"/>
        <v>290511</v>
      </c>
      <c r="H117" s="17"/>
      <c r="I117" s="19">
        <f t="shared" si="58"/>
        <v>3608</v>
      </c>
      <c r="J117" s="19">
        <f t="shared" si="60"/>
        <v>8235</v>
      </c>
      <c r="K117" s="186">
        <f t="shared" si="41"/>
        <v>11843</v>
      </c>
      <c r="L117" s="19">
        <f t="shared" si="42"/>
        <v>302354</v>
      </c>
      <c r="M117" s="44"/>
      <c r="N117" s="19">
        <f t="shared" si="59"/>
        <v>7601</v>
      </c>
      <c r="O117" s="186">
        <f t="shared" si="43"/>
        <v>7601</v>
      </c>
      <c r="P117" s="44"/>
      <c r="Q117" s="19">
        <f t="shared" si="44"/>
        <v>309955</v>
      </c>
      <c r="R117" s="19"/>
    </row>
    <row r="118" spans="2:18">
      <c r="B118" s="2" t="s">
        <v>27</v>
      </c>
      <c r="C118" s="1">
        <v>930</v>
      </c>
      <c r="D118" s="1" t="s">
        <v>96</v>
      </c>
      <c r="E118" s="17">
        <f>'AN Electric'!L120</f>
        <v>74671</v>
      </c>
      <c r="F118" s="17"/>
      <c r="G118" s="17">
        <f t="shared" si="57"/>
        <v>74671</v>
      </c>
      <c r="H118" s="17"/>
      <c r="I118" s="19">
        <f t="shared" si="58"/>
        <v>927</v>
      </c>
      <c r="J118" s="19">
        <f t="shared" si="60"/>
        <v>2117</v>
      </c>
      <c r="K118" s="186">
        <f t="shared" si="41"/>
        <v>3044</v>
      </c>
      <c r="L118" s="19">
        <f t="shared" si="42"/>
        <v>77715</v>
      </c>
      <c r="M118" s="44"/>
      <c r="N118" s="19">
        <f t="shared" si="59"/>
        <v>1954</v>
      </c>
      <c r="O118" s="186">
        <f t="shared" si="43"/>
        <v>1954</v>
      </c>
      <c r="P118" s="44"/>
      <c r="Q118" s="19">
        <f t="shared" si="44"/>
        <v>79669</v>
      </c>
      <c r="R118" s="19"/>
    </row>
    <row r="119" spans="2:18">
      <c r="C119" s="1">
        <v>935</v>
      </c>
      <c r="D119" s="1" t="s">
        <v>97</v>
      </c>
      <c r="E119" s="17">
        <f>'AN Electric'!L121</f>
        <v>484037</v>
      </c>
      <c r="F119" s="17"/>
      <c r="G119" s="17">
        <f t="shared" si="57"/>
        <v>484037</v>
      </c>
      <c r="H119" s="17"/>
      <c r="I119" s="20">
        <f t="shared" si="58"/>
        <v>7043</v>
      </c>
      <c r="J119" s="20">
        <f t="shared" si="60"/>
        <v>15223</v>
      </c>
      <c r="K119" s="187">
        <f t="shared" si="41"/>
        <v>22266</v>
      </c>
      <c r="L119" s="20">
        <f t="shared" si="42"/>
        <v>506303</v>
      </c>
      <c r="M119" s="43"/>
      <c r="N119" s="239">
        <f t="shared" si="59"/>
        <v>11604</v>
      </c>
      <c r="O119" s="187">
        <f t="shared" si="43"/>
        <v>11604</v>
      </c>
      <c r="P119" s="43"/>
      <c r="Q119" s="20">
        <f t="shared" si="44"/>
        <v>517907</v>
      </c>
      <c r="R119" s="20"/>
    </row>
    <row r="120" spans="2:18">
      <c r="C120" s="2" t="s">
        <v>13</v>
      </c>
      <c r="E120" s="36">
        <f>SUM(E111:E119)</f>
        <v>5554299</v>
      </c>
      <c r="F120" s="36"/>
      <c r="G120" s="36">
        <f>SUM(G111:G119)</f>
        <v>5554299</v>
      </c>
      <c r="H120" s="36"/>
      <c r="I120" s="36">
        <f>SUM(I111:I119)</f>
        <v>70015</v>
      </c>
      <c r="J120" s="36">
        <f>SUM(J111:J119)</f>
        <v>158953</v>
      </c>
      <c r="K120" s="188">
        <f t="shared" si="41"/>
        <v>228968</v>
      </c>
      <c r="L120" s="36">
        <f t="shared" si="42"/>
        <v>5783267</v>
      </c>
      <c r="M120" s="18"/>
      <c r="N120" s="102">
        <f>SUM(N111:N119)</f>
        <v>144267</v>
      </c>
      <c r="O120" s="188">
        <f t="shared" si="43"/>
        <v>144267</v>
      </c>
      <c r="P120" s="18"/>
      <c r="Q120" s="36">
        <f t="shared" si="44"/>
        <v>5927534</v>
      </c>
      <c r="R120" s="36"/>
    </row>
    <row r="121" spans="2:18">
      <c r="E121" s="17"/>
      <c r="F121" s="17"/>
      <c r="G121" s="17"/>
      <c r="H121" s="17"/>
      <c r="I121" s="17"/>
      <c r="J121" s="17"/>
      <c r="K121" s="189"/>
      <c r="L121" s="17"/>
      <c r="M121" s="18"/>
      <c r="N121" s="100"/>
      <c r="O121" s="189"/>
      <c r="P121" s="18"/>
      <c r="Q121" s="17"/>
      <c r="R121" s="17"/>
    </row>
    <row r="122" spans="2:18" ht="13.5" thickBot="1">
      <c r="C122" s="2" t="s">
        <v>98</v>
      </c>
      <c r="E122" s="36">
        <f>E120+E108+E101+E95+E88+E66+E50</f>
        <v>19291806</v>
      </c>
      <c r="F122" s="36"/>
      <c r="G122" s="36">
        <f>G120+G108+G101+G95+G88+G66+G50</f>
        <v>19298164</v>
      </c>
      <c r="H122" s="36"/>
      <c r="I122" s="36">
        <f>I120+I108+I101+I95+I88+I66+I50</f>
        <v>257435</v>
      </c>
      <c r="J122" s="36">
        <f>J120+J108+J101+J95+J88+J66+J50</f>
        <v>572928</v>
      </c>
      <c r="K122" s="191">
        <f t="shared" si="41"/>
        <v>830363</v>
      </c>
      <c r="L122" s="36">
        <f t="shared" si="42"/>
        <v>20128527</v>
      </c>
      <c r="M122" s="18"/>
      <c r="N122" s="102">
        <f>N120+N108+N101+N95+N88+N66+N50</f>
        <v>486678</v>
      </c>
      <c r="O122" s="191">
        <f t="shared" si="43"/>
        <v>486678</v>
      </c>
      <c r="P122" s="18"/>
      <c r="Q122" s="36">
        <f t="shared" si="44"/>
        <v>20615205</v>
      </c>
      <c r="R122" s="36"/>
    </row>
    <row r="123" spans="2:18">
      <c r="E123" s="17">
        <f>'AN Electric'!L124</f>
        <v>19291805</v>
      </c>
      <c r="F123" s="17"/>
      <c r="K123" s="150"/>
      <c r="L123" s="118"/>
      <c r="M123" s="251"/>
      <c r="N123" s="150"/>
      <c r="O123" s="150"/>
      <c r="P123" s="165"/>
      <c r="Q123" s="118"/>
      <c r="R123" s="150"/>
    </row>
    <row r="124" spans="2:18">
      <c r="G124" s="6"/>
      <c r="H124" s="6"/>
      <c r="K124" s="150"/>
      <c r="L124" s="123"/>
      <c r="M124" s="124"/>
      <c r="N124" s="150"/>
      <c r="O124" s="150"/>
      <c r="P124" s="124"/>
      <c r="Q124" s="123"/>
      <c r="R124" s="123"/>
    </row>
    <row r="125" spans="2:18">
      <c r="D125" s="9"/>
      <c r="E125" s="100"/>
      <c r="F125" s="100"/>
      <c r="K125" s="150"/>
      <c r="L125" s="123"/>
      <c r="M125" s="124"/>
      <c r="N125" s="150"/>
      <c r="O125" s="150"/>
      <c r="P125" s="124"/>
      <c r="Q125" s="123"/>
      <c r="R125" s="123"/>
    </row>
    <row r="126" spans="2:18">
      <c r="E126" s="18"/>
      <c r="K126" s="150"/>
      <c r="L126" s="123"/>
      <c r="M126" s="124"/>
      <c r="N126" s="150"/>
      <c r="O126" s="150"/>
      <c r="P126" s="124"/>
      <c r="Q126" s="123"/>
      <c r="R126" s="123"/>
    </row>
    <row r="127" spans="2:18">
      <c r="E127" s="17"/>
      <c r="F127" s="17"/>
      <c r="K127" s="123"/>
      <c r="L127" s="123"/>
      <c r="M127" s="124"/>
      <c r="N127" s="123"/>
      <c r="O127" s="123"/>
      <c r="P127" s="124"/>
      <c r="Q127" s="123"/>
      <c r="R127" s="123"/>
    </row>
    <row r="128" spans="2:18">
      <c r="K128" s="123"/>
      <c r="L128" s="123"/>
      <c r="M128" s="124"/>
      <c r="N128" s="123"/>
      <c r="O128" s="123"/>
      <c r="P128" s="124"/>
      <c r="Q128" s="123"/>
      <c r="R128" s="123"/>
    </row>
    <row r="129" spans="11:18">
      <c r="K129" s="123"/>
      <c r="L129" s="123"/>
      <c r="M129" s="124"/>
      <c r="N129" s="123"/>
      <c r="O129" s="123"/>
      <c r="P129" s="124"/>
      <c r="Q129" s="123"/>
      <c r="R129" s="123"/>
    </row>
    <row r="133" spans="11:18">
      <c r="N133" s="17"/>
    </row>
  </sheetData>
  <phoneticPr fontId="0" type="noConversion"/>
  <pageMargins left="0" right="0" top="1" bottom="1" header="0.5" footer="0.5"/>
  <pageSetup scale="60" fitToHeight="0" orientation="landscape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  <rowBreaks count="2" manualBreakCount="2">
    <brk id="51" min="2" max="19" man="1"/>
    <brk id="95" min="2" max="1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T241"/>
  <sheetViews>
    <sheetView zoomScaleNormal="100" zoomScaleSheetLayoutView="115" workbookViewId="0">
      <pane ySplit="6" topLeftCell="A46" activePane="bottomLeft" state="frozen"/>
      <selection activeCell="I46" sqref="I46"/>
      <selection pane="bottomLeft" activeCell="I46" sqref="I46"/>
    </sheetView>
  </sheetViews>
  <sheetFormatPr defaultColWidth="9.33203125" defaultRowHeight="12.75"/>
  <cols>
    <col min="1" max="2" width="3" style="2" customWidth="1"/>
    <col min="3" max="3" width="5.5" style="14" customWidth="1"/>
    <col min="4" max="4" width="35.1640625" style="14" customWidth="1"/>
    <col min="5" max="5" width="12.1640625" style="2" bestFit="1" customWidth="1"/>
    <col min="6" max="6" width="12.33203125" style="2" hidden="1" customWidth="1"/>
    <col min="7" max="7" width="13" style="2" bestFit="1" customWidth="1"/>
    <col min="8" max="8" width="5.1640625" style="2" customWidth="1"/>
    <col min="9" max="9" width="15.5" style="2" customWidth="1"/>
    <col min="10" max="10" width="15" style="2" customWidth="1"/>
    <col min="11" max="11" width="17" style="2" customWidth="1"/>
    <col min="12" max="12" width="13.83203125" style="2" customWidth="1"/>
    <col min="13" max="13" width="5.1640625" style="71" customWidth="1"/>
    <col min="14" max="14" width="14.33203125" style="2" bestFit="1" customWidth="1"/>
    <col min="15" max="15" width="17" style="2" customWidth="1"/>
    <col min="16" max="16" width="4.33203125" style="2" customWidth="1"/>
    <col min="17" max="17" width="13.83203125" style="2" customWidth="1"/>
    <col min="18" max="18" width="3.5" style="71" customWidth="1"/>
    <col min="19" max="19" width="9.33203125" style="2"/>
    <col min="20" max="20" width="17" style="2" hidden="1" customWidth="1"/>
    <col min="21" max="16384" width="9.33203125" style="2"/>
  </cols>
  <sheetData>
    <row r="1" spans="2:20">
      <c r="C1" s="13" t="s">
        <v>24</v>
      </c>
      <c r="D1" s="13"/>
    </row>
    <row r="2" spans="2:20">
      <c r="C2" s="15" t="s">
        <v>110</v>
      </c>
      <c r="D2" s="15"/>
      <c r="E2" s="2" t="s">
        <v>203</v>
      </c>
    </row>
    <row r="3" spans="2:20" ht="13.5" thickBot="1">
      <c r="C3" s="15" t="str">
        <f>'Washington Gas'!C3</f>
        <v>12 Months Ending 09/30/15</v>
      </c>
      <c r="D3" s="15"/>
    </row>
    <row r="4" spans="2:20">
      <c r="C4" s="16"/>
      <c r="D4" s="16"/>
      <c r="E4" s="3"/>
      <c r="F4" s="3"/>
      <c r="G4" s="3"/>
      <c r="H4" s="3"/>
      <c r="I4" s="67">
        <f>'Washington Electric'!I4</f>
        <v>2015</v>
      </c>
      <c r="J4" s="67">
        <f>'Washington Electric'!J4</f>
        <v>2016</v>
      </c>
      <c r="K4" s="166" t="s">
        <v>205</v>
      </c>
      <c r="L4" s="67" t="s">
        <v>0</v>
      </c>
      <c r="M4" s="252"/>
      <c r="N4" s="67">
        <f>'Washington Electric'!N4</f>
        <v>2017</v>
      </c>
      <c r="O4" s="166" t="s">
        <v>205</v>
      </c>
      <c r="P4" s="85"/>
      <c r="Q4" s="67" t="s">
        <v>0</v>
      </c>
      <c r="R4" s="262"/>
      <c r="T4" s="166" t="s">
        <v>212</v>
      </c>
    </row>
    <row r="5" spans="2:20">
      <c r="C5" s="16"/>
      <c r="D5" s="16"/>
      <c r="E5" s="3"/>
      <c r="F5" s="3"/>
      <c r="G5" s="3" t="s">
        <v>1</v>
      </c>
      <c r="H5" s="3"/>
      <c r="I5" s="121">
        <f>'Washington Electric'!I5</f>
        <v>1.242E-2</v>
      </c>
      <c r="J5" s="121">
        <f>'Washington Electric'!J5</f>
        <v>2.8000000000000001E-2</v>
      </c>
      <c r="K5" s="192" t="s">
        <v>202</v>
      </c>
      <c r="L5" s="121" t="s">
        <v>206</v>
      </c>
      <c r="M5" s="253"/>
      <c r="N5" s="121">
        <f>'Washington Electric'!N5</f>
        <v>2.5139999999999999E-2</v>
      </c>
      <c r="O5" s="192" t="str">
        <f>'Washington Electric'!O5</f>
        <v>Pro-Forma Labor</v>
      </c>
      <c r="P5" s="167"/>
      <c r="Q5" s="121" t="s">
        <v>206</v>
      </c>
      <c r="R5" s="263"/>
      <c r="T5" s="192" t="e">
        <f>'Washington Electric'!#REF!</f>
        <v>#REF!</v>
      </c>
    </row>
    <row r="6" spans="2:20">
      <c r="D6" s="14" t="s">
        <v>187</v>
      </c>
      <c r="E6" s="5" t="s">
        <v>100</v>
      </c>
      <c r="F6" s="5"/>
      <c r="G6" s="5" t="s">
        <v>100</v>
      </c>
      <c r="H6" s="5"/>
      <c r="I6" s="120">
        <f>'Washington Electric'!I6</f>
        <v>1.455E-2</v>
      </c>
      <c r="J6" s="120">
        <f>'Washington Electric'!J6</f>
        <v>3.1E-2</v>
      </c>
      <c r="K6" s="193" t="s">
        <v>225</v>
      </c>
      <c r="L6" s="120" t="s">
        <v>228</v>
      </c>
      <c r="M6" s="254"/>
      <c r="N6" s="120">
        <f>'Washington Electric'!N6</f>
        <v>2.2919999999999999E-2</v>
      </c>
      <c r="O6" s="193" t="str">
        <f>'Washington Electric'!O6</f>
        <v>2017 Adjustment</v>
      </c>
      <c r="P6" s="168"/>
      <c r="Q6" s="120" t="s">
        <v>229</v>
      </c>
      <c r="R6" s="255"/>
      <c r="T6" s="193" t="e">
        <f>'Washington Electric'!#REF!</f>
        <v>#REF!</v>
      </c>
    </row>
    <row r="7" spans="2:20">
      <c r="E7" s="5"/>
      <c r="F7" s="5"/>
      <c r="G7" s="5"/>
      <c r="H7" s="5"/>
      <c r="I7" s="5"/>
      <c r="J7" s="5"/>
      <c r="K7" s="194"/>
      <c r="L7" s="5"/>
      <c r="M7" s="255"/>
      <c r="N7" s="5"/>
      <c r="O7" s="194"/>
      <c r="P7" s="149"/>
      <c r="Q7" s="5"/>
      <c r="R7" s="255"/>
      <c r="T7" s="194"/>
    </row>
    <row r="8" spans="2:20">
      <c r="C8" s="14" t="s">
        <v>32</v>
      </c>
      <c r="E8" s="5"/>
      <c r="F8" s="5"/>
      <c r="G8" s="5"/>
      <c r="H8" s="5"/>
      <c r="I8" s="5"/>
      <c r="J8" s="5"/>
      <c r="K8" s="195"/>
      <c r="N8" s="5"/>
      <c r="O8" s="195"/>
      <c r="P8" s="5"/>
      <c r="R8" s="255"/>
      <c r="T8" s="195"/>
    </row>
    <row r="9" spans="2:20">
      <c r="B9" s="2" t="s">
        <v>27</v>
      </c>
      <c r="C9" s="1" t="s">
        <v>128</v>
      </c>
      <c r="D9" s="15"/>
      <c r="E9" s="17">
        <f>'AN Gas'!I10</f>
        <v>0</v>
      </c>
      <c r="F9" s="17"/>
      <c r="G9" s="17">
        <f>F9+E9</f>
        <v>0</v>
      </c>
      <c r="H9" s="17"/>
      <c r="I9" s="17">
        <f>ROUND(IF($B9="a",G9*I$5,G9*I$6),0)</f>
        <v>0</v>
      </c>
      <c r="J9" s="17">
        <f>ROUND(IF($B9="a",(G9+I9)*J$5,(G9+I9)*J$6),0)</f>
        <v>0</v>
      </c>
      <c r="K9" s="189">
        <f>I9+J9</f>
        <v>0</v>
      </c>
      <c r="L9" s="17">
        <f>K9+G9</f>
        <v>0</v>
      </c>
      <c r="M9" s="256"/>
      <c r="N9" s="100">
        <f>ROUND(IF($B9="a",(G9+I9+J9)*N$5,(G9+I9+J9)*N$6),0)</f>
        <v>0</v>
      </c>
      <c r="O9" s="189">
        <f>N9</f>
        <v>0</v>
      </c>
      <c r="P9" s="18"/>
      <c r="Q9" s="17">
        <f>O9+L9</f>
        <v>0</v>
      </c>
      <c r="R9" s="256"/>
      <c r="T9" s="189" t="e">
        <f>ROUND(IF($B9="a",Q9*T$5,Q9*T$6),0)</f>
        <v>#REF!</v>
      </c>
    </row>
    <row r="10" spans="2:20">
      <c r="B10" s="2" t="s">
        <v>27</v>
      </c>
      <c r="C10" s="1" t="s">
        <v>129</v>
      </c>
      <c r="D10" s="15"/>
      <c r="E10" s="17">
        <f>'AN Gas'!I11</f>
        <v>0</v>
      </c>
      <c r="F10" s="17"/>
      <c r="G10" s="17">
        <f>F10+E10</f>
        <v>0</v>
      </c>
      <c r="H10" s="17"/>
      <c r="I10" s="17">
        <f t="shared" ref="I10:I72" si="0">ROUND(IF($B10="a",G10*I$5,G10*I$6),0)</f>
        <v>0</v>
      </c>
      <c r="J10" s="17">
        <f t="shared" ref="J10:J72" si="1">ROUND(IF($B10="a",(G10+I10)*J$5,(G10+I10)*J$6),0)</f>
        <v>0</v>
      </c>
      <c r="K10" s="189">
        <f t="shared" ref="K10:K73" si="2">I10+J10</f>
        <v>0</v>
      </c>
      <c r="L10" s="17">
        <f t="shared" ref="L10:L73" si="3">K10+G10</f>
        <v>0</v>
      </c>
      <c r="M10" s="256"/>
      <c r="N10" s="100">
        <f t="shared" ref="N10:N11" si="4">ROUND(IF($B10="a",(G10+I10+J10)*N$5,(G10+I10+J10)*N$6),0)</f>
        <v>0</v>
      </c>
      <c r="O10" s="189">
        <f t="shared" ref="O10:O73" si="5">N10</f>
        <v>0</v>
      </c>
      <c r="P10" s="18"/>
      <c r="Q10" s="17">
        <f t="shared" ref="Q10:Q73" si="6">O10+L10</f>
        <v>0</v>
      </c>
      <c r="R10" s="256"/>
      <c r="T10" s="189" t="e">
        <f>ROUND(IF($B10="a",Q10*T$5,Q10*T$6),0)</f>
        <v>#REF!</v>
      </c>
    </row>
    <row r="11" spans="2:20">
      <c r="B11" s="2" t="s">
        <v>27</v>
      </c>
      <c r="C11" s="1" t="s">
        <v>130</v>
      </c>
      <c r="D11" s="15"/>
      <c r="E11" s="17">
        <f>'AN Gas'!I12</f>
        <v>176536</v>
      </c>
      <c r="F11" s="17"/>
      <c r="G11" s="17">
        <f>F11+E11</f>
        <v>176536</v>
      </c>
      <c r="H11" s="17"/>
      <c r="I11" s="17">
        <f t="shared" si="0"/>
        <v>2193</v>
      </c>
      <c r="J11" s="17">
        <f t="shared" si="1"/>
        <v>5004</v>
      </c>
      <c r="K11" s="189">
        <f>I11+J11</f>
        <v>7197</v>
      </c>
      <c r="L11" s="17">
        <f>K11+G11</f>
        <v>183733</v>
      </c>
      <c r="M11" s="256"/>
      <c r="N11" s="100">
        <f t="shared" si="4"/>
        <v>4619</v>
      </c>
      <c r="O11" s="189">
        <f t="shared" si="5"/>
        <v>4619</v>
      </c>
      <c r="P11" s="18"/>
      <c r="Q11" s="17">
        <f>O11+L11</f>
        <v>188352</v>
      </c>
      <c r="R11" s="256"/>
      <c r="T11" s="189" t="e">
        <f>ROUND(IF($B11="a",Q11*T$5,Q11*T$6),0)</f>
        <v>#REF!</v>
      </c>
    </row>
    <row r="12" spans="2:20">
      <c r="C12" s="14" t="s">
        <v>29</v>
      </c>
      <c r="E12" s="21">
        <f>SUM(E9:E11)</f>
        <v>176536</v>
      </c>
      <c r="F12" s="21"/>
      <c r="G12" s="21">
        <f t="shared" ref="G12:J12" si="7">SUM(G9:G11)</f>
        <v>176536</v>
      </c>
      <c r="H12" s="21"/>
      <c r="I12" s="21">
        <f t="shared" si="7"/>
        <v>2193</v>
      </c>
      <c r="J12" s="21">
        <f t="shared" si="7"/>
        <v>5004</v>
      </c>
      <c r="K12" s="196">
        <f t="shared" si="2"/>
        <v>7197</v>
      </c>
      <c r="L12" s="64">
        <f t="shared" si="3"/>
        <v>183733</v>
      </c>
      <c r="M12" s="257"/>
      <c r="N12" s="240">
        <f t="shared" ref="N12" si="8">SUM(N9:N11)</f>
        <v>4619</v>
      </c>
      <c r="O12" s="196">
        <f t="shared" si="5"/>
        <v>4619</v>
      </c>
      <c r="P12" s="21"/>
      <c r="Q12" s="64">
        <f t="shared" si="6"/>
        <v>188352</v>
      </c>
      <c r="R12" s="257"/>
      <c r="T12" s="196" t="e">
        <f>SUM(T9:T11)</f>
        <v>#REF!</v>
      </c>
    </row>
    <row r="13" spans="2:20">
      <c r="E13" s="22"/>
      <c r="F13" s="22"/>
      <c r="G13" s="22"/>
      <c r="H13" s="22"/>
      <c r="I13" s="22">
        <f t="shared" si="0"/>
        <v>0</v>
      </c>
      <c r="J13" s="22">
        <f t="shared" si="1"/>
        <v>0</v>
      </c>
      <c r="K13" s="197"/>
      <c r="L13" s="22"/>
      <c r="M13" s="257"/>
      <c r="N13" s="153"/>
      <c r="O13" s="197"/>
      <c r="P13" s="26"/>
      <c r="Q13" s="22"/>
      <c r="R13" s="257"/>
      <c r="T13" s="197"/>
    </row>
    <row r="14" spans="2:20">
      <c r="C14" s="14" t="s">
        <v>109</v>
      </c>
      <c r="E14" s="22"/>
      <c r="F14" s="22"/>
      <c r="G14" s="22"/>
      <c r="H14" s="22"/>
      <c r="I14" s="22">
        <f t="shared" si="0"/>
        <v>0</v>
      </c>
      <c r="J14" s="22">
        <f t="shared" si="1"/>
        <v>0</v>
      </c>
      <c r="K14" s="197"/>
      <c r="L14" s="18"/>
      <c r="M14" s="256"/>
      <c r="N14" s="153"/>
      <c r="O14" s="197"/>
      <c r="P14" s="26"/>
      <c r="Q14" s="18"/>
      <c r="R14" s="256"/>
      <c r="T14" s="197"/>
    </row>
    <row r="15" spans="2:20">
      <c r="B15" s="2" t="s">
        <v>27</v>
      </c>
      <c r="C15" s="1" t="s">
        <v>131</v>
      </c>
      <c r="D15" s="15"/>
      <c r="E15" s="17">
        <f>'AN Gas'!I16</f>
        <v>1515</v>
      </c>
      <c r="F15" s="17"/>
      <c r="G15" s="17">
        <f>F15+E15</f>
        <v>1515</v>
      </c>
      <c r="H15" s="17"/>
      <c r="I15" s="17">
        <f t="shared" si="0"/>
        <v>19</v>
      </c>
      <c r="J15" s="17">
        <f t="shared" si="1"/>
        <v>43</v>
      </c>
      <c r="K15" s="189">
        <f t="shared" si="2"/>
        <v>62</v>
      </c>
      <c r="L15" s="17">
        <f t="shared" si="3"/>
        <v>1577</v>
      </c>
      <c r="M15" s="256"/>
      <c r="N15" s="100">
        <f t="shared" ref="N15:N16" si="9">ROUND(IF($B15="a",(G15+I15+J15)*N$5,(G15+I15+J15)*N$6),0)</f>
        <v>40</v>
      </c>
      <c r="O15" s="189">
        <f t="shared" si="5"/>
        <v>40</v>
      </c>
      <c r="P15" s="18"/>
      <c r="Q15" s="17">
        <f t="shared" si="6"/>
        <v>1617</v>
      </c>
      <c r="R15" s="256"/>
      <c r="T15" s="189" t="e">
        <f>ROUND(IF($B15="a",Q15*T$5,Q15*T$6),0)</f>
        <v>#REF!</v>
      </c>
    </row>
    <row r="16" spans="2:20">
      <c r="C16" s="1" t="s">
        <v>132</v>
      </c>
      <c r="D16" s="15"/>
      <c r="E16" s="17">
        <f>'AN Gas'!I17</f>
        <v>0</v>
      </c>
      <c r="F16" s="17"/>
      <c r="G16" s="17">
        <f>F16+E16</f>
        <v>0</v>
      </c>
      <c r="H16" s="17"/>
      <c r="I16" s="17">
        <f t="shared" si="0"/>
        <v>0</v>
      </c>
      <c r="J16" s="17">
        <f t="shared" si="1"/>
        <v>0</v>
      </c>
      <c r="K16" s="189">
        <f t="shared" si="2"/>
        <v>0</v>
      </c>
      <c r="L16" s="17">
        <f t="shared" si="3"/>
        <v>0</v>
      </c>
      <c r="M16" s="256"/>
      <c r="N16" s="100">
        <f t="shared" si="9"/>
        <v>0</v>
      </c>
      <c r="O16" s="189">
        <f t="shared" si="5"/>
        <v>0</v>
      </c>
      <c r="P16" s="18"/>
      <c r="Q16" s="17">
        <f t="shared" si="6"/>
        <v>0</v>
      </c>
      <c r="R16" s="256"/>
      <c r="T16" s="189" t="e">
        <f>ROUND(IF($B16="a",Q16*T$5,Q16*T$6),0)</f>
        <v>#REF!</v>
      </c>
    </row>
    <row r="17" spans="2:20">
      <c r="C17" s="15" t="s">
        <v>30</v>
      </c>
      <c r="D17" s="15"/>
      <c r="E17" s="21">
        <f>SUM(E13:E16)</f>
        <v>1515</v>
      </c>
      <c r="F17" s="21"/>
      <c r="G17" s="21">
        <f t="shared" ref="G17:J17" si="10">SUM(G15:G16)</f>
        <v>1515</v>
      </c>
      <c r="H17" s="21"/>
      <c r="I17" s="21">
        <f t="shared" si="10"/>
        <v>19</v>
      </c>
      <c r="J17" s="21">
        <f t="shared" si="10"/>
        <v>43</v>
      </c>
      <c r="K17" s="196">
        <f t="shared" si="2"/>
        <v>62</v>
      </c>
      <c r="L17" s="64">
        <f t="shared" si="3"/>
        <v>1577</v>
      </c>
      <c r="M17" s="257"/>
      <c r="N17" s="240">
        <f t="shared" ref="N17" si="11">SUM(N14:N16)</f>
        <v>40</v>
      </c>
      <c r="O17" s="196">
        <f t="shared" si="5"/>
        <v>40</v>
      </c>
      <c r="P17" s="21"/>
      <c r="Q17" s="64">
        <f t="shared" si="6"/>
        <v>1617</v>
      </c>
      <c r="R17" s="257"/>
      <c r="T17" s="196" t="e">
        <f>SUM(T15:T16)</f>
        <v>#REF!</v>
      </c>
    </row>
    <row r="18" spans="2:20">
      <c r="E18" s="22"/>
      <c r="F18" s="22"/>
      <c r="G18" s="22"/>
      <c r="H18" s="22"/>
      <c r="I18" s="22">
        <f t="shared" si="0"/>
        <v>0</v>
      </c>
      <c r="J18" s="22">
        <f t="shared" si="1"/>
        <v>0</v>
      </c>
      <c r="K18" s="197"/>
      <c r="L18" s="18"/>
      <c r="M18" s="256"/>
      <c r="N18" s="153"/>
      <c r="O18" s="197"/>
      <c r="P18" s="26"/>
      <c r="Q18" s="18"/>
      <c r="R18" s="256"/>
      <c r="T18" s="197"/>
    </row>
    <row r="19" spans="2:20">
      <c r="C19" s="14" t="s">
        <v>4</v>
      </c>
      <c r="E19" s="22"/>
      <c r="F19" s="22"/>
      <c r="G19" s="22"/>
      <c r="H19" s="22"/>
      <c r="I19" s="22">
        <f t="shared" si="0"/>
        <v>0</v>
      </c>
      <c r="J19" s="22">
        <f t="shared" si="1"/>
        <v>0</v>
      </c>
      <c r="K19" s="197"/>
      <c r="L19" s="18"/>
      <c r="M19" s="256"/>
      <c r="N19" s="153"/>
      <c r="O19" s="197"/>
      <c r="P19" s="26"/>
      <c r="Q19" s="18"/>
      <c r="R19" s="256"/>
      <c r="T19" s="197"/>
    </row>
    <row r="20" spans="2:20">
      <c r="B20" s="2" t="s">
        <v>27</v>
      </c>
      <c r="C20" s="1" t="s">
        <v>133</v>
      </c>
      <c r="D20" s="15"/>
      <c r="E20" s="17">
        <f>'AN Gas'!I21</f>
        <v>212934</v>
      </c>
      <c r="F20" s="17"/>
      <c r="G20" s="17">
        <f>F20+E20</f>
        <v>212934</v>
      </c>
      <c r="H20" s="17"/>
      <c r="I20" s="17">
        <f t="shared" si="0"/>
        <v>2645</v>
      </c>
      <c r="J20" s="17">
        <f t="shared" si="1"/>
        <v>6036</v>
      </c>
      <c r="K20" s="189">
        <f t="shared" si="2"/>
        <v>8681</v>
      </c>
      <c r="L20" s="17">
        <f t="shared" si="3"/>
        <v>221615</v>
      </c>
      <c r="M20" s="256"/>
      <c r="N20" s="100">
        <f t="shared" ref="N20:N40" si="12">ROUND(IF($B20="a",(G20+I20+J20)*N$5,(G20+I20+J20)*N$6),0)</f>
        <v>5571</v>
      </c>
      <c r="O20" s="189">
        <f t="shared" si="5"/>
        <v>5571</v>
      </c>
      <c r="P20" s="18"/>
      <c r="Q20" s="17">
        <f t="shared" si="6"/>
        <v>227186</v>
      </c>
      <c r="R20" s="256"/>
      <c r="T20" s="189" t="e">
        <f t="shared" ref="T20:T40" si="13">ROUND(IF($B20="a",Q20*T$5,Q20*T$6),0)</f>
        <v>#REF!</v>
      </c>
    </row>
    <row r="21" spans="2:20">
      <c r="C21" s="15" t="s">
        <v>134</v>
      </c>
      <c r="D21" s="15"/>
      <c r="E21" s="17">
        <f>'AN Gas'!I22</f>
        <v>0</v>
      </c>
      <c r="F21" s="17"/>
      <c r="G21" s="17">
        <f>F21+E21</f>
        <v>0</v>
      </c>
      <c r="H21" s="17"/>
      <c r="I21" s="17">
        <f t="shared" si="0"/>
        <v>0</v>
      </c>
      <c r="J21" s="17">
        <f t="shared" si="1"/>
        <v>0</v>
      </c>
      <c r="K21" s="189">
        <f t="shared" si="2"/>
        <v>0</v>
      </c>
      <c r="L21" s="17">
        <f t="shared" si="3"/>
        <v>0</v>
      </c>
      <c r="M21" s="256"/>
      <c r="N21" s="100">
        <f t="shared" si="12"/>
        <v>0</v>
      </c>
      <c r="O21" s="189">
        <f t="shared" si="5"/>
        <v>0</v>
      </c>
      <c r="P21" s="18"/>
      <c r="Q21" s="17">
        <f t="shared" si="6"/>
        <v>0</v>
      </c>
      <c r="R21" s="256"/>
      <c r="T21" s="189" t="e">
        <f t="shared" si="13"/>
        <v>#REF!</v>
      </c>
    </row>
    <row r="22" spans="2:20">
      <c r="C22" s="15">
        <v>872</v>
      </c>
      <c r="D22" s="15"/>
      <c r="E22" s="17">
        <f>'AN Gas'!I23</f>
        <v>0</v>
      </c>
      <c r="F22" s="17"/>
      <c r="G22" s="17"/>
      <c r="H22" s="17"/>
      <c r="I22" s="17">
        <f t="shared" si="0"/>
        <v>0</v>
      </c>
      <c r="J22" s="17">
        <f t="shared" si="1"/>
        <v>0</v>
      </c>
      <c r="K22" s="189">
        <f t="shared" si="2"/>
        <v>0</v>
      </c>
      <c r="L22" s="17">
        <f t="shared" si="3"/>
        <v>0</v>
      </c>
      <c r="M22" s="256"/>
      <c r="N22" s="100">
        <f t="shared" si="12"/>
        <v>0</v>
      </c>
      <c r="O22" s="189">
        <f t="shared" si="5"/>
        <v>0</v>
      </c>
      <c r="P22" s="18"/>
      <c r="Q22" s="17">
        <f t="shared" si="6"/>
        <v>0</v>
      </c>
      <c r="R22" s="256"/>
      <c r="T22" s="189" t="e">
        <f t="shared" si="13"/>
        <v>#REF!</v>
      </c>
    </row>
    <row r="23" spans="2:20">
      <c r="C23" s="1" t="s">
        <v>135</v>
      </c>
      <c r="D23" s="15"/>
      <c r="E23" s="17">
        <f>'AN Gas'!I24</f>
        <v>312408</v>
      </c>
      <c r="F23" s="17"/>
      <c r="G23" s="17">
        <f t="shared" ref="G23:G33" si="14">F23+E23</f>
        <v>312408</v>
      </c>
      <c r="H23" s="17"/>
      <c r="I23" s="17">
        <f t="shared" si="0"/>
        <v>4546</v>
      </c>
      <c r="J23" s="17">
        <f t="shared" si="1"/>
        <v>9826</v>
      </c>
      <c r="K23" s="189">
        <f t="shared" si="2"/>
        <v>14372</v>
      </c>
      <c r="L23" s="17">
        <f t="shared" si="3"/>
        <v>326780</v>
      </c>
      <c r="M23" s="256"/>
      <c r="N23" s="100">
        <f t="shared" si="12"/>
        <v>7490</v>
      </c>
      <c r="O23" s="189">
        <f t="shared" si="5"/>
        <v>7490</v>
      </c>
      <c r="P23" s="18"/>
      <c r="Q23" s="17">
        <f t="shared" si="6"/>
        <v>334270</v>
      </c>
      <c r="R23" s="256"/>
      <c r="T23" s="189" t="e">
        <f t="shared" si="13"/>
        <v>#REF!</v>
      </c>
    </row>
    <row r="24" spans="2:20">
      <c r="C24" s="1" t="s">
        <v>136</v>
      </c>
      <c r="D24" s="15"/>
      <c r="E24" s="17">
        <f>'AN Gas'!I25</f>
        <v>13958</v>
      </c>
      <c r="F24" s="17"/>
      <c r="G24" s="17">
        <f t="shared" si="14"/>
        <v>13958</v>
      </c>
      <c r="H24" s="17"/>
      <c r="I24" s="17">
        <f t="shared" si="0"/>
        <v>203</v>
      </c>
      <c r="J24" s="17">
        <f t="shared" si="1"/>
        <v>439</v>
      </c>
      <c r="K24" s="189">
        <f t="shared" si="2"/>
        <v>642</v>
      </c>
      <c r="L24" s="17">
        <f t="shared" si="3"/>
        <v>14600</v>
      </c>
      <c r="M24" s="256"/>
      <c r="N24" s="100">
        <f t="shared" si="12"/>
        <v>335</v>
      </c>
      <c r="O24" s="189">
        <f t="shared" si="5"/>
        <v>335</v>
      </c>
      <c r="P24" s="18"/>
      <c r="Q24" s="17">
        <f t="shared" si="6"/>
        <v>14935</v>
      </c>
      <c r="R24" s="256"/>
      <c r="T24" s="189" t="e">
        <f t="shared" si="13"/>
        <v>#REF!</v>
      </c>
    </row>
    <row r="25" spans="2:20">
      <c r="C25" s="1" t="s">
        <v>137</v>
      </c>
      <c r="D25" s="15"/>
      <c r="E25" s="17">
        <f>'AN Gas'!I26</f>
        <v>425</v>
      </c>
      <c r="F25" s="17"/>
      <c r="G25" s="17">
        <f t="shared" si="14"/>
        <v>425</v>
      </c>
      <c r="H25" s="17"/>
      <c r="I25" s="17">
        <f t="shared" si="0"/>
        <v>6</v>
      </c>
      <c r="J25" s="17">
        <f t="shared" si="1"/>
        <v>13</v>
      </c>
      <c r="K25" s="189">
        <f t="shared" si="2"/>
        <v>19</v>
      </c>
      <c r="L25" s="17">
        <f t="shared" si="3"/>
        <v>444</v>
      </c>
      <c r="M25" s="256"/>
      <c r="N25" s="100">
        <f t="shared" si="12"/>
        <v>10</v>
      </c>
      <c r="O25" s="189">
        <f t="shared" si="5"/>
        <v>10</v>
      </c>
      <c r="P25" s="18"/>
      <c r="Q25" s="17">
        <f t="shared" si="6"/>
        <v>454</v>
      </c>
      <c r="R25" s="256"/>
      <c r="T25" s="189" t="e">
        <f t="shared" si="13"/>
        <v>#REF!</v>
      </c>
    </row>
    <row r="26" spans="2:20">
      <c r="C26" s="1" t="s">
        <v>138</v>
      </c>
      <c r="D26" s="15"/>
      <c r="E26" s="17">
        <f>'AN Gas'!I27</f>
        <v>27004</v>
      </c>
      <c r="F26" s="17"/>
      <c r="G26" s="17">
        <f t="shared" si="14"/>
        <v>27004</v>
      </c>
      <c r="H26" s="17"/>
      <c r="I26" s="17">
        <f t="shared" si="0"/>
        <v>393</v>
      </c>
      <c r="J26" s="17">
        <f t="shared" si="1"/>
        <v>849</v>
      </c>
      <c r="K26" s="189">
        <f t="shared" si="2"/>
        <v>1242</v>
      </c>
      <c r="L26" s="17">
        <f t="shared" si="3"/>
        <v>28246</v>
      </c>
      <c r="M26" s="256"/>
      <c r="N26" s="100">
        <f t="shared" si="12"/>
        <v>647</v>
      </c>
      <c r="O26" s="189">
        <f t="shared" si="5"/>
        <v>647</v>
      </c>
      <c r="P26" s="18"/>
      <c r="Q26" s="17">
        <f t="shared" si="6"/>
        <v>28893</v>
      </c>
      <c r="R26" s="256"/>
      <c r="T26" s="189" t="e">
        <f t="shared" si="13"/>
        <v>#REF!</v>
      </c>
    </row>
    <row r="27" spans="2:20">
      <c r="C27" s="1" t="s">
        <v>139</v>
      </c>
      <c r="D27" s="15"/>
      <c r="E27" s="17">
        <f>'AN Gas'!I28</f>
        <v>24088</v>
      </c>
      <c r="F27" s="17"/>
      <c r="G27" s="17">
        <f t="shared" si="14"/>
        <v>24088</v>
      </c>
      <c r="H27" s="17"/>
      <c r="I27" s="17">
        <f t="shared" si="0"/>
        <v>350</v>
      </c>
      <c r="J27" s="17">
        <f t="shared" si="1"/>
        <v>758</v>
      </c>
      <c r="K27" s="189">
        <f t="shared" si="2"/>
        <v>1108</v>
      </c>
      <c r="L27" s="17">
        <f t="shared" si="3"/>
        <v>25196</v>
      </c>
      <c r="M27" s="256"/>
      <c r="N27" s="100">
        <f t="shared" si="12"/>
        <v>577</v>
      </c>
      <c r="O27" s="189">
        <f t="shared" si="5"/>
        <v>577</v>
      </c>
      <c r="P27" s="18"/>
      <c r="Q27" s="17">
        <f t="shared" si="6"/>
        <v>25773</v>
      </c>
      <c r="R27" s="256"/>
      <c r="T27" s="189" t="e">
        <f t="shared" si="13"/>
        <v>#REF!</v>
      </c>
    </row>
    <row r="28" spans="2:20">
      <c r="C28" s="1" t="s">
        <v>140</v>
      </c>
      <c r="D28" s="15"/>
      <c r="E28" s="17">
        <f>'AN Gas'!I29</f>
        <v>490658</v>
      </c>
      <c r="F28" s="17"/>
      <c r="G28" s="17">
        <f t="shared" si="14"/>
        <v>490658</v>
      </c>
      <c r="H28" s="17"/>
      <c r="I28" s="17">
        <f t="shared" si="0"/>
        <v>7139</v>
      </c>
      <c r="J28" s="17">
        <f t="shared" si="1"/>
        <v>15432</v>
      </c>
      <c r="K28" s="189">
        <f t="shared" si="2"/>
        <v>22571</v>
      </c>
      <c r="L28" s="17">
        <f t="shared" si="3"/>
        <v>513229</v>
      </c>
      <c r="M28" s="256"/>
      <c r="N28" s="100">
        <f t="shared" si="12"/>
        <v>11763</v>
      </c>
      <c r="O28" s="189">
        <f t="shared" si="5"/>
        <v>11763</v>
      </c>
      <c r="P28" s="18"/>
      <c r="Q28" s="17">
        <f t="shared" si="6"/>
        <v>524992</v>
      </c>
      <c r="R28" s="256"/>
      <c r="T28" s="189" t="e">
        <f t="shared" si="13"/>
        <v>#REF!</v>
      </c>
    </row>
    <row r="29" spans="2:20">
      <c r="C29" s="1" t="s">
        <v>141</v>
      </c>
      <c r="D29" s="15" t="str">
        <f>D6</f>
        <v>2011 to 2013</v>
      </c>
      <c r="E29" s="17">
        <f>'AN Gas'!I30</f>
        <v>311407</v>
      </c>
      <c r="F29" s="17"/>
      <c r="G29" s="17">
        <f t="shared" si="14"/>
        <v>311407</v>
      </c>
      <c r="H29" s="17"/>
      <c r="I29" s="17">
        <f t="shared" si="0"/>
        <v>4531</v>
      </c>
      <c r="J29" s="17">
        <f t="shared" si="1"/>
        <v>9794</v>
      </c>
      <c r="K29" s="189">
        <f t="shared" si="2"/>
        <v>14325</v>
      </c>
      <c r="L29" s="17">
        <f t="shared" si="3"/>
        <v>325732</v>
      </c>
      <c r="M29" s="256"/>
      <c r="N29" s="100">
        <f t="shared" si="12"/>
        <v>7466</v>
      </c>
      <c r="O29" s="189">
        <f t="shared" si="5"/>
        <v>7466</v>
      </c>
      <c r="P29" s="18"/>
      <c r="Q29" s="17">
        <f t="shared" si="6"/>
        <v>333198</v>
      </c>
      <c r="R29" s="256"/>
      <c r="T29" s="189" t="e">
        <f t="shared" si="13"/>
        <v>#REF!</v>
      </c>
    </row>
    <row r="30" spans="2:20">
      <c r="C30" s="1" t="s">
        <v>178</v>
      </c>
      <c r="D30" s="15"/>
      <c r="E30" s="17">
        <f>'AN Gas'!I31</f>
        <v>1501</v>
      </c>
      <c r="F30" s="17"/>
      <c r="G30" s="17">
        <f t="shared" si="14"/>
        <v>1501</v>
      </c>
      <c r="H30" s="17"/>
      <c r="I30" s="17">
        <f t="shared" si="0"/>
        <v>22</v>
      </c>
      <c r="J30" s="17">
        <f t="shared" si="1"/>
        <v>47</v>
      </c>
      <c r="K30" s="189">
        <f t="shared" si="2"/>
        <v>69</v>
      </c>
      <c r="L30" s="17">
        <f t="shared" si="3"/>
        <v>1570</v>
      </c>
      <c r="M30" s="256"/>
      <c r="N30" s="100">
        <f t="shared" si="12"/>
        <v>36</v>
      </c>
      <c r="O30" s="189">
        <f t="shared" si="5"/>
        <v>36</v>
      </c>
      <c r="P30" s="18"/>
      <c r="Q30" s="17">
        <f t="shared" si="6"/>
        <v>1606</v>
      </c>
      <c r="R30" s="256"/>
      <c r="T30" s="189" t="e">
        <f t="shared" si="13"/>
        <v>#REF!</v>
      </c>
    </row>
    <row r="31" spans="2:20">
      <c r="C31" s="1" t="s">
        <v>142</v>
      </c>
      <c r="D31" s="1"/>
      <c r="E31" s="17">
        <f>'AN Gas'!I32</f>
        <v>29307</v>
      </c>
      <c r="F31" s="17"/>
      <c r="G31" s="17">
        <f t="shared" si="14"/>
        <v>29307</v>
      </c>
      <c r="H31" s="17"/>
      <c r="I31" s="17">
        <f t="shared" si="0"/>
        <v>426</v>
      </c>
      <c r="J31" s="17">
        <f t="shared" si="1"/>
        <v>922</v>
      </c>
      <c r="K31" s="189">
        <f t="shared" si="2"/>
        <v>1348</v>
      </c>
      <c r="L31" s="17">
        <f t="shared" si="3"/>
        <v>30655</v>
      </c>
      <c r="M31" s="256"/>
      <c r="N31" s="100">
        <f t="shared" si="12"/>
        <v>703</v>
      </c>
      <c r="O31" s="189">
        <f t="shared" si="5"/>
        <v>703</v>
      </c>
      <c r="P31" s="18"/>
      <c r="Q31" s="17">
        <f t="shared" si="6"/>
        <v>31358</v>
      </c>
      <c r="R31" s="256"/>
      <c r="T31" s="189" t="e">
        <f t="shared" si="13"/>
        <v>#REF!</v>
      </c>
    </row>
    <row r="32" spans="2:20">
      <c r="C32" s="1" t="s">
        <v>143</v>
      </c>
      <c r="D32" s="1"/>
      <c r="E32" s="17">
        <f>'AN Gas'!I33</f>
        <v>0</v>
      </c>
      <c r="F32" s="17"/>
      <c r="G32" s="17">
        <f t="shared" si="14"/>
        <v>0</v>
      </c>
      <c r="H32" s="17"/>
      <c r="I32" s="17">
        <f t="shared" si="0"/>
        <v>0</v>
      </c>
      <c r="J32" s="17">
        <f t="shared" si="1"/>
        <v>0</v>
      </c>
      <c r="K32" s="189">
        <f t="shared" si="2"/>
        <v>0</v>
      </c>
      <c r="L32" s="17">
        <f t="shared" si="3"/>
        <v>0</v>
      </c>
      <c r="M32" s="256"/>
      <c r="N32" s="100">
        <f t="shared" si="12"/>
        <v>0</v>
      </c>
      <c r="O32" s="189">
        <f t="shared" si="5"/>
        <v>0</v>
      </c>
      <c r="P32" s="18"/>
      <c r="Q32" s="17">
        <f t="shared" si="6"/>
        <v>0</v>
      </c>
      <c r="R32" s="256"/>
      <c r="T32" s="189" t="e">
        <f t="shared" si="13"/>
        <v>#REF!</v>
      </c>
    </row>
    <row r="33" spans="2:20">
      <c r="C33" s="1" t="s">
        <v>144</v>
      </c>
      <c r="D33" s="15"/>
      <c r="E33" s="17">
        <f>'AN Gas'!I34</f>
        <v>211405</v>
      </c>
      <c r="F33" s="17"/>
      <c r="G33" s="17">
        <f t="shared" si="14"/>
        <v>211405</v>
      </c>
      <c r="H33" s="17"/>
      <c r="I33" s="17">
        <f t="shared" si="0"/>
        <v>3076</v>
      </c>
      <c r="J33" s="17">
        <f t="shared" si="1"/>
        <v>6649</v>
      </c>
      <c r="K33" s="189">
        <f t="shared" si="2"/>
        <v>9725</v>
      </c>
      <c r="L33" s="17">
        <f t="shared" si="3"/>
        <v>221130</v>
      </c>
      <c r="M33" s="256"/>
      <c r="N33" s="100">
        <f t="shared" si="12"/>
        <v>5068</v>
      </c>
      <c r="O33" s="189">
        <f t="shared" si="5"/>
        <v>5068</v>
      </c>
      <c r="P33" s="18"/>
      <c r="Q33" s="17">
        <f t="shared" si="6"/>
        <v>226198</v>
      </c>
      <c r="R33" s="256"/>
      <c r="T33" s="189" t="e">
        <f t="shared" si="13"/>
        <v>#REF!</v>
      </c>
    </row>
    <row r="34" spans="2:20">
      <c r="C34" s="1">
        <v>888</v>
      </c>
      <c r="D34" s="15"/>
      <c r="E34" s="17">
        <f>'AN Gas'!I35</f>
        <v>0</v>
      </c>
      <c r="F34" s="17"/>
      <c r="G34" s="17"/>
      <c r="H34" s="17"/>
      <c r="I34" s="17">
        <f t="shared" si="0"/>
        <v>0</v>
      </c>
      <c r="J34" s="17">
        <f t="shared" si="1"/>
        <v>0</v>
      </c>
      <c r="K34" s="189">
        <f t="shared" si="2"/>
        <v>0</v>
      </c>
      <c r="L34" s="17">
        <f t="shared" si="3"/>
        <v>0</v>
      </c>
      <c r="M34" s="256"/>
      <c r="N34" s="100">
        <f t="shared" si="12"/>
        <v>0</v>
      </c>
      <c r="O34" s="189">
        <f t="shared" si="5"/>
        <v>0</v>
      </c>
      <c r="P34" s="18"/>
      <c r="Q34" s="17">
        <f t="shared" si="6"/>
        <v>0</v>
      </c>
      <c r="R34" s="256"/>
      <c r="T34" s="189" t="e">
        <f t="shared" si="13"/>
        <v>#REF!</v>
      </c>
    </row>
    <row r="35" spans="2:20">
      <c r="C35" s="1" t="s">
        <v>145</v>
      </c>
      <c r="D35" s="15"/>
      <c r="E35" s="17">
        <f>'AN Gas'!I36</f>
        <v>23185</v>
      </c>
      <c r="F35" s="17"/>
      <c r="G35" s="17">
        <f t="shared" ref="G35:G40" si="15">F35+E35</f>
        <v>23185</v>
      </c>
      <c r="H35" s="17"/>
      <c r="I35" s="17">
        <f t="shared" si="0"/>
        <v>337</v>
      </c>
      <c r="J35" s="17">
        <f t="shared" si="1"/>
        <v>729</v>
      </c>
      <c r="K35" s="189">
        <f t="shared" si="2"/>
        <v>1066</v>
      </c>
      <c r="L35" s="17">
        <f t="shared" si="3"/>
        <v>24251</v>
      </c>
      <c r="M35" s="256"/>
      <c r="N35" s="100">
        <f t="shared" si="12"/>
        <v>556</v>
      </c>
      <c r="O35" s="189">
        <f t="shared" si="5"/>
        <v>556</v>
      </c>
      <c r="P35" s="18"/>
      <c r="Q35" s="17">
        <f t="shared" si="6"/>
        <v>24807</v>
      </c>
      <c r="R35" s="256"/>
      <c r="T35" s="189" t="e">
        <f t="shared" si="13"/>
        <v>#REF!</v>
      </c>
    </row>
    <row r="36" spans="2:20">
      <c r="C36" s="1" t="s">
        <v>168</v>
      </c>
      <c r="D36" s="15"/>
      <c r="E36" s="17">
        <f>'AN Gas'!I37</f>
        <v>22031</v>
      </c>
      <c r="F36" s="17"/>
      <c r="G36" s="17">
        <f t="shared" si="15"/>
        <v>22031</v>
      </c>
      <c r="H36" s="17"/>
      <c r="I36" s="17">
        <f t="shared" si="0"/>
        <v>321</v>
      </c>
      <c r="J36" s="17">
        <f t="shared" si="1"/>
        <v>693</v>
      </c>
      <c r="K36" s="189">
        <f t="shared" si="2"/>
        <v>1014</v>
      </c>
      <c r="L36" s="17">
        <f t="shared" si="3"/>
        <v>23045</v>
      </c>
      <c r="M36" s="256"/>
      <c r="N36" s="100">
        <f t="shared" si="12"/>
        <v>528</v>
      </c>
      <c r="O36" s="189">
        <f t="shared" si="5"/>
        <v>528</v>
      </c>
      <c r="P36" s="18"/>
      <c r="Q36" s="17">
        <f t="shared" si="6"/>
        <v>23573</v>
      </c>
      <c r="R36" s="256"/>
      <c r="T36" s="189" t="e">
        <f t="shared" si="13"/>
        <v>#REF!</v>
      </c>
    </row>
    <row r="37" spans="2:20">
      <c r="C37" s="1" t="s">
        <v>147</v>
      </c>
      <c r="D37" s="15"/>
      <c r="E37" s="17">
        <f>'AN Gas'!I38</f>
        <v>15892</v>
      </c>
      <c r="F37" s="17"/>
      <c r="G37" s="17">
        <f t="shared" si="15"/>
        <v>15892</v>
      </c>
      <c r="H37" s="17"/>
      <c r="I37" s="17">
        <f t="shared" si="0"/>
        <v>231</v>
      </c>
      <c r="J37" s="17">
        <f t="shared" si="1"/>
        <v>500</v>
      </c>
      <c r="K37" s="189">
        <f t="shared" si="2"/>
        <v>731</v>
      </c>
      <c r="L37" s="17">
        <f t="shared" si="3"/>
        <v>16623</v>
      </c>
      <c r="M37" s="256"/>
      <c r="N37" s="100">
        <f t="shared" si="12"/>
        <v>381</v>
      </c>
      <c r="O37" s="189">
        <f t="shared" si="5"/>
        <v>381</v>
      </c>
      <c r="P37" s="18"/>
      <c r="Q37" s="17">
        <f t="shared" si="6"/>
        <v>17004</v>
      </c>
      <c r="R37" s="256"/>
      <c r="T37" s="189" t="e">
        <f t="shared" si="13"/>
        <v>#REF!</v>
      </c>
    </row>
    <row r="38" spans="2:20">
      <c r="C38" s="1" t="s">
        <v>148</v>
      </c>
      <c r="D38" s="15"/>
      <c r="E38" s="17">
        <f>'AN Gas'!I39</f>
        <v>276511</v>
      </c>
      <c r="F38" s="17"/>
      <c r="G38" s="17">
        <f t="shared" si="15"/>
        <v>276511</v>
      </c>
      <c r="H38" s="17"/>
      <c r="I38" s="17">
        <f t="shared" si="0"/>
        <v>4023</v>
      </c>
      <c r="J38" s="17">
        <f t="shared" si="1"/>
        <v>8697</v>
      </c>
      <c r="K38" s="189">
        <f t="shared" si="2"/>
        <v>12720</v>
      </c>
      <c r="L38" s="17">
        <f t="shared" si="3"/>
        <v>289231</v>
      </c>
      <c r="M38" s="256"/>
      <c r="N38" s="100">
        <f t="shared" si="12"/>
        <v>6629</v>
      </c>
      <c r="O38" s="189">
        <f t="shared" si="5"/>
        <v>6629</v>
      </c>
      <c r="P38" s="18"/>
      <c r="Q38" s="17">
        <f t="shared" si="6"/>
        <v>295860</v>
      </c>
      <c r="R38" s="256"/>
      <c r="T38" s="189" t="e">
        <f t="shared" si="13"/>
        <v>#REF!</v>
      </c>
    </row>
    <row r="39" spans="2:20">
      <c r="C39" s="1" t="s">
        <v>149</v>
      </c>
      <c r="D39" s="15"/>
      <c r="E39" s="17">
        <f>'AN Gas'!I40</f>
        <v>325153</v>
      </c>
      <c r="F39" s="17"/>
      <c r="G39" s="17">
        <f t="shared" si="15"/>
        <v>325153</v>
      </c>
      <c r="H39" s="17"/>
      <c r="I39" s="17">
        <f t="shared" si="0"/>
        <v>4731</v>
      </c>
      <c r="J39" s="17">
        <f t="shared" si="1"/>
        <v>10226</v>
      </c>
      <c r="K39" s="189">
        <f t="shared" si="2"/>
        <v>14957</v>
      </c>
      <c r="L39" s="17">
        <f t="shared" si="3"/>
        <v>340110</v>
      </c>
      <c r="M39" s="256"/>
      <c r="N39" s="100">
        <f t="shared" si="12"/>
        <v>7795</v>
      </c>
      <c r="O39" s="189">
        <f t="shared" si="5"/>
        <v>7795</v>
      </c>
      <c r="P39" s="18"/>
      <c r="Q39" s="17">
        <f t="shared" si="6"/>
        <v>347905</v>
      </c>
      <c r="R39" s="256"/>
      <c r="T39" s="189" t="e">
        <f t="shared" si="13"/>
        <v>#REF!</v>
      </c>
    </row>
    <row r="40" spans="2:20">
      <c r="B40" s="60"/>
      <c r="C40" s="59">
        <v>894</v>
      </c>
      <c r="D40" s="15"/>
      <c r="E40" s="17">
        <f>'AN Gas'!I41</f>
        <v>28542</v>
      </c>
      <c r="F40" s="17"/>
      <c r="G40" s="17">
        <f t="shared" si="15"/>
        <v>28542</v>
      </c>
      <c r="H40" s="17"/>
      <c r="I40" s="17">
        <f t="shared" si="0"/>
        <v>415</v>
      </c>
      <c r="J40" s="17">
        <f t="shared" si="1"/>
        <v>898</v>
      </c>
      <c r="K40" s="189">
        <f t="shared" si="2"/>
        <v>1313</v>
      </c>
      <c r="L40" s="17">
        <f t="shared" si="3"/>
        <v>29855</v>
      </c>
      <c r="M40" s="256"/>
      <c r="N40" s="100">
        <f t="shared" si="12"/>
        <v>684</v>
      </c>
      <c r="O40" s="189">
        <f t="shared" si="5"/>
        <v>684</v>
      </c>
      <c r="P40" s="18"/>
      <c r="Q40" s="17">
        <f t="shared" si="6"/>
        <v>30539</v>
      </c>
      <c r="R40" s="256"/>
      <c r="T40" s="189" t="e">
        <f t="shared" si="13"/>
        <v>#REF!</v>
      </c>
    </row>
    <row r="41" spans="2:20">
      <c r="C41" s="14" t="s">
        <v>5</v>
      </c>
      <c r="E41" s="21">
        <f>SUM(E20:E40)</f>
        <v>2326409</v>
      </c>
      <c r="F41" s="21"/>
      <c r="G41" s="21">
        <f t="shared" ref="G41:J41" si="16">SUM(G20:G40)</f>
        <v>2326409</v>
      </c>
      <c r="H41" s="21"/>
      <c r="I41" s="21">
        <f t="shared" si="16"/>
        <v>33395</v>
      </c>
      <c r="J41" s="21">
        <f t="shared" si="16"/>
        <v>72508</v>
      </c>
      <c r="K41" s="196">
        <f t="shared" si="2"/>
        <v>105903</v>
      </c>
      <c r="L41" s="64">
        <f t="shared" si="3"/>
        <v>2432312</v>
      </c>
      <c r="M41" s="257"/>
      <c r="N41" s="240">
        <f>SUM(N20:N40)</f>
        <v>56239</v>
      </c>
      <c r="O41" s="196">
        <f t="shared" si="5"/>
        <v>56239</v>
      </c>
      <c r="P41" s="21"/>
      <c r="Q41" s="64">
        <f t="shared" si="6"/>
        <v>2488551</v>
      </c>
      <c r="R41" s="257"/>
      <c r="T41" s="196" t="e">
        <f>SUM(T20:T40)</f>
        <v>#REF!</v>
      </c>
    </row>
    <row r="42" spans="2:20">
      <c r="E42" s="22"/>
      <c r="F42" s="22"/>
      <c r="G42" s="22"/>
      <c r="H42" s="22"/>
      <c r="I42" s="22">
        <f t="shared" si="0"/>
        <v>0</v>
      </c>
      <c r="J42" s="22">
        <f t="shared" si="1"/>
        <v>0</v>
      </c>
      <c r="K42" s="197"/>
      <c r="L42" s="22"/>
      <c r="M42" s="257"/>
      <c r="N42" s="153"/>
      <c r="O42" s="197"/>
      <c r="P42" s="26"/>
      <c r="Q42" s="22"/>
      <c r="R42" s="257"/>
      <c r="T42" s="197"/>
    </row>
    <row r="43" spans="2:20">
      <c r="C43" s="14" t="s">
        <v>6</v>
      </c>
      <c r="E43" s="22"/>
      <c r="F43" s="22"/>
      <c r="G43" s="22"/>
      <c r="H43" s="22"/>
      <c r="I43" s="22">
        <f t="shared" si="0"/>
        <v>0</v>
      </c>
      <c r="J43" s="22">
        <f t="shared" si="1"/>
        <v>0</v>
      </c>
      <c r="K43" s="197"/>
      <c r="L43" s="18"/>
      <c r="M43" s="256"/>
      <c r="N43" s="153"/>
      <c r="O43" s="197"/>
      <c r="P43" s="26"/>
      <c r="Q43" s="18"/>
      <c r="R43" s="256"/>
      <c r="T43" s="197"/>
    </row>
    <row r="44" spans="2:20">
      <c r="B44" s="2" t="s">
        <v>27</v>
      </c>
      <c r="C44" s="1" t="s">
        <v>150</v>
      </c>
      <c r="D44" s="15"/>
      <c r="E44" s="17">
        <f>'AN Gas'!I45</f>
        <v>44031</v>
      </c>
      <c r="F44" s="17"/>
      <c r="G44" s="17">
        <f>F44+E44</f>
        <v>44031</v>
      </c>
      <c r="H44" s="17"/>
      <c r="I44" s="17">
        <f t="shared" si="0"/>
        <v>547</v>
      </c>
      <c r="J44" s="17">
        <f t="shared" si="1"/>
        <v>1248</v>
      </c>
      <c r="K44" s="189">
        <f t="shared" si="2"/>
        <v>1795</v>
      </c>
      <c r="L44" s="17">
        <f t="shared" si="3"/>
        <v>45826</v>
      </c>
      <c r="M44" s="256"/>
      <c r="N44" s="100">
        <f>ROUND(IF($B44="a",(G44+I44+J44)*N$5,(G44+I44+J44)*N$6),0)</f>
        <v>1152</v>
      </c>
      <c r="O44" s="189">
        <f t="shared" si="5"/>
        <v>1152</v>
      </c>
      <c r="P44" s="18"/>
      <c r="Q44" s="17">
        <f t="shared" si="6"/>
        <v>46978</v>
      </c>
      <c r="R44" s="256"/>
      <c r="T44" s="189" t="e">
        <f>ROUND(IF($B44="a",Q44*T$5,Q44*T$6),0)</f>
        <v>#REF!</v>
      </c>
    </row>
    <row r="45" spans="2:20">
      <c r="C45" s="1" t="s">
        <v>151</v>
      </c>
      <c r="D45" s="15"/>
      <c r="E45" s="17">
        <f>'AN Gas'!I46</f>
        <v>110925</v>
      </c>
      <c r="F45" s="17"/>
      <c r="G45" s="17">
        <f>F45+E45</f>
        <v>110925</v>
      </c>
      <c r="H45" s="17"/>
      <c r="I45" s="17">
        <f t="shared" si="0"/>
        <v>1614</v>
      </c>
      <c r="J45" s="17">
        <f t="shared" si="1"/>
        <v>3489</v>
      </c>
      <c r="K45" s="189">
        <f t="shared" si="2"/>
        <v>5103</v>
      </c>
      <c r="L45" s="17">
        <f t="shared" si="3"/>
        <v>116028</v>
      </c>
      <c r="M45" s="256"/>
      <c r="N45" s="100">
        <f t="shared" ref="N45:N47" si="17">ROUND(IF($B45="a",(G45+I45+J45)*N$5,(G45+I45+J45)*N$6),0)</f>
        <v>2659</v>
      </c>
      <c r="O45" s="189">
        <f t="shared" si="5"/>
        <v>2659</v>
      </c>
      <c r="P45" s="18"/>
      <c r="Q45" s="17">
        <f t="shared" si="6"/>
        <v>118687</v>
      </c>
      <c r="R45" s="256"/>
      <c r="T45" s="189" t="e">
        <f>ROUND(IF($B45="a",Q45*T$5,Q45*T$6),0)</f>
        <v>#REF!</v>
      </c>
    </row>
    <row r="46" spans="2:20">
      <c r="B46" s="2" t="s">
        <v>27</v>
      </c>
      <c r="C46" s="1" t="s">
        <v>169</v>
      </c>
      <c r="D46" s="15"/>
      <c r="E46" s="17">
        <f>'AN Gas'!I47</f>
        <v>860237</v>
      </c>
      <c r="F46" s="17"/>
      <c r="G46" s="17">
        <f>F46+E46</f>
        <v>860237</v>
      </c>
      <c r="H46" s="17"/>
      <c r="I46" s="17">
        <f t="shared" si="0"/>
        <v>10684</v>
      </c>
      <c r="J46" s="17">
        <f t="shared" si="1"/>
        <v>24386</v>
      </c>
      <c r="K46" s="189">
        <f t="shared" si="2"/>
        <v>35070</v>
      </c>
      <c r="L46" s="17">
        <f t="shared" si="3"/>
        <v>895307</v>
      </c>
      <c r="M46" s="256"/>
      <c r="N46" s="100">
        <f t="shared" si="17"/>
        <v>22508</v>
      </c>
      <c r="O46" s="189">
        <f t="shared" si="5"/>
        <v>22508</v>
      </c>
      <c r="P46" s="18"/>
      <c r="Q46" s="17">
        <f t="shared" si="6"/>
        <v>917815</v>
      </c>
      <c r="R46" s="256"/>
      <c r="T46" s="189" t="e">
        <f>ROUND(IF($B46="a",Q46*T$5,Q46*T$6),0)</f>
        <v>#REF!</v>
      </c>
    </row>
    <row r="47" spans="2:20">
      <c r="B47" s="2" t="s">
        <v>27</v>
      </c>
      <c r="C47" s="1" t="s">
        <v>153</v>
      </c>
      <c r="D47" s="15"/>
      <c r="E47" s="17">
        <f>'AN Gas'!I48</f>
        <v>23126</v>
      </c>
      <c r="F47" s="17"/>
      <c r="G47" s="17">
        <f>F47+E47</f>
        <v>23126</v>
      </c>
      <c r="H47" s="17"/>
      <c r="I47" s="17">
        <f t="shared" si="0"/>
        <v>287</v>
      </c>
      <c r="J47" s="17">
        <f t="shared" si="1"/>
        <v>656</v>
      </c>
      <c r="K47" s="189">
        <f t="shared" si="2"/>
        <v>943</v>
      </c>
      <c r="L47" s="17">
        <f t="shared" si="3"/>
        <v>24069</v>
      </c>
      <c r="M47" s="256"/>
      <c r="N47" s="100">
        <f t="shared" si="17"/>
        <v>605</v>
      </c>
      <c r="O47" s="189">
        <f t="shared" si="5"/>
        <v>605</v>
      </c>
      <c r="P47" s="18"/>
      <c r="Q47" s="17">
        <f t="shared" si="6"/>
        <v>24674</v>
      </c>
      <c r="R47" s="256"/>
      <c r="T47" s="189" t="e">
        <f>ROUND(IF($B47="a",Q47*T$5,Q47*T$6),0)</f>
        <v>#REF!</v>
      </c>
    </row>
    <row r="48" spans="2:20">
      <c r="C48" s="14" t="s">
        <v>7</v>
      </c>
      <c r="E48" s="21">
        <f>SUM(E44:E47)</f>
        <v>1038319</v>
      </c>
      <c r="F48" s="21"/>
      <c r="G48" s="21">
        <f t="shared" ref="G48:J48" si="18">SUM(G44:G47)</f>
        <v>1038319</v>
      </c>
      <c r="H48" s="21"/>
      <c r="I48" s="21">
        <f t="shared" si="18"/>
        <v>13132</v>
      </c>
      <c r="J48" s="21">
        <f t="shared" si="18"/>
        <v>29779</v>
      </c>
      <c r="K48" s="196">
        <f t="shared" si="2"/>
        <v>42911</v>
      </c>
      <c r="L48" s="64">
        <f t="shared" si="3"/>
        <v>1081230</v>
      </c>
      <c r="M48" s="257"/>
      <c r="N48" s="240">
        <f t="shared" ref="N48" si="19">SUM(N44:N47)</f>
        <v>26924</v>
      </c>
      <c r="O48" s="196">
        <f t="shared" si="5"/>
        <v>26924</v>
      </c>
      <c r="P48" s="21"/>
      <c r="Q48" s="64">
        <f t="shared" si="6"/>
        <v>1108154</v>
      </c>
      <c r="R48" s="257"/>
      <c r="T48" s="196" t="e">
        <f>SUM(T44:T47)</f>
        <v>#REF!</v>
      </c>
    </row>
    <row r="49" spans="2:20">
      <c r="E49" s="22"/>
      <c r="F49" s="22"/>
      <c r="G49" s="22"/>
      <c r="H49" s="22"/>
      <c r="I49" s="22">
        <f t="shared" si="0"/>
        <v>0</v>
      </c>
      <c r="J49" s="22">
        <f t="shared" si="1"/>
        <v>0</v>
      </c>
      <c r="K49" s="197"/>
      <c r="L49" s="22"/>
      <c r="M49" s="257"/>
      <c r="N49" s="153"/>
      <c r="O49" s="197"/>
      <c r="P49" s="26"/>
      <c r="Q49" s="22"/>
      <c r="R49" s="257"/>
      <c r="T49" s="197"/>
    </row>
    <row r="50" spans="2:20">
      <c r="C50" s="14" t="s">
        <v>8</v>
      </c>
      <c r="E50" s="22"/>
      <c r="F50" s="22"/>
      <c r="G50" s="22"/>
      <c r="H50" s="22"/>
      <c r="I50" s="22">
        <f t="shared" si="0"/>
        <v>0</v>
      </c>
      <c r="J50" s="22">
        <f t="shared" si="1"/>
        <v>0</v>
      </c>
      <c r="K50" s="197"/>
      <c r="L50" s="22"/>
      <c r="M50" s="257"/>
      <c r="N50" s="153"/>
      <c r="O50" s="197"/>
      <c r="P50" s="26"/>
      <c r="Q50" s="22"/>
      <c r="R50" s="257"/>
      <c r="T50" s="197"/>
    </row>
    <row r="51" spans="2:20">
      <c r="B51" s="2" t="s">
        <v>27</v>
      </c>
      <c r="C51" s="1" t="s">
        <v>154</v>
      </c>
      <c r="D51" s="15"/>
      <c r="E51" s="17">
        <f>'AN Gas'!I52</f>
        <v>57513</v>
      </c>
      <c r="F51" s="17"/>
      <c r="G51" s="17">
        <f>F51+E51</f>
        <v>57513</v>
      </c>
      <c r="H51" s="17"/>
      <c r="I51" s="17">
        <f t="shared" si="0"/>
        <v>714</v>
      </c>
      <c r="J51" s="17">
        <f t="shared" si="1"/>
        <v>1630</v>
      </c>
      <c r="K51" s="189">
        <f t="shared" si="2"/>
        <v>2344</v>
      </c>
      <c r="L51" s="17">
        <f t="shared" si="3"/>
        <v>59857</v>
      </c>
      <c r="M51" s="256"/>
      <c r="N51" s="100">
        <f>ROUND(IF($B51="a",(G51+I51+J51)*N$5,(G51+I51+J51)*N$6),0)</f>
        <v>1505</v>
      </c>
      <c r="O51" s="189"/>
      <c r="P51" s="18"/>
      <c r="Q51" s="17">
        <f t="shared" si="6"/>
        <v>59857</v>
      </c>
      <c r="R51" s="256"/>
      <c r="T51" s="189" t="e">
        <f>ROUND(IF($B51="a",Q51*T$5,Q51*T$6),0)</f>
        <v>#REF!</v>
      </c>
    </row>
    <row r="52" spans="2:20">
      <c r="B52" s="2" t="s">
        <v>27</v>
      </c>
      <c r="C52" s="1" t="s">
        <v>155</v>
      </c>
      <c r="D52" s="15"/>
      <c r="E52" s="17">
        <f>'AN Gas'!I53</f>
        <v>40925</v>
      </c>
      <c r="F52" s="17"/>
      <c r="G52" s="17">
        <f>F52+E52</f>
        <v>40925</v>
      </c>
      <c r="H52" s="17"/>
      <c r="I52" s="17">
        <f t="shared" si="0"/>
        <v>508</v>
      </c>
      <c r="J52" s="17">
        <f t="shared" si="1"/>
        <v>1160</v>
      </c>
      <c r="K52" s="189">
        <f t="shared" si="2"/>
        <v>1668</v>
      </c>
      <c r="L52" s="17">
        <f t="shared" si="3"/>
        <v>42593</v>
      </c>
      <c r="M52" s="256"/>
      <c r="N52" s="100">
        <f t="shared" ref="N52:N53" si="20">ROUND(IF($B52="a",(G52+I52+J52)*N$5,(G52+I52+J52)*N$6),0)</f>
        <v>1071</v>
      </c>
      <c r="O52" s="189">
        <f t="shared" si="5"/>
        <v>1071</v>
      </c>
      <c r="P52" s="18"/>
      <c r="Q52" s="17">
        <f t="shared" si="6"/>
        <v>43664</v>
      </c>
      <c r="R52" s="256"/>
      <c r="T52" s="189" t="e">
        <f>ROUND(IF($B52="a",Q52*T$5,Q52*T$6),0)</f>
        <v>#REF!</v>
      </c>
    </row>
    <row r="53" spans="2:20">
      <c r="B53" s="2" t="s">
        <v>27</v>
      </c>
      <c r="C53" s="1" t="s">
        <v>156</v>
      </c>
      <c r="D53" s="15"/>
      <c r="E53" s="17">
        <f>'AN Gas'!I54</f>
        <v>-85</v>
      </c>
      <c r="F53" s="17"/>
      <c r="G53" s="17">
        <f>F53+E53</f>
        <v>-85</v>
      </c>
      <c r="H53" s="17"/>
      <c r="I53" s="17">
        <f t="shared" si="0"/>
        <v>-1</v>
      </c>
      <c r="J53" s="17">
        <f t="shared" si="1"/>
        <v>-2</v>
      </c>
      <c r="K53" s="189">
        <f t="shared" si="2"/>
        <v>-3</v>
      </c>
      <c r="L53" s="17">
        <f t="shared" si="3"/>
        <v>-88</v>
      </c>
      <c r="M53" s="256"/>
      <c r="N53" s="100">
        <f t="shared" si="20"/>
        <v>-2</v>
      </c>
      <c r="O53" s="189">
        <f t="shared" si="5"/>
        <v>-2</v>
      </c>
      <c r="P53" s="18"/>
      <c r="Q53" s="17">
        <f t="shared" si="6"/>
        <v>-90</v>
      </c>
      <c r="R53" s="256"/>
      <c r="T53" s="189" t="e">
        <f>ROUND(IF($B53="a",Q53*T$5,Q53*T$6),0)</f>
        <v>#REF!</v>
      </c>
    </row>
    <row r="54" spans="2:20">
      <c r="C54" s="14" t="s">
        <v>9</v>
      </c>
      <c r="D54" s="14" t="str">
        <f>D29</f>
        <v>2011 to 2013</v>
      </c>
      <c r="E54" s="21">
        <f>SUM(E51:E53)</f>
        <v>98353</v>
      </c>
      <c r="F54" s="21"/>
      <c r="G54" s="21">
        <f t="shared" ref="G54:J54" si="21">SUM(G51:G53)</f>
        <v>98353</v>
      </c>
      <c r="H54" s="21"/>
      <c r="I54" s="21">
        <f t="shared" si="21"/>
        <v>1221</v>
      </c>
      <c r="J54" s="21">
        <f t="shared" si="21"/>
        <v>2788</v>
      </c>
      <c r="K54" s="196">
        <f t="shared" si="2"/>
        <v>4009</v>
      </c>
      <c r="L54" s="64">
        <f t="shared" si="3"/>
        <v>102362</v>
      </c>
      <c r="M54" s="257"/>
      <c r="N54" s="240">
        <f t="shared" ref="N54" si="22">SUM(N51:N53)</f>
        <v>2574</v>
      </c>
      <c r="O54" s="196">
        <f t="shared" si="5"/>
        <v>2574</v>
      </c>
      <c r="P54" s="21"/>
      <c r="Q54" s="64">
        <f t="shared" si="6"/>
        <v>104936</v>
      </c>
      <c r="R54" s="257"/>
      <c r="T54" s="196" t="e">
        <f>SUM(T51:T53)</f>
        <v>#REF!</v>
      </c>
    </row>
    <row r="55" spans="2:20">
      <c r="E55" s="22"/>
      <c r="F55" s="22"/>
      <c r="G55" s="22"/>
      <c r="H55" s="22"/>
      <c r="I55" s="22">
        <f t="shared" si="0"/>
        <v>0</v>
      </c>
      <c r="J55" s="22">
        <f t="shared" si="1"/>
        <v>0</v>
      </c>
      <c r="K55" s="197"/>
      <c r="L55" s="22"/>
      <c r="M55" s="257"/>
      <c r="N55" s="153"/>
      <c r="O55" s="197"/>
      <c r="P55" s="26"/>
      <c r="Q55" s="22"/>
      <c r="R55" s="257"/>
      <c r="T55" s="197"/>
    </row>
    <row r="56" spans="2:20">
      <c r="C56" s="14" t="s">
        <v>10</v>
      </c>
      <c r="E56" s="22"/>
      <c r="F56" s="22"/>
      <c r="G56" s="22"/>
      <c r="H56" s="22"/>
      <c r="I56" s="22">
        <f t="shared" si="0"/>
        <v>0</v>
      </c>
      <c r="J56" s="22">
        <f t="shared" si="1"/>
        <v>0</v>
      </c>
      <c r="K56" s="197"/>
      <c r="L56" s="22"/>
      <c r="M56" s="257"/>
      <c r="N56" s="153"/>
      <c r="O56" s="197"/>
      <c r="P56" s="26"/>
      <c r="Q56" s="22"/>
      <c r="R56" s="257"/>
      <c r="T56" s="197"/>
    </row>
    <row r="57" spans="2:20">
      <c r="B57" s="2" t="s">
        <v>27</v>
      </c>
      <c r="C57" s="1" t="s">
        <v>157</v>
      </c>
      <c r="D57" s="15"/>
      <c r="E57" s="17">
        <f>'AN Gas'!I58</f>
        <v>0</v>
      </c>
      <c r="F57" s="17"/>
      <c r="G57" s="17">
        <f>F57+E57</f>
        <v>0</v>
      </c>
      <c r="H57" s="17"/>
      <c r="I57" s="17">
        <f t="shared" si="0"/>
        <v>0</v>
      </c>
      <c r="J57" s="17">
        <f t="shared" si="1"/>
        <v>0</v>
      </c>
      <c r="K57" s="189">
        <f t="shared" si="2"/>
        <v>0</v>
      </c>
      <c r="L57" s="17">
        <f t="shared" si="3"/>
        <v>0</v>
      </c>
      <c r="M57" s="256"/>
      <c r="N57" s="100">
        <v>0</v>
      </c>
      <c r="O57" s="189">
        <f t="shared" si="5"/>
        <v>0</v>
      </c>
      <c r="P57" s="18"/>
      <c r="Q57" s="17">
        <f t="shared" si="6"/>
        <v>0</v>
      </c>
      <c r="R57" s="256"/>
      <c r="T57" s="189"/>
    </row>
    <row r="58" spans="2:20">
      <c r="B58" s="2" t="s">
        <v>27</v>
      </c>
      <c r="C58" s="1" t="s">
        <v>158</v>
      </c>
      <c r="D58" s="15"/>
      <c r="E58" s="17">
        <f>'AN Gas'!I59</f>
        <v>0</v>
      </c>
      <c r="F58" s="17"/>
      <c r="G58" s="17">
        <f>F58+E58</f>
        <v>0</v>
      </c>
      <c r="H58" s="17"/>
      <c r="I58" s="17">
        <f t="shared" si="0"/>
        <v>0</v>
      </c>
      <c r="J58" s="17">
        <f t="shared" si="1"/>
        <v>0</v>
      </c>
      <c r="K58" s="189">
        <f t="shared" si="2"/>
        <v>0</v>
      </c>
      <c r="L58" s="17">
        <f t="shared" si="3"/>
        <v>0</v>
      </c>
      <c r="M58" s="256"/>
      <c r="N58" s="100">
        <f t="shared" ref="N58:N60" si="23">ROUND(IF($B58="a",(G58+I58)*N$5,(G58+I58+J58)*N$6),0)</f>
        <v>0</v>
      </c>
      <c r="O58" s="189">
        <f t="shared" si="5"/>
        <v>0</v>
      </c>
      <c r="P58" s="18"/>
      <c r="Q58" s="17">
        <f t="shared" si="6"/>
        <v>0</v>
      </c>
      <c r="R58" s="256"/>
      <c r="T58" s="189" t="e">
        <f>ROUND(IF($B58="a",Q58*T$5,Q58*T$6),0)</f>
        <v>#REF!</v>
      </c>
    </row>
    <row r="59" spans="2:20">
      <c r="B59" s="2" t="s">
        <v>27</v>
      </c>
      <c r="C59" s="1" t="s">
        <v>159</v>
      </c>
      <c r="D59" s="15"/>
      <c r="E59" s="17">
        <f>'AN Gas'!I60</f>
        <v>0</v>
      </c>
      <c r="F59" s="17"/>
      <c r="G59" s="17">
        <f>F59+E59</f>
        <v>0</v>
      </c>
      <c r="H59" s="17"/>
      <c r="I59" s="17">
        <f t="shared" si="0"/>
        <v>0</v>
      </c>
      <c r="J59" s="17">
        <f t="shared" si="1"/>
        <v>0</v>
      </c>
      <c r="K59" s="189">
        <f t="shared" si="2"/>
        <v>0</v>
      </c>
      <c r="L59" s="17">
        <f t="shared" si="3"/>
        <v>0</v>
      </c>
      <c r="M59" s="256"/>
      <c r="N59" s="100">
        <f t="shared" si="23"/>
        <v>0</v>
      </c>
      <c r="O59" s="189">
        <f t="shared" si="5"/>
        <v>0</v>
      </c>
      <c r="P59" s="18"/>
      <c r="Q59" s="17">
        <f t="shared" si="6"/>
        <v>0</v>
      </c>
      <c r="R59" s="256"/>
      <c r="T59" s="189" t="e">
        <f>ROUND(IF($B59="a",Q59*T$5,Q59*T$6),0)</f>
        <v>#REF!</v>
      </c>
    </row>
    <row r="60" spans="2:20">
      <c r="B60" s="2" t="s">
        <v>27</v>
      </c>
      <c r="C60" s="1" t="s">
        <v>160</v>
      </c>
      <c r="D60" s="15"/>
      <c r="E60" s="17">
        <f>'AN Gas'!I61</f>
        <v>0</v>
      </c>
      <c r="F60" s="17"/>
      <c r="G60" s="17">
        <f>F60+E60</f>
        <v>0</v>
      </c>
      <c r="H60" s="17"/>
      <c r="I60" s="17">
        <f t="shared" si="0"/>
        <v>0</v>
      </c>
      <c r="J60" s="17">
        <f t="shared" si="1"/>
        <v>0</v>
      </c>
      <c r="K60" s="189">
        <f t="shared" si="2"/>
        <v>0</v>
      </c>
      <c r="L60" s="17">
        <f t="shared" si="3"/>
        <v>0</v>
      </c>
      <c r="M60" s="256"/>
      <c r="N60" s="100">
        <f t="shared" si="23"/>
        <v>0</v>
      </c>
      <c r="O60" s="189">
        <f t="shared" si="5"/>
        <v>0</v>
      </c>
      <c r="P60" s="18"/>
      <c r="Q60" s="17">
        <f t="shared" si="6"/>
        <v>0</v>
      </c>
      <c r="R60" s="256"/>
      <c r="T60" s="189" t="e">
        <f>ROUND(IF($B60="a",Q60*T$5,Q60*T$6),0)</f>
        <v>#REF!</v>
      </c>
    </row>
    <row r="61" spans="2:20">
      <c r="C61" s="14" t="s">
        <v>11</v>
      </c>
      <c r="E61" s="21">
        <f>SUM(E57:E60)</f>
        <v>0</v>
      </c>
      <c r="F61" s="21"/>
      <c r="G61" s="21">
        <f t="shared" ref="G61:J61" si="24">SUM(G57:G60)</f>
        <v>0</v>
      </c>
      <c r="H61" s="21"/>
      <c r="I61" s="21">
        <f t="shared" si="24"/>
        <v>0</v>
      </c>
      <c r="J61" s="21">
        <f t="shared" si="24"/>
        <v>0</v>
      </c>
      <c r="K61" s="196">
        <f t="shared" si="2"/>
        <v>0</v>
      </c>
      <c r="L61" s="64">
        <f t="shared" si="3"/>
        <v>0</v>
      </c>
      <c r="M61" s="257"/>
      <c r="N61" s="240">
        <f t="shared" ref="N61" si="25">SUM(N57:N60)</f>
        <v>0</v>
      </c>
      <c r="O61" s="196">
        <f t="shared" si="5"/>
        <v>0</v>
      </c>
      <c r="P61" s="21"/>
      <c r="Q61" s="64">
        <f t="shared" si="6"/>
        <v>0</v>
      </c>
      <c r="R61" s="257"/>
      <c r="T61" s="196" t="e">
        <f>SUM(T58:T60)</f>
        <v>#REF!</v>
      </c>
    </row>
    <row r="62" spans="2:20">
      <c r="E62" s="22"/>
      <c r="F62" s="22"/>
      <c r="G62" s="22"/>
      <c r="H62" s="22"/>
      <c r="I62" s="22">
        <f t="shared" si="0"/>
        <v>0</v>
      </c>
      <c r="J62" s="22">
        <f t="shared" si="1"/>
        <v>0</v>
      </c>
      <c r="K62" s="197"/>
      <c r="L62" s="22"/>
      <c r="M62" s="257"/>
      <c r="N62" s="153"/>
      <c r="O62" s="197"/>
      <c r="P62" s="26"/>
      <c r="Q62" s="22"/>
      <c r="R62" s="257"/>
      <c r="T62" s="197"/>
    </row>
    <row r="63" spans="2:20">
      <c r="C63" s="14" t="s">
        <v>12</v>
      </c>
      <c r="E63" s="22"/>
      <c r="F63" s="22"/>
      <c r="G63" s="22"/>
      <c r="H63" s="22"/>
      <c r="I63" s="22">
        <f t="shared" si="0"/>
        <v>0</v>
      </c>
      <c r="J63" s="22">
        <f t="shared" si="1"/>
        <v>0</v>
      </c>
      <c r="K63" s="197"/>
      <c r="L63" s="22"/>
      <c r="M63" s="257"/>
      <c r="N63" s="153"/>
      <c r="O63" s="197"/>
      <c r="P63" s="26"/>
      <c r="Q63" s="22"/>
      <c r="R63" s="257"/>
      <c r="T63" s="197"/>
    </row>
    <row r="64" spans="2:20">
      <c r="B64" s="2" t="s">
        <v>27</v>
      </c>
      <c r="C64" s="1" t="s">
        <v>161</v>
      </c>
      <c r="D64" s="15"/>
      <c r="E64" s="17">
        <f>'AN Gas'!I65</f>
        <v>1123121</v>
      </c>
      <c r="F64" s="17"/>
      <c r="G64" s="17">
        <f t="shared" ref="G64:G72" si="26">F64+E64</f>
        <v>1123121</v>
      </c>
      <c r="H64" s="17"/>
      <c r="I64" s="17">
        <f t="shared" si="0"/>
        <v>13949</v>
      </c>
      <c r="J64" s="17">
        <f t="shared" si="1"/>
        <v>31838</v>
      </c>
      <c r="K64" s="189">
        <f t="shared" si="2"/>
        <v>45787</v>
      </c>
      <c r="L64" s="17">
        <f t="shared" si="3"/>
        <v>1168908</v>
      </c>
      <c r="M64" s="256"/>
      <c r="N64" s="100">
        <f>ROUND(IF($B64="a",(G64+I64+J64)*N$5,(G64+I64+J64)*N$6),0)</f>
        <v>29386</v>
      </c>
      <c r="O64" s="189">
        <f t="shared" si="5"/>
        <v>29386</v>
      </c>
      <c r="P64" s="18"/>
      <c r="Q64" s="17">
        <f t="shared" si="6"/>
        <v>1198294</v>
      </c>
      <c r="R64" s="256"/>
      <c r="T64" s="189" t="e">
        <f t="shared" ref="T64:T72" si="27">ROUND(IF($B64="a",Q64*T$5,Q64*T$6),0)</f>
        <v>#REF!</v>
      </c>
    </row>
    <row r="65" spans="2:20">
      <c r="B65" s="31"/>
      <c r="C65" s="30">
        <v>921</v>
      </c>
      <c r="D65" s="15" t="s">
        <v>90</v>
      </c>
      <c r="E65" s="17">
        <f>'AN Gas'!I66</f>
        <v>10237</v>
      </c>
      <c r="F65" s="17"/>
      <c r="G65" s="17">
        <f t="shared" si="26"/>
        <v>10237</v>
      </c>
      <c r="H65" s="17"/>
      <c r="I65" s="17">
        <f t="shared" si="0"/>
        <v>149</v>
      </c>
      <c r="J65" s="17">
        <f t="shared" si="1"/>
        <v>322</v>
      </c>
      <c r="K65" s="189">
        <f t="shared" si="2"/>
        <v>471</v>
      </c>
      <c r="L65" s="17">
        <f t="shared" si="3"/>
        <v>10708</v>
      </c>
      <c r="M65" s="256"/>
      <c r="N65" s="100">
        <f t="shared" ref="N65:N72" si="28">ROUND(IF($B65="a",(G65+I65+J65)*N$5,(G65+I65+J65)*N$6),0)</f>
        <v>245</v>
      </c>
      <c r="O65" s="189">
        <f t="shared" si="5"/>
        <v>245</v>
      </c>
      <c r="P65" s="18"/>
      <c r="Q65" s="17">
        <f t="shared" si="6"/>
        <v>10953</v>
      </c>
      <c r="R65" s="256"/>
      <c r="T65" s="189" t="e">
        <f t="shared" si="27"/>
        <v>#REF!</v>
      </c>
    </row>
    <row r="66" spans="2:20">
      <c r="B66" s="31"/>
      <c r="C66" s="30">
        <v>922</v>
      </c>
      <c r="D66" s="15" t="s">
        <v>193</v>
      </c>
      <c r="E66" s="17">
        <f>'AN Gas'!I67</f>
        <v>0</v>
      </c>
      <c r="F66" s="17"/>
      <c r="G66" s="17">
        <f t="shared" si="26"/>
        <v>0</v>
      </c>
      <c r="H66" s="17"/>
      <c r="I66" s="17">
        <f t="shared" si="0"/>
        <v>0</v>
      </c>
      <c r="J66" s="17">
        <f t="shared" si="1"/>
        <v>0</v>
      </c>
      <c r="K66" s="189">
        <f t="shared" si="2"/>
        <v>0</v>
      </c>
      <c r="L66" s="17">
        <f t="shared" si="3"/>
        <v>0</v>
      </c>
      <c r="M66" s="256"/>
      <c r="N66" s="100">
        <f t="shared" si="28"/>
        <v>0</v>
      </c>
      <c r="O66" s="189">
        <f t="shared" si="5"/>
        <v>0</v>
      </c>
      <c r="P66" s="18"/>
      <c r="Q66" s="17">
        <f t="shared" si="6"/>
        <v>0</v>
      </c>
      <c r="R66" s="256"/>
      <c r="T66" s="189" t="e">
        <f t="shared" si="27"/>
        <v>#REF!</v>
      </c>
    </row>
    <row r="67" spans="2:20">
      <c r="B67" s="2" t="s">
        <v>27</v>
      </c>
      <c r="C67" s="1" t="s">
        <v>162</v>
      </c>
      <c r="D67" s="15"/>
      <c r="E67" s="17">
        <f>'AN Gas'!I68</f>
        <v>1186</v>
      </c>
      <c r="F67" s="17"/>
      <c r="G67" s="17">
        <f t="shared" si="26"/>
        <v>1186</v>
      </c>
      <c r="H67" s="17"/>
      <c r="I67" s="17">
        <f t="shared" si="0"/>
        <v>15</v>
      </c>
      <c r="J67" s="17">
        <f t="shared" si="1"/>
        <v>34</v>
      </c>
      <c r="K67" s="189">
        <f t="shared" si="2"/>
        <v>49</v>
      </c>
      <c r="L67" s="17">
        <f t="shared" si="3"/>
        <v>1235</v>
      </c>
      <c r="M67" s="256"/>
      <c r="N67" s="100">
        <f t="shared" si="28"/>
        <v>31</v>
      </c>
      <c r="O67" s="189">
        <f t="shared" si="5"/>
        <v>31</v>
      </c>
      <c r="P67" s="18"/>
      <c r="Q67" s="17">
        <f t="shared" si="6"/>
        <v>1266</v>
      </c>
      <c r="R67" s="256"/>
      <c r="T67" s="189" t="e">
        <f t="shared" si="27"/>
        <v>#REF!</v>
      </c>
    </row>
    <row r="68" spans="2:20">
      <c r="B68" s="2" t="s">
        <v>27</v>
      </c>
      <c r="C68" s="1" t="s">
        <v>163</v>
      </c>
      <c r="D68" s="15"/>
      <c r="E68" s="17">
        <f>'AN Gas'!I69</f>
        <v>0</v>
      </c>
      <c r="F68" s="17"/>
      <c r="G68" s="17">
        <f t="shared" si="26"/>
        <v>0</v>
      </c>
      <c r="H68" s="17"/>
      <c r="I68" s="17">
        <f t="shared" si="0"/>
        <v>0</v>
      </c>
      <c r="J68" s="17">
        <f t="shared" si="1"/>
        <v>0</v>
      </c>
      <c r="K68" s="189">
        <f t="shared" si="2"/>
        <v>0</v>
      </c>
      <c r="L68" s="17">
        <f t="shared" si="3"/>
        <v>0</v>
      </c>
      <c r="M68" s="256"/>
      <c r="N68" s="100">
        <f t="shared" si="28"/>
        <v>0</v>
      </c>
      <c r="O68" s="189">
        <f t="shared" si="5"/>
        <v>0</v>
      </c>
      <c r="P68" s="18"/>
      <c r="Q68" s="17">
        <f t="shared" si="6"/>
        <v>0</v>
      </c>
      <c r="R68" s="256"/>
      <c r="T68" s="189" t="e">
        <f t="shared" si="27"/>
        <v>#REF!</v>
      </c>
    </row>
    <row r="69" spans="2:20">
      <c r="B69" s="2" t="s">
        <v>27</v>
      </c>
      <c r="C69" s="1" t="s">
        <v>164</v>
      </c>
      <c r="D69" s="15"/>
      <c r="E69" s="17">
        <f>'AN Gas'!I70</f>
        <v>0</v>
      </c>
      <c r="F69" s="17"/>
      <c r="G69" s="17">
        <f t="shared" si="26"/>
        <v>0</v>
      </c>
      <c r="H69" s="17"/>
      <c r="I69" s="17">
        <f t="shared" si="0"/>
        <v>0</v>
      </c>
      <c r="J69" s="17">
        <f t="shared" si="1"/>
        <v>0</v>
      </c>
      <c r="K69" s="189">
        <f t="shared" si="2"/>
        <v>0</v>
      </c>
      <c r="L69" s="17">
        <f t="shared" si="3"/>
        <v>0</v>
      </c>
      <c r="M69" s="256"/>
      <c r="N69" s="100">
        <f t="shared" si="28"/>
        <v>0</v>
      </c>
      <c r="O69" s="189">
        <f t="shared" si="5"/>
        <v>0</v>
      </c>
      <c r="P69" s="18"/>
      <c r="Q69" s="17">
        <f t="shared" si="6"/>
        <v>0</v>
      </c>
      <c r="R69" s="256"/>
      <c r="T69" s="189" t="e">
        <f t="shared" si="27"/>
        <v>#REF!</v>
      </c>
    </row>
    <row r="70" spans="2:20">
      <c r="B70" s="2" t="s">
        <v>27</v>
      </c>
      <c r="C70" s="1" t="s">
        <v>165</v>
      </c>
      <c r="D70" s="15"/>
      <c r="E70" s="17">
        <f>'AN Gas'!I71</f>
        <v>73804</v>
      </c>
      <c r="F70" s="17"/>
      <c r="G70" s="17">
        <f t="shared" si="26"/>
        <v>73804</v>
      </c>
      <c r="H70" s="17"/>
      <c r="I70" s="17">
        <f t="shared" si="0"/>
        <v>917</v>
      </c>
      <c r="J70" s="17">
        <f t="shared" si="1"/>
        <v>2092</v>
      </c>
      <c r="K70" s="189">
        <f t="shared" si="2"/>
        <v>3009</v>
      </c>
      <c r="L70" s="17">
        <f t="shared" si="3"/>
        <v>76813</v>
      </c>
      <c r="M70" s="256"/>
      <c r="N70" s="100">
        <f t="shared" si="28"/>
        <v>1931</v>
      </c>
      <c r="O70" s="189">
        <f t="shared" si="5"/>
        <v>1931</v>
      </c>
      <c r="P70" s="18"/>
      <c r="Q70" s="17">
        <f t="shared" si="6"/>
        <v>78744</v>
      </c>
      <c r="R70" s="256"/>
      <c r="T70" s="189" t="e">
        <f t="shared" si="27"/>
        <v>#REF!</v>
      </c>
    </row>
    <row r="71" spans="2:20">
      <c r="B71" s="2" t="s">
        <v>27</v>
      </c>
      <c r="C71" s="1" t="s">
        <v>166</v>
      </c>
      <c r="D71" s="15"/>
      <c r="E71" s="17">
        <f>'AN Gas'!I72</f>
        <v>25226</v>
      </c>
      <c r="F71" s="17"/>
      <c r="G71" s="17">
        <f t="shared" si="26"/>
        <v>25226</v>
      </c>
      <c r="H71" s="17"/>
      <c r="I71" s="17">
        <f t="shared" si="0"/>
        <v>313</v>
      </c>
      <c r="J71" s="17">
        <f t="shared" si="1"/>
        <v>715</v>
      </c>
      <c r="K71" s="189">
        <f t="shared" si="2"/>
        <v>1028</v>
      </c>
      <c r="L71" s="17">
        <f t="shared" si="3"/>
        <v>26254</v>
      </c>
      <c r="M71" s="256"/>
      <c r="N71" s="100">
        <f t="shared" si="28"/>
        <v>660</v>
      </c>
      <c r="O71" s="189">
        <f t="shared" si="5"/>
        <v>660</v>
      </c>
      <c r="P71" s="18"/>
      <c r="Q71" s="17">
        <f t="shared" si="6"/>
        <v>26914</v>
      </c>
      <c r="R71" s="256"/>
      <c r="T71" s="189" t="e">
        <f t="shared" si="27"/>
        <v>#REF!</v>
      </c>
    </row>
    <row r="72" spans="2:20">
      <c r="C72" s="1" t="s">
        <v>167</v>
      </c>
      <c r="D72" s="15"/>
      <c r="E72" s="17">
        <f>'AN Gas'!I73</f>
        <v>103304</v>
      </c>
      <c r="F72" s="17"/>
      <c r="G72" s="17">
        <f t="shared" si="26"/>
        <v>103304</v>
      </c>
      <c r="H72" s="17"/>
      <c r="I72" s="17">
        <f t="shared" si="0"/>
        <v>1503</v>
      </c>
      <c r="J72" s="17">
        <f t="shared" si="1"/>
        <v>3249</v>
      </c>
      <c r="K72" s="189">
        <f t="shared" si="2"/>
        <v>4752</v>
      </c>
      <c r="L72" s="17">
        <f t="shared" si="3"/>
        <v>108056</v>
      </c>
      <c r="M72" s="256"/>
      <c r="N72" s="100">
        <f t="shared" si="28"/>
        <v>2477</v>
      </c>
      <c r="O72" s="189">
        <f t="shared" si="5"/>
        <v>2477</v>
      </c>
      <c r="P72" s="18"/>
      <c r="Q72" s="17">
        <f t="shared" si="6"/>
        <v>110533</v>
      </c>
      <c r="R72" s="256"/>
      <c r="T72" s="189" t="e">
        <f t="shared" si="27"/>
        <v>#REF!</v>
      </c>
    </row>
    <row r="73" spans="2:20">
      <c r="C73" s="14" t="s">
        <v>13</v>
      </c>
      <c r="E73" s="21">
        <f>SUM(E64:E72)</f>
        <v>1336878</v>
      </c>
      <c r="F73" s="21"/>
      <c r="G73" s="21">
        <f t="shared" ref="G73:J73" si="29">SUM(G64:G72)</f>
        <v>1336878</v>
      </c>
      <c r="H73" s="21"/>
      <c r="I73" s="21">
        <f t="shared" si="29"/>
        <v>16846</v>
      </c>
      <c r="J73" s="21">
        <f t="shared" si="29"/>
        <v>38250</v>
      </c>
      <c r="K73" s="196">
        <f t="shared" si="2"/>
        <v>55096</v>
      </c>
      <c r="L73" s="64">
        <f t="shared" si="3"/>
        <v>1391974</v>
      </c>
      <c r="M73" s="257"/>
      <c r="N73" s="240">
        <f t="shared" ref="N73" si="30">SUM(N64:N72)</f>
        <v>34730</v>
      </c>
      <c r="O73" s="196">
        <f t="shared" si="5"/>
        <v>34730</v>
      </c>
      <c r="P73" s="21"/>
      <c r="Q73" s="64">
        <f t="shared" si="6"/>
        <v>1426704</v>
      </c>
      <c r="R73" s="257"/>
      <c r="T73" s="196" t="e">
        <f>SUM(T64:T72)</f>
        <v>#REF!</v>
      </c>
    </row>
    <row r="74" spans="2:20">
      <c r="E74" s="22">
        <f>'AN Gas'!I75</f>
        <v>0</v>
      </c>
      <c r="F74" s="22"/>
      <c r="G74" s="22"/>
      <c r="H74" s="22"/>
      <c r="I74" s="22">
        <f t="shared" ref="I74" si="31">ROUND(IF($B74="a",G74*I$5,G74*I$6),0)</f>
        <v>0</v>
      </c>
      <c r="J74" s="22">
        <f t="shared" ref="J74" si="32">ROUND(IF($B74="a",(G74+I74)*J$5,(G74+I74)*J$6),0)</f>
        <v>0</v>
      </c>
      <c r="K74" s="197"/>
      <c r="L74" s="22"/>
      <c r="M74" s="257"/>
      <c r="N74" s="153"/>
      <c r="O74" s="197"/>
      <c r="P74" s="26"/>
      <c r="Q74" s="22"/>
      <c r="R74" s="257"/>
      <c r="T74" s="197"/>
    </row>
    <row r="75" spans="2:20" ht="13.5" thickBot="1">
      <c r="C75" s="14" t="s">
        <v>120</v>
      </c>
      <c r="E75" s="21">
        <f>E12+E17+E41+E48+E54+E61+E73</f>
        <v>4978010</v>
      </c>
      <c r="F75" s="21"/>
      <c r="G75" s="64">
        <f t="shared" ref="G75:J75" si="33">G12+G17+G41+G48+G54+G61+G73</f>
        <v>4978010</v>
      </c>
      <c r="H75" s="64"/>
      <c r="I75" s="64">
        <f t="shared" si="33"/>
        <v>66806</v>
      </c>
      <c r="J75" s="64">
        <f t="shared" si="33"/>
        <v>148372</v>
      </c>
      <c r="K75" s="198">
        <f t="shared" ref="K75" si="34">I75+J75</f>
        <v>215178</v>
      </c>
      <c r="L75" s="64">
        <f t="shared" ref="L75" si="35">K75+G75</f>
        <v>5193188</v>
      </c>
      <c r="M75" s="257"/>
      <c r="N75" s="240">
        <f t="shared" ref="N75" si="36">N12+N17+N41+N48+N54+N61+N73</f>
        <v>125126</v>
      </c>
      <c r="O75" s="198">
        <f t="shared" ref="O75" si="37">N75</f>
        <v>125126</v>
      </c>
      <c r="P75" s="169"/>
      <c r="Q75" s="64">
        <f t="shared" ref="Q75" si="38">O75+L75</f>
        <v>5318314</v>
      </c>
      <c r="R75" s="257"/>
      <c r="T75" s="198" t="e">
        <f t="shared" ref="T75" si="39">T12+T17+T41+T48+T54+T61+T73</f>
        <v>#REF!</v>
      </c>
    </row>
    <row r="76" spans="2:20">
      <c r="E76" s="106">
        <f>'AN Gas'!I76</f>
        <v>4978009</v>
      </c>
      <c r="F76" s="106"/>
      <c r="G76" s="22"/>
      <c r="H76" s="22"/>
      <c r="I76" s="22"/>
      <c r="J76" s="22"/>
      <c r="K76" s="107"/>
      <c r="L76" s="104"/>
      <c r="M76" s="258"/>
      <c r="N76" s="107"/>
      <c r="O76" s="107"/>
      <c r="P76" s="107"/>
      <c r="Q76" s="104"/>
      <c r="R76" s="257"/>
      <c r="T76" s="176"/>
    </row>
    <row r="77" spans="2:20">
      <c r="G77" s="18"/>
      <c r="H77" s="18"/>
      <c r="I77" s="18"/>
      <c r="J77" s="18"/>
      <c r="K77" s="107"/>
      <c r="N77" s="107"/>
      <c r="O77" s="107"/>
      <c r="P77" s="107"/>
      <c r="R77" s="256"/>
    </row>
    <row r="78" spans="2:20">
      <c r="D78" s="9"/>
      <c r="E78" s="18"/>
      <c r="F78" s="18"/>
      <c r="G78" s="18"/>
      <c r="H78" s="18"/>
      <c r="I78" s="18"/>
      <c r="J78" s="18"/>
      <c r="K78" s="107"/>
      <c r="L78" s="105"/>
      <c r="M78" s="259"/>
      <c r="N78" s="107"/>
      <c r="O78" s="107"/>
      <c r="P78" s="107"/>
      <c r="Q78" s="105"/>
      <c r="R78" s="256"/>
    </row>
    <row r="79" spans="2:20">
      <c r="G79" s="18"/>
      <c r="H79" s="18"/>
      <c r="I79" s="43"/>
      <c r="J79" s="43"/>
      <c r="K79" s="18"/>
      <c r="L79" s="17"/>
      <c r="M79" s="256"/>
      <c r="N79" s="18"/>
      <c r="O79" s="18"/>
      <c r="P79" s="18"/>
      <c r="Q79" s="17"/>
      <c r="T79" s="18"/>
    </row>
    <row r="80" spans="2:20">
      <c r="E80" s="18"/>
      <c r="F80" s="18"/>
      <c r="G80" s="18"/>
      <c r="H80" s="18"/>
      <c r="I80" s="43"/>
      <c r="J80" s="43"/>
      <c r="K80" s="18"/>
      <c r="L80" s="17"/>
      <c r="M80" s="256"/>
      <c r="N80" s="18"/>
      <c r="O80" s="18"/>
      <c r="P80" s="18"/>
      <c r="Q80" s="17"/>
      <c r="R80" s="256"/>
      <c r="T80" s="18"/>
    </row>
    <row r="81" spans="5:20">
      <c r="E81" s="18"/>
      <c r="F81" s="18"/>
      <c r="G81" s="18"/>
      <c r="H81" s="18"/>
      <c r="I81" s="43"/>
      <c r="J81" s="43"/>
      <c r="K81" s="18"/>
      <c r="L81" s="18"/>
      <c r="M81" s="256"/>
      <c r="N81" s="18"/>
      <c r="O81" s="18"/>
      <c r="P81" s="18"/>
      <c r="Q81" s="18"/>
      <c r="R81" s="256"/>
      <c r="T81" s="18"/>
    </row>
    <row r="82" spans="5:20">
      <c r="E82" s="18"/>
      <c r="F82" s="18"/>
      <c r="G82" s="18"/>
      <c r="H82" s="18"/>
      <c r="I82" s="43"/>
      <c r="J82" s="43"/>
      <c r="K82" s="18"/>
      <c r="L82" s="18"/>
      <c r="M82" s="256"/>
      <c r="N82" s="18"/>
      <c r="O82" s="18"/>
      <c r="P82" s="18"/>
      <c r="Q82" s="18"/>
      <c r="R82" s="256"/>
      <c r="T82" s="18"/>
    </row>
    <row r="83" spans="5:20">
      <c r="E83" s="18"/>
      <c r="F83" s="18"/>
      <c r="G83" s="18"/>
      <c r="H83" s="18"/>
      <c r="I83" s="44"/>
      <c r="J83" s="44"/>
      <c r="K83" s="18"/>
      <c r="L83" s="18"/>
      <c r="M83" s="256"/>
      <c r="N83" s="18"/>
      <c r="O83" s="18"/>
      <c r="P83" s="18"/>
      <c r="Q83" s="18"/>
      <c r="R83" s="256"/>
      <c r="T83" s="18"/>
    </row>
    <row r="84" spans="5:20">
      <c r="E84" s="18"/>
      <c r="F84" s="18"/>
      <c r="G84" s="18"/>
      <c r="H84" s="18"/>
      <c r="I84" s="43"/>
      <c r="J84" s="43"/>
      <c r="K84" s="18"/>
      <c r="L84" s="18"/>
      <c r="M84" s="256"/>
      <c r="N84" s="18"/>
      <c r="O84" s="18"/>
      <c r="P84" s="18"/>
      <c r="Q84" s="18"/>
      <c r="R84" s="256"/>
      <c r="T84" s="18"/>
    </row>
    <row r="85" spans="5:20">
      <c r="E85" s="18"/>
      <c r="F85" s="18"/>
      <c r="G85" s="18"/>
      <c r="H85" s="18"/>
      <c r="I85" s="43"/>
      <c r="J85" s="43"/>
      <c r="K85" s="18"/>
      <c r="L85" s="18"/>
      <c r="M85" s="256"/>
      <c r="N85" s="18"/>
      <c r="O85" s="18"/>
      <c r="P85" s="18"/>
      <c r="Q85" s="18"/>
      <c r="R85" s="256"/>
      <c r="T85" s="18"/>
    </row>
    <row r="86" spans="5:20">
      <c r="J86" s="43"/>
      <c r="L86" s="18"/>
      <c r="M86" s="256"/>
      <c r="Q86" s="18"/>
      <c r="R86" s="256"/>
    </row>
    <row r="87" spans="5:20">
      <c r="J87" s="43"/>
      <c r="L87" s="18"/>
      <c r="M87" s="256"/>
      <c r="Q87" s="18"/>
      <c r="R87" s="256"/>
    </row>
    <row r="88" spans="5:20">
      <c r="J88" s="43"/>
      <c r="L88" s="18"/>
      <c r="M88" s="256"/>
      <c r="Q88" s="18"/>
      <c r="R88" s="256"/>
    </row>
    <row r="89" spans="5:20">
      <c r="J89" s="43"/>
      <c r="L89" s="18"/>
      <c r="M89" s="256"/>
      <c r="Q89" s="18"/>
      <c r="R89" s="256"/>
    </row>
    <row r="90" spans="5:20">
      <c r="J90" s="43"/>
      <c r="L90" s="18"/>
      <c r="M90" s="256"/>
      <c r="Q90" s="18"/>
      <c r="R90" s="256"/>
    </row>
    <row r="91" spans="5:20">
      <c r="J91" s="43"/>
      <c r="L91" s="18"/>
      <c r="M91" s="256"/>
      <c r="Q91" s="18"/>
      <c r="R91" s="256"/>
    </row>
    <row r="92" spans="5:20">
      <c r="J92" s="18"/>
      <c r="L92" s="18"/>
      <c r="M92" s="256"/>
      <c r="Q92" s="18"/>
      <c r="R92" s="256"/>
    </row>
    <row r="93" spans="5:20">
      <c r="J93" s="18"/>
      <c r="L93" s="18"/>
      <c r="M93" s="256"/>
      <c r="Q93" s="18"/>
      <c r="R93" s="256"/>
    </row>
    <row r="94" spans="5:20">
      <c r="J94" s="18"/>
      <c r="L94" s="18"/>
      <c r="M94" s="256"/>
      <c r="Q94" s="18"/>
      <c r="R94" s="256"/>
    </row>
    <row r="95" spans="5:20">
      <c r="J95" s="44"/>
      <c r="L95" s="18"/>
      <c r="M95" s="256"/>
      <c r="Q95" s="18"/>
      <c r="R95" s="256"/>
    </row>
    <row r="96" spans="5:20">
      <c r="J96" s="43"/>
      <c r="L96" s="18"/>
      <c r="M96" s="256"/>
      <c r="Q96" s="18"/>
      <c r="R96" s="256"/>
    </row>
    <row r="97" spans="5:20">
      <c r="J97" s="44"/>
      <c r="L97" s="18"/>
      <c r="M97" s="256"/>
      <c r="Q97" s="18"/>
      <c r="R97" s="256"/>
    </row>
    <row r="98" spans="5:20">
      <c r="J98" s="44"/>
      <c r="L98" s="18"/>
      <c r="M98" s="256"/>
      <c r="Q98" s="18"/>
      <c r="R98" s="256"/>
    </row>
    <row r="99" spans="5:20">
      <c r="J99" s="18"/>
      <c r="L99" s="18"/>
      <c r="M99" s="256"/>
      <c r="Q99" s="18"/>
      <c r="R99" s="256"/>
    </row>
    <row r="100" spans="5:20">
      <c r="J100" s="18"/>
      <c r="L100" s="18"/>
      <c r="M100" s="256"/>
      <c r="Q100" s="18"/>
      <c r="R100" s="256"/>
    </row>
    <row r="101" spans="5:20">
      <c r="J101" s="18"/>
      <c r="L101" s="18"/>
      <c r="M101" s="256"/>
      <c r="Q101" s="18"/>
      <c r="R101" s="256"/>
    </row>
    <row r="102" spans="5:20">
      <c r="J102" s="44"/>
      <c r="L102" s="18"/>
      <c r="M102" s="256"/>
      <c r="Q102" s="18"/>
      <c r="R102" s="256"/>
    </row>
    <row r="103" spans="5:20">
      <c r="J103" s="44"/>
      <c r="L103" s="18"/>
      <c r="M103" s="256"/>
      <c r="Q103" s="18"/>
      <c r="R103" s="256"/>
    </row>
    <row r="104" spans="5:20">
      <c r="J104" s="44"/>
      <c r="L104" s="18"/>
      <c r="M104" s="256"/>
      <c r="Q104" s="18"/>
      <c r="R104" s="256"/>
    </row>
    <row r="105" spans="5:20">
      <c r="J105" s="44"/>
      <c r="L105" s="18"/>
      <c r="M105" s="256"/>
      <c r="Q105" s="18"/>
      <c r="R105" s="256"/>
    </row>
    <row r="106" spans="5:20">
      <c r="J106" s="18"/>
      <c r="L106" s="18"/>
      <c r="M106" s="256"/>
      <c r="Q106" s="18"/>
      <c r="R106" s="256"/>
    </row>
    <row r="107" spans="5:20">
      <c r="E107" s="18"/>
      <c r="F107" s="18"/>
      <c r="G107" s="18"/>
      <c r="H107" s="18"/>
      <c r="I107" s="18"/>
      <c r="J107" s="18"/>
      <c r="K107" s="18"/>
      <c r="L107" s="18"/>
      <c r="M107" s="256"/>
      <c r="N107" s="18"/>
      <c r="O107" s="18"/>
      <c r="P107" s="18"/>
      <c r="Q107" s="18"/>
      <c r="R107" s="256"/>
      <c r="T107" s="18"/>
    </row>
    <row r="108" spans="5:20">
      <c r="E108" s="18"/>
      <c r="F108" s="18"/>
      <c r="G108" s="18"/>
      <c r="H108" s="18"/>
      <c r="I108" s="18"/>
      <c r="J108" s="18"/>
      <c r="K108" s="18"/>
      <c r="L108" s="18"/>
      <c r="M108" s="256"/>
      <c r="N108" s="18"/>
      <c r="O108" s="18"/>
      <c r="P108" s="18"/>
      <c r="Q108" s="18"/>
      <c r="R108" s="256"/>
      <c r="T108" s="18"/>
    </row>
    <row r="109" spans="5:20">
      <c r="E109" s="18"/>
      <c r="F109" s="18"/>
      <c r="G109" s="18"/>
      <c r="H109" s="18"/>
      <c r="I109" s="44"/>
      <c r="J109" s="44"/>
      <c r="K109" s="18"/>
      <c r="L109" s="18"/>
      <c r="M109" s="256"/>
      <c r="N109" s="18"/>
      <c r="O109" s="18"/>
      <c r="P109" s="18"/>
      <c r="Q109" s="18"/>
      <c r="R109" s="256"/>
      <c r="T109" s="18"/>
    </row>
    <row r="110" spans="5:20">
      <c r="E110" s="18"/>
      <c r="F110" s="18"/>
      <c r="G110" s="18"/>
      <c r="H110" s="18"/>
      <c r="I110" s="18"/>
      <c r="J110" s="18"/>
      <c r="K110" s="18"/>
      <c r="L110" s="18"/>
      <c r="M110" s="256"/>
      <c r="N110" s="18"/>
      <c r="O110" s="18"/>
      <c r="P110" s="18"/>
      <c r="Q110" s="18"/>
      <c r="R110" s="256"/>
      <c r="T110" s="18"/>
    </row>
    <row r="111" spans="5:20">
      <c r="E111" s="18"/>
      <c r="F111" s="18"/>
      <c r="G111" s="18"/>
      <c r="H111" s="18"/>
      <c r="I111" s="18"/>
      <c r="J111" s="18"/>
      <c r="K111" s="18"/>
      <c r="L111" s="18"/>
      <c r="M111" s="256"/>
      <c r="N111" s="18"/>
      <c r="O111" s="18"/>
      <c r="P111" s="18"/>
      <c r="Q111" s="18"/>
      <c r="R111" s="256"/>
      <c r="T111" s="18"/>
    </row>
    <row r="112" spans="5:20">
      <c r="E112" s="18"/>
      <c r="F112" s="18"/>
      <c r="G112" s="18"/>
      <c r="H112" s="18"/>
      <c r="I112" s="18"/>
      <c r="J112" s="18"/>
      <c r="K112" s="18"/>
      <c r="L112" s="18"/>
      <c r="M112" s="256"/>
      <c r="N112" s="18"/>
      <c r="O112" s="18"/>
      <c r="P112" s="18"/>
      <c r="Q112" s="18"/>
      <c r="R112" s="256"/>
      <c r="T112" s="18"/>
    </row>
    <row r="113" spans="5:20">
      <c r="E113" s="18"/>
      <c r="F113" s="18"/>
      <c r="G113" s="18"/>
      <c r="H113" s="18"/>
      <c r="I113" s="44"/>
      <c r="J113" s="44"/>
      <c r="K113" s="18"/>
      <c r="L113" s="18"/>
      <c r="M113" s="256"/>
      <c r="N113" s="18"/>
      <c r="O113" s="18"/>
      <c r="P113" s="18"/>
      <c r="Q113" s="18"/>
      <c r="R113" s="256"/>
      <c r="T113" s="18"/>
    </row>
    <row r="114" spans="5:20">
      <c r="E114" s="18"/>
      <c r="F114" s="18"/>
      <c r="G114" s="18"/>
      <c r="H114" s="18"/>
      <c r="I114" s="44"/>
      <c r="J114" s="44"/>
      <c r="K114" s="18"/>
      <c r="L114" s="18"/>
      <c r="M114" s="256"/>
      <c r="N114" s="18"/>
      <c r="O114" s="18"/>
      <c r="P114" s="18"/>
      <c r="Q114" s="18"/>
      <c r="R114" s="256"/>
      <c r="T114" s="18"/>
    </row>
    <row r="115" spans="5:20">
      <c r="E115" s="18"/>
      <c r="F115" s="18"/>
      <c r="G115" s="18"/>
      <c r="H115" s="18"/>
      <c r="I115" s="44"/>
      <c r="J115" s="44"/>
      <c r="K115" s="18"/>
      <c r="L115" s="18"/>
      <c r="M115" s="256"/>
      <c r="N115" s="18"/>
      <c r="O115" s="18"/>
      <c r="P115" s="18"/>
      <c r="Q115" s="18"/>
      <c r="R115" s="256"/>
      <c r="T115" s="18"/>
    </row>
    <row r="116" spans="5:20">
      <c r="E116" s="18"/>
      <c r="F116" s="18"/>
      <c r="G116" s="18"/>
      <c r="H116" s="18"/>
      <c r="I116" s="44"/>
      <c r="J116" s="44"/>
      <c r="K116" s="18"/>
      <c r="L116" s="18"/>
      <c r="M116" s="256"/>
      <c r="N116" s="18"/>
      <c r="O116" s="18"/>
      <c r="P116" s="18"/>
      <c r="Q116" s="18"/>
      <c r="R116" s="256"/>
      <c r="T116" s="18"/>
    </row>
    <row r="117" spans="5:20">
      <c r="E117" s="18"/>
      <c r="F117" s="18"/>
      <c r="G117" s="18"/>
      <c r="H117" s="18"/>
      <c r="I117" s="44"/>
      <c r="J117" s="44"/>
      <c r="K117" s="18"/>
      <c r="L117" s="18"/>
      <c r="M117" s="256"/>
      <c r="N117" s="18"/>
      <c r="O117" s="18"/>
      <c r="P117" s="18"/>
      <c r="Q117" s="18"/>
      <c r="R117" s="256"/>
      <c r="T117" s="18"/>
    </row>
    <row r="118" spans="5:20">
      <c r="E118" s="18"/>
      <c r="F118" s="18"/>
      <c r="G118" s="18"/>
      <c r="H118" s="18"/>
      <c r="I118" s="44"/>
      <c r="J118" s="44"/>
      <c r="K118" s="18"/>
      <c r="L118" s="18"/>
      <c r="M118" s="256"/>
      <c r="N118" s="18"/>
      <c r="O118" s="18"/>
      <c r="P118" s="18"/>
      <c r="Q118" s="18"/>
      <c r="R118" s="256"/>
      <c r="T118" s="18"/>
    </row>
    <row r="119" spans="5:20">
      <c r="E119" s="18"/>
      <c r="F119" s="18"/>
      <c r="G119" s="18"/>
      <c r="H119" s="18"/>
      <c r="I119" s="44"/>
      <c r="J119" s="44"/>
      <c r="K119" s="18"/>
      <c r="L119" s="18"/>
      <c r="M119" s="256"/>
      <c r="N119" s="18"/>
      <c r="O119" s="18"/>
      <c r="P119" s="18"/>
      <c r="Q119" s="18"/>
      <c r="R119" s="256"/>
      <c r="T119" s="18"/>
    </row>
    <row r="120" spans="5:20">
      <c r="E120" s="18"/>
      <c r="F120" s="18"/>
      <c r="G120" s="18"/>
      <c r="H120" s="18"/>
      <c r="I120" s="44"/>
      <c r="J120" s="44"/>
      <c r="K120" s="18"/>
      <c r="L120" s="18"/>
      <c r="M120" s="256"/>
      <c r="N120" s="18"/>
      <c r="O120" s="18"/>
      <c r="P120" s="18"/>
      <c r="Q120" s="18"/>
      <c r="R120" s="256"/>
      <c r="T120" s="18"/>
    </row>
    <row r="121" spans="5:20">
      <c r="E121" s="18"/>
      <c r="F121" s="18"/>
      <c r="G121" s="18"/>
      <c r="H121" s="18"/>
      <c r="I121" s="44"/>
      <c r="J121" s="44"/>
      <c r="K121" s="18"/>
      <c r="L121" s="18"/>
      <c r="M121" s="256"/>
      <c r="N121" s="18"/>
      <c r="O121" s="18"/>
      <c r="P121" s="18"/>
      <c r="Q121" s="18"/>
      <c r="R121" s="256"/>
      <c r="T121" s="18"/>
    </row>
    <row r="122" spans="5:20">
      <c r="E122" s="18"/>
      <c r="F122" s="18"/>
      <c r="G122" s="18"/>
      <c r="H122" s="18"/>
      <c r="I122" s="43"/>
      <c r="J122" s="43"/>
      <c r="K122" s="18"/>
      <c r="L122" s="18"/>
      <c r="M122" s="256"/>
      <c r="N122" s="18"/>
      <c r="O122" s="18"/>
      <c r="P122" s="18"/>
      <c r="Q122" s="18"/>
      <c r="R122" s="256"/>
      <c r="T122" s="18"/>
    </row>
    <row r="123" spans="5:20">
      <c r="E123" s="18"/>
      <c r="F123" s="18"/>
      <c r="G123" s="18"/>
      <c r="H123" s="18"/>
      <c r="I123" s="18"/>
      <c r="J123" s="18"/>
      <c r="K123" s="18"/>
      <c r="L123" s="18"/>
      <c r="M123" s="256"/>
      <c r="N123" s="18"/>
      <c r="O123" s="18"/>
      <c r="P123" s="18"/>
      <c r="Q123" s="18"/>
      <c r="R123" s="256"/>
      <c r="T123" s="18"/>
    </row>
    <row r="124" spans="5:20">
      <c r="E124" s="18"/>
      <c r="F124" s="18"/>
      <c r="G124" s="18"/>
      <c r="H124" s="18"/>
      <c r="I124" s="18"/>
      <c r="J124" s="18"/>
      <c r="K124" s="18"/>
      <c r="L124" s="18"/>
      <c r="M124" s="256"/>
      <c r="N124" s="18"/>
      <c r="O124" s="18"/>
      <c r="P124" s="18"/>
      <c r="Q124" s="18"/>
      <c r="R124" s="256"/>
      <c r="T124" s="18"/>
    </row>
    <row r="125" spans="5:20">
      <c r="E125" s="18"/>
      <c r="F125" s="18"/>
      <c r="G125" s="18"/>
      <c r="H125" s="18"/>
      <c r="I125" s="18"/>
      <c r="J125" s="18"/>
      <c r="K125" s="18"/>
      <c r="L125" s="18"/>
      <c r="M125" s="256"/>
      <c r="N125" s="18"/>
      <c r="O125" s="18"/>
      <c r="P125" s="18"/>
      <c r="Q125" s="18"/>
      <c r="R125" s="256"/>
      <c r="T125" s="18"/>
    </row>
    <row r="126" spans="5:20">
      <c r="E126" s="18"/>
      <c r="F126" s="18"/>
      <c r="G126" s="18"/>
      <c r="H126" s="18"/>
      <c r="I126" s="18"/>
      <c r="J126" s="18"/>
      <c r="K126" s="18"/>
      <c r="L126" s="18"/>
      <c r="M126" s="256"/>
      <c r="N126" s="18"/>
      <c r="O126" s="18"/>
      <c r="P126" s="18"/>
      <c r="Q126" s="18"/>
      <c r="R126" s="256"/>
      <c r="T126" s="18"/>
    </row>
    <row r="127" spans="5:20">
      <c r="E127" s="18"/>
      <c r="F127" s="18"/>
      <c r="G127" s="18"/>
      <c r="H127" s="18"/>
      <c r="I127" s="18"/>
      <c r="J127" s="18"/>
      <c r="K127" s="18"/>
      <c r="L127" s="18"/>
      <c r="M127" s="256"/>
      <c r="N127" s="18"/>
      <c r="O127" s="18"/>
      <c r="P127" s="18"/>
      <c r="Q127" s="18"/>
      <c r="R127" s="256"/>
      <c r="T127" s="18"/>
    </row>
    <row r="128" spans="5:20">
      <c r="E128" s="18"/>
      <c r="F128" s="18"/>
      <c r="G128" s="18"/>
      <c r="H128" s="18"/>
      <c r="I128" s="18"/>
      <c r="J128" s="18"/>
      <c r="K128" s="18"/>
      <c r="L128" s="18"/>
      <c r="M128" s="256"/>
      <c r="N128" s="18"/>
      <c r="O128" s="18"/>
      <c r="P128" s="18"/>
      <c r="Q128" s="18"/>
      <c r="R128" s="256"/>
      <c r="T128" s="18"/>
    </row>
    <row r="129" spans="5:20">
      <c r="E129" s="17"/>
      <c r="F129" s="17"/>
      <c r="G129" s="17"/>
      <c r="H129" s="17"/>
      <c r="I129" s="18"/>
      <c r="J129" s="18"/>
      <c r="K129" s="17"/>
      <c r="L129" s="18"/>
      <c r="M129" s="256"/>
      <c r="N129" s="17"/>
      <c r="O129" s="17"/>
      <c r="P129" s="17"/>
      <c r="Q129" s="18"/>
      <c r="R129" s="256"/>
      <c r="T129" s="17"/>
    </row>
    <row r="130" spans="5:20">
      <c r="E130" s="17"/>
      <c r="F130" s="17"/>
      <c r="G130" s="17"/>
      <c r="H130" s="17"/>
      <c r="I130" s="17"/>
      <c r="J130" s="17"/>
      <c r="K130" s="17"/>
      <c r="L130" s="17"/>
      <c r="M130" s="256"/>
      <c r="N130" s="17"/>
      <c r="O130" s="17"/>
      <c r="P130" s="17"/>
      <c r="Q130" s="17"/>
      <c r="R130" s="256"/>
      <c r="T130" s="17"/>
    </row>
    <row r="131" spans="5:20">
      <c r="E131" s="17"/>
      <c r="F131" s="17"/>
      <c r="G131" s="17"/>
      <c r="H131" s="17"/>
      <c r="I131" s="17"/>
      <c r="J131" s="17"/>
      <c r="K131" s="17"/>
      <c r="L131" s="17"/>
      <c r="M131" s="256"/>
      <c r="N131" s="17"/>
      <c r="O131" s="17"/>
      <c r="P131" s="17"/>
      <c r="Q131" s="17"/>
      <c r="R131" s="256"/>
      <c r="T131" s="17"/>
    </row>
    <row r="132" spans="5:20">
      <c r="E132" s="17"/>
      <c r="F132" s="17"/>
      <c r="G132" s="17"/>
      <c r="H132" s="17"/>
      <c r="I132" s="17"/>
      <c r="J132" s="17"/>
      <c r="K132" s="17"/>
      <c r="L132" s="17"/>
      <c r="M132" s="256"/>
      <c r="N132" s="17"/>
      <c r="O132" s="17"/>
      <c r="P132" s="17"/>
      <c r="Q132" s="17"/>
      <c r="R132" s="256"/>
      <c r="T132" s="17"/>
    </row>
    <row r="133" spans="5:20">
      <c r="E133" s="17"/>
      <c r="F133" s="17"/>
      <c r="G133" s="17"/>
      <c r="H133" s="17"/>
      <c r="I133" s="17"/>
      <c r="J133" s="17"/>
      <c r="K133" s="17"/>
      <c r="L133" s="17"/>
      <c r="M133" s="256"/>
      <c r="N133" s="17"/>
      <c r="O133" s="17"/>
      <c r="P133" s="17"/>
      <c r="Q133" s="17"/>
      <c r="R133" s="256"/>
      <c r="T133" s="17"/>
    </row>
    <row r="134" spans="5:20">
      <c r="E134" s="17"/>
      <c r="F134" s="17"/>
      <c r="G134" s="17"/>
      <c r="H134" s="17"/>
      <c r="I134" s="17"/>
      <c r="J134" s="17"/>
      <c r="K134" s="17"/>
      <c r="L134" s="17"/>
      <c r="M134" s="256"/>
      <c r="N134" s="17"/>
      <c r="O134" s="17"/>
      <c r="P134" s="17"/>
      <c r="Q134" s="17"/>
      <c r="R134" s="256"/>
      <c r="T134" s="17"/>
    </row>
    <row r="135" spans="5:20">
      <c r="E135" s="17"/>
      <c r="F135" s="17"/>
      <c r="G135" s="17"/>
      <c r="H135" s="17"/>
      <c r="I135" s="17"/>
      <c r="J135" s="17"/>
      <c r="K135" s="17"/>
      <c r="L135" s="17"/>
      <c r="M135" s="256"/>
      <c r="N135" s="17"/>
      <c r="O135" s="17"/>
      <c r="P135" s="17"/>
      <c r="Q135" s="17"/>
      <c r="R135" s="256"/>
      <c r="T135" s="17"/>
    </row>
    <row r="136" spans="5:20">
      <c r="E136" s="17"/>
      <c r="F136" s="17"/>
      <c r="G136" s="17"/>
      <c r="H136" s="17"/>
      <c r="I136" s="17"/>
      <c r="J136" s="17"/>
      <c r="K136" s="17"/>
      <c r="L136" s="17"/>
      <c r="M136" s="256"/>
      <c r="N136" s="17"/>
      <c r="O136" s="17"/>
      <c r="P136" s="17"/>
      <c r="Q136" s="17"/>
      <c r="R136" s="256"/>
      <c r="T136" s="17"/>
    </row>
    <row r="137" spans="5:20">
      <c r="E137" s="17"/>
      <c r="F137" s="17"/>
      <c r="G137" s="17"/>
      <c r="H137" s="17"/>
      <c r="I137" s="17"/>
      <c r="J137" s="17"/>
      <c r="K137" s="17"/>
      <c r="L137" s="17"/>
      <c r="M137" s="256"/>
      <c r="N137" s="17"/>
      <c r="O137" s="17"/>
      <c r="P137" s="17"/>
      <c r="Q137" s="17"/>
      <c r="R137" s="256"/>
      <c r="T137" s="17"/>
    </row>
    <row r="138" spans="5:20">
      <c r="E138" s="17"/>
      <c r="F138" s="17"/>
      <c r="G138" s="17"/>
      <c r="H138" s="17"/>
      <c r="I138" s="17"/>
      <c r="J138" s="17"/>
      <c r="K138" s="17"/>
      <c r="L138" s="17"/>
      <c r="M138" s="256"/>
      <c r="N138" s="17"/>
      <c r="O138" s="17"/>
      <c r="P138" s="17"/>
      <c r="Q138" s="17"/>
      <c r="R138" s="256"/>
      <c r="T138" s="17"/>
    </row>
    <row r="139" spans="5:20">
      <c r="E139" s="17"/>
      <c r="F139" s="17"/>
      <c r="G139" s="17"/>
      <c r="H139" s="17"/>
      <c r="I139" s="17"/>
      <c r="J139" s="17"/>
      <c r="K139" s="17"/>
      <c r="L139" s="17"/>
      <c r="M139" s="256"/>
      <c r="N139" s="17"/>
      <c r="O139" s="17"/>
      <c r="P139" s="17"/>
      <c r="Q139" s="17"/>
      <c r="R139" s="256"/>
      <c r="T139" s="17"/>
    </row>
    <row r="140" spans="5:20">
      <c r="E140" s="17"/>
      <c r="F140" s="17"/>
      <c r="G140" s="17"/>
      <c r="H140" s="17"/>
      <c r="I140" s="17"/>
      <c r="J140" s="17"/>
      <c r="K140" s="17"/>
      <c r="L140" s="17"/>
      <c r="M140" s="256"/>
      <c r="N140" s="17"/>
      <c r="O140" s="17"/>
      <c r="P140" s="17"/>
      <c r="Q140" s="17"/>
      <c r="R140" s="256"/>
      <c r="T140" s="17"/>
    </row>
    <row r="141" spans="5:20">
      <c r="E141" s="17"/>
      <c r="F141" s="17"/>
      <c r="G141" s="17"/>
      <c r="H141" s="17"/>
      <c r="I141" s="17"/>
      <c r="J141" s="17"/>
      <c r="K141" s="17"/>
      <c r="L141" s="17"/>
      <c r="M141" s="256"/>
      <c r="N141" s="17"/>
      <c r="O141" s="17"/>
      <c r="P141" s="17"/>
      <c r="Q141" s="17"/>
      <c r="R141" s="256"/>
      <c r="T141" s="17"/>
    </row>
    <row r="142" spans="5:20">
      <c r="E142" s="17"/>
      <c r="F142" s="17"/>
      <c r="G142" s="17"/>
      <c r="H142" s="17"/>
      <c r="I142" s="17"/>
      <c r="J142" s="17"/>
      <c r="K142" s="17"/>
      <c r="L142" s="17"/>
      <c r="M142" s="256"/>
      <c r="N142" s="17"/>
      <c r="O142" s="17"/>
      <c r="P142" s="17"/>
      <c r="Q142" s="17"/>
      <c r="R142" s="256"/>
      <c r="T142" s="17"/>
    </row>
    <row r="143" spans="5:20">
      <c r="E143" s="17"/>
      <c r="F143" s="17"/>
      <c r="G143" s="17"/>
      <c r="H143" s="17"/>
      <c r="I143" s="17"/>
      <c r="J143" s="17"/>
      <c r="K143" s="17"/>
      <c r="L143" s="17"/>
      <c r="M143" s="256"/>
      <c r="N143" s="17"/>
      <c r="O143" s="17"/>
      <c r="P143" s="17"/>
      <c r="Q143" s="17"/>
      <c r="R143" s="256"/>
      <c r="T143" s="17"/>
    </row>
    <row r="144" spans="5:20">
      <c r="E144" s="17"/>
      <c r="F144" s="17"/>
      <c r="G144" s="17"/>
      <c r="H144" s="17"/>
      <c r="I144" s="17"/>
      <c r="J144" s="17"/>
      <c r="K144" s="17"/>
      <c r="L144" s="17"/>
      <c r="M144" s="256"/>
      <c r="N144" s="17"/>
      <c r="O144" s="17"/>
      <c r="P144" s="17"/>
      <c r="Q144" s="17"/>
      <c r="R144" s="256"/>
      <c r="T144" s="17"/>
    </row>
    <row r="145" spans="5:20">
      <c r="E145" s="17"/>
      <c r="F145" s="17"/>
      <c r="G145" s="17"/>
      <c r="H145" s="17"/>
      <c r="I145" s="17"/>
      <c r="J145" s="17"/>
      <c r="K145" s="17"/>
      <c r="L145" s="17"/>
      <c r="M145" s="256"/>
      <c r="N145" s="17"/>
      <c r="O145" s="17"/>
      <c r="P145" s="17"/>
      <c r="Q145" s="17"/>
      <c r="R145" s="256"/>
      <c r="T145" s="17"/>
    </row>
    <row r="146" spans="5:20">
      <c r="E146" s="17"/>
      <c r="F146" s="17"/>
      <c r="G146" s="17"/>
      <c r="H146" s="17"/>
      <c r="I146" s="17"/>
      <c r="J146" s="17"/>
      <c r="K146" s="17"/>
      <c r="L146" s="17"/>
      <c r="M146" s="256"/>
      <c r="N146" s="17"/>
      <c r="O146" s="17"/>
      <c r="P146" s="17"/>
      <c r="Q146" s="17"/>
      <c r="R146" s="256"/>
      <c r="T146" s="17"/>
    </row>
    <row r="147" spans="5:20">
      <c r="E147" s="17"/>
      <c r="F147" s="17"/>
      <c r="G147" s="17"/>
      <c r="H147" s="17"/>
      <c r="I147" s="17"/>
      <c r="J147" s="17"/>
      <c r="K147" s="17"/>
      <c r="L147" s="17"/>
      <c r="M147" s="256"/>
      <c r="N147" s="17"/>
      <c r="O147" s="17"/>
      <c r="P147" s="17"/>
      <c r="Q147" s="17"/>
      <c r="R147" s="256"/>
      <c r="T147" s="17"/>
    </row>
    <row r="148" spans="5:20">
      <c r="E148" s="17"/>
      <c r="F148" s="17"/>
      <c r="G148" s="17"/>
      <c r="H148" s="17"/>
      <c r="I148" s="17"/>
      <c r="J148" s="17"/>
      <c r="K148" s="17"/>
      <c r="L148" s="17"/>
      <c r="M148" s="256"/>
      <c r="N148" s="17"/>
      <c r="O148" s="17"/>
      <c r="P148" s="17"/>
      <c r="Q148" s="17"/>
      <c r="R148" s="256"/>
      <c r="T148" s="17"/>
    </row>
    <row r="149" spans="5:20">
      <c r="E149" s="17"/>
      <c r="F149" s="17"/>
      <c r="G149" s="17"/>
      <c r="H149" s="17"/>
      <c r="I149" s="17"/>
      <c r="J149" s="17"/>
      <c r="K149" s="17"/>
      <c r="L149" s="17"/>
      <c r="M149" s="256"/>
      <c r="N149" s="17"/>
      <c r="O149" s="17"/>
      <c r="P149" s="17"/>
      <c r="Q149" s="17"/>
      <c r="R149" s="256"/>
      <c r="T149" s="17"/>
    </row>
    <row r="150" spans="5:20">
      <c r="E150" s="17"/>
      <c r="F150" s="17"/>
      <c r="G150" s="17"/>
      <c r="H150" s="17"/>
      <c r="I150" s="17"/>
      <c r="J150" s="17"/>
      <c r="K150" s="17"/>
      <c r="L150" s="17"/>
      <c r="M150" s="256"/>
      <c r="N150" s="17"/>
      <c r="O150" s="17"/>
      <c r="P150" s="17"/>
      <c r="Q150" s="17"/>
      <c r="R150" s="256"/>
      <c r="T150" s="17"/>
    </row>
    <row r="151" spans="5:20">
      <c r="E151" s="17"/>
      <c r="F151" s="17"/>
      <c r="G151" s="17"/>
      <c r="H151" s="17"/>
      <c r="I151" s="17"/>
      <c r="J151" s="17"/>
      <c r="K151" s="17"/>
      <c r="L151" s="17"/>
      <c r="M151" s="256"/>
      <c r="N151" s="17"/>
      <c r="O151" s="17"/>
      <c r="P151" s="17"/>
      <c r="Q151" s="17"/>
      <c r="R151" s="256"/>
      <c r="T151" s="17"/>
    </row>
    <row r="152" spans="5:20">
      <c r="E152" s="17"/>
      <c r="F152" s="17"/>
      <c r="G152" s="17"/>
      <c r="H152" s="17"/>
      <c r="I152" s="17"/>
      <c r="J152" s="17"/>
      <c r="K152" s="17"/>
      <c r="L152" s="17"/>
      <c r="M152" s="256"/>
      <c r="N152" s="17"/>
      <c r="O152" s="17"/>
      <c r="P152" s="17"/>
      <c r="Q152" s="17"/>
      <c r="R152" s="256"/>
      <c r="T152" s="17"/>
    </row>
    <row r="153" spans="5:20">
      <c r="E153" s="17"/>
      <c r="F153" s="17"/>
      <c r="G153" s="17"/>
      <c r="H153" s="17"/>
      <c r="I153" s="17"/>
      <c r="J153" s="17"/>
      <c r="K153" s="17"/>
      <c r="L153" s="17"/>
      <c r="M153" s="256"/>
      <c r="N153" s="17"/>
      <c r="O153" s="17"/>
      <c r="P153" s="17"/>
      <c r="Q153" s="17"/>
      <c r="R153" s="256"/>
      <c r="T153" s="17"/>
    </row>
    <row r="154" spans="5:20">
      <c r="E154" s="17"/>
      <c r="F154" s="17"/>
      <c r="G154" s="17"/>
      <c r="H154" s="17"/>
      <c r="I154" s="17"/>
      <c r="J154" s="17"/>
      <c r="K154" s="17"/>
      <c r="L154" s="17"/>
      <c r="M154" s="256"/>
      <c r="N154" s="17"/>
      <c r="O154" s="17"/>
      <c r="P154" s="17"/>
      <c r="Q154" s="17"/>
      <c r="R154" s="256"/>
      <c r="T154" s="17"/>
    </row>
    <row r="155" spans="5:20">
      <c r="E155" s="17"/>
      <c r="F155" s="17"/>
      <c r="G155" s="17"/>
      <c r="H155" s="17"/>
      <c r="I155" s="17"/>
      <c r="J155" s="17"/>
      <c r="K155" s="17"/>
      <c r="L155" s="17"/>
      <c r="M155" s="256"/>
      <c r="N155" s="17"/>
      <c r="O155" s="17"/>
      <c r="P155" s="17"/>
      <c r="Q155" s="17"/>
      <c r="R155" s="256"/>
      <c r="T155" s="17"/>
    </row>
    <row r="156" spans="5:20">
      <c r="E156" s="17"/>
      <c r="F156" s="17"/>
      <c r="G156" s="17"/>
      <c r="H156" s="17"/>
      <c r="I156" s="17"/>
      <c r="J156" s="17"/>
      <c r="K156" s="17"/>
      <c r="L156" s="17"/>
      <c r="M156" s="256"/>
      <c r="N156" s="17"/>
      <c r="O156" s="17"/>
      <c r="P156" s="17"/>
      <c r="Q156" s="17"/>
      <c r="R156" s="256"/>
      <c r="T156" s="17"/>
    </row>
    <row r="157" spans="5:20">
      <c r="E157" s="17"/>
      <c r="F157" s="17"/>
      <c r="G157" s="17"/>
      <c r="H157" s="17"/>
      <c r="I157" s="17"/>
      <c r="J157" s="17"/>
      <c r="K157" s="17"/>
      <c r="L157" s="17"/>
      <c r="M157" s="256"/>
      <c r="N157" s="17"/>
      <c r="O157" s="17"/>
      <c r="P157" s="17"/>
      <c r="Q157" s="17"/>
      <c r="R157" s="256"/>
      <c r="T157" s="17"/>
    </row>
    <row r="158" spans="5:20">
      <c r="E158" s="17"/>
      <c r="F158" s="17"/>
      <c r="G158" s="17"/>
      <c r="H158" s="17"/>
      <c r="I158" s="17"/>
      <c r="J158" s="17"/>
      <c r="K158" s="17"/>
      <c r="L158" s="17"/>
      <c r="M158" s="256"/>
      <c r="N158" s="17"/>
      <c r="O158" s="17"/>
      <c r="P158" s="17"/>
      <c r="Q158" s="17"/>
      <c r="R158" s="256"/>
      <c r="T158" s="17"/>
    </row>
    <row r="159" spans="5:20">
      <c r="E159" s="17"/>
      <c r="F159" s="17"/>
      <c r="G159" s="17"/>
      <c r="H159" s="17"/>
      <c r="I159" s="17"/>
      <c r="J159" s="17"/>
      <c r="K159" s="17"/>
      <c r="L159" s="17"/>
      <c r="M159" s="256"/>
      <c r="N159" s="17"/>
      <c r="O159" s="17"/>
      <c r="P159" s="17"/>
      <c r="Q159" s="17"/>
      <c r="R159" s="256"/>
      <c r="T159" s="17"/>
    </row>
    <row r="160" spans="5:20">
      <c r="E160" s="17"/>
      <c r="F160" s="17"/>
      <c r="G160" s="17"/>
      <c r="H160" s="17"/>
      <c r="I160" s="17"/>
      <c r="J160" s="17"/>
      <c r="K160" s="17"/>
      <c r="L160" s="17"/>
      <c r="M160" s="256"/>
      <c r="N160" s="17"/>
      <c r="O160" s="17"/>
      <c r="P160" s="17"/>
      <c r="Q160" s="17"/>
      <c r="R160" s="256"/>
      <c r="T160" s="17"/>
    </row>
    <row r="161" spans="5:20">
      <c r="E161" s="17"/>
      <c r="F161" s="17"/>
      <c r="G161" s="17"/>
      <c r="H161" s="17"/>
      <c r="I161" s="17"/>
      <c r="J161" s="17"/>
      <c r="K161" s="17"/>
      <c r="L161" s="17"/>
      <c r="M161" s="256"/>
      <c r="N161" s="17"/>
      <c r="O161" s="17"/>
      <c r="P161" s="17"/>
      <c r="Q161" s="17"/>
      <c r="R161" s="256"/>
      <c r="T161" s="17"/>
    </row>
    <row r="162" spans="5:20">
      <c r="E162" s="17"/>
      <c r="F162" s="17"/>
      <c r="G162" s="17"/>
      <c r="H162" s="17"/>
      <c r="I162" s="17"/>
      <c r="J162" s="17"/>
      <c r="K162" s="17"/>
      <c r="L162" s="17"/>
      <c r="M162" s="256"/>
      <c r="N162" s="17"/>
      <c r="O162" s="17"/>
      <c r="P162" s="17"/>
      <c r="Q162" s="17"/>
      <c r="R162" s="256"/>
      <c r="T162" s="17"/>
    </row>
    <row r="163" spans="5:20">
      <c r="E163" s="17"/>
      <c r="F163" s="17"/>
      <c r="G163" s="17"/>
      <c r="H163" s="17"/>
      <c r="I163" s="17"/>
      <c r="J163" s="17"/>
      <c r="K163" s="17"/>
      <c r="L163" s="17"/>
      <c r="M163" s="256"/>
      <c r="N163" s="17"/>
      <c r="O163" s="17"/>
      <c r="P163" s="17"/>
      <c r="Q163" s="17"/>
      <c r="R163" s="256"/>
      <c r="T163" s="17"/>
    </row>
    <row r="164" spans="5:20">
      <c r="E164" s="17"/>
      <c r="F164" s="17"/>
      <c r="G164" s="17"/>
      <c r="H164" s="17"/>
      <c r="I164" s="17"/>
      <c r="J164" s="17"/>
      <c r="K164" s="17"/>
      <c r="L164" s="17"/>
      <c r="M164" s="256"/>
      <c r="N164" s="17"/>
      <c r="O164" s="17"/>
      <c r="P164" s="17"/>
      <c r="Q164" s="17"/>
      <c r="R164" s="256"/>
      <c r="T164" s="17"/>
    </row>
    <row r="165" spans="5:20">
      <c r="E165" s="17"/>
      <c r="F165" s="17"/>
      <c r="G165" s="17"/>
      <c r="H165" s="17"/>
      <c r="I165" s="17"/>
      <c r="J165" s="17"/>
      <c r="K165" s="17"/>
      <c r="L165" s="17"/>
      <c r="M165" s="256"/>
      <c r="N165" s="17"/>
      <c r="O165" s="17"/>
      <c r="P165" s="17"/>
      <c r="Q165" s="17"/>
      <c r="R165" s="256"/>
      <c r="T165" s="17"/>
    </row>
    <row r="166" spans="5:20">
      <c r="E166" s="17"/>
      <c r="F166" s="17"/>
      <c r="G166" s="17"/>
      <c r="H166" s="17"/>
      <c r="I166" s="17"/>
      <c r="J166" s="17"/>
      <c r="K166" s="17"/>
      <c r="L166" s="17"/>
      <c r="M166" s="256"/>
      <c r="N166" s="17"/>
      <c r="O166" s="17"/>
      <c r="P166" s="17"/>
      <c r="Q166" s="17"/>
      <c r="R166" s="256"/>
      <c r="T166" s="17"/>
    </row>
    <row r="167" spans="5:20">
      <c r="E167" s="17"/>
      <c r="F167" s="17"/>
      <c r="G167" s="17"/>
      <c r="H167" s="17"/>
      <c r="I167" s="17"/>
      <c r="J167" s="17"/>
      <c r="K167" s="17"/>
      <c r="L167" s="17"/>
      <c r="M167" s="256"/>
      <c r="N167" s="17"/>
      <c r="O167" s="17"/>
      <c r="P167" s="17"/>
      <c r="Q167" s="17"/>
      <c r="R167" s="256"/>
      <c r="T167" s="17"/>
    </row>
    <row r="168" spans="5:20">
      <c r="E168" s="17"/>
      <c r="F168" s="17"/>
      <c r="G168" s="17"/>
      <c r="H168" s="17"/>
      <c r="I168" s="17"/>
      <c r="J168" s="17"/>
      <c r="K168" s="17"/>
      <c r="L168" s="17"/>
      <c r="M168" s="256"/>
      <c r="N168" s="17"/>
      <c r="O168" s="17"/>
      <c r="P168" s="17"/>
      <c r="Q168" s="17"/>
      <c r="R168" s="256"/>
      <c r="T168" s="17"/>
    </row>
    <row r="169" spans="5:20">
      <c r="E169" s="17"/>
      <c r="F169" s="17"/>
      <c r="G169" s="17"/>
      <c r="H169" s="17"/>
      <c r="I169" s="17"/>
      <c r="J169" s="17"/>
      <c r="K169" s="17"/>
      <c r="L169" s="17"/>
      <c r="M169" s="256"/>
      <c r="N169" s="17"/>
      <c r="O169" s="17"/>
      <c r="P169" s="17"/>
      <c r="Q169" s="17"/>
      <c r="R169" s="256"/>
      <c r="T169" s="17"/>
    </row>
    <row r="170" spans="5:20">
      <c r="E170" s="17"/>
      <c r="F170" s="17"/>
      <c r="G170" s="17"/>
      <c r="H170" s="17"/>
      <c r="I170" s="17"/>
      <c r="J170" s="17"/>
      <c r="K170" s="17"/>
      <c r="L170" s="17"/>
      <c r="M170" s="256"/>
      <c r="N170" s="17"/>
      <c r="O170" s="17"/>
      <c r="P170" s="17"/>
      <c r="Q170" s="17"/>
      <c r="R170" s="256"/>
      <c r="T170" s="17"/>
    </row>
    <row r="171" spans="5:20">
      <c r="E171" s="17"/>
      <c r="F171" s="17"/>
      <c r="G171" s="17"/>
      <c r="H171" s="17"/>
      <c r="I171" s="17"/>
      <c r="J171" s="17"/>
      <c r="K171" s="17"/>
      <c r="L171" s="17"/>
      <c r="M171" s="256"/>
      <c r="N171" s="17"/>
      <c r="O171" s="17"/>
      <c r="P171" s="17"/>
      <c r="Q171" s="17"/>
      <c r="R171" s="256"/>
      <c r="T171" s="17"/>
    </row>
    <row r="172" spans="5:20">
      <c r="E172" s="17"/>
      <c r="F172" s="17"/>
      <c r="G172" s="17"/>
      <c r="H172" s="17"/>
      <c r="I172" s="17"/>
      <c r="J172" s="17"/>
      <c r="K172" s="17"/>
      <c r="L172" s="17"/>
      <c r="M172" s="256"/>
      <c r="N172" s="17"/>
      <c r="O172" s="17"/>
      <c r="P172" s="17"/>
      <c r="Q172" s="17"/>
      <c r="R172" s="256"/>
      <c r="T172" s="17"/>
    </row>
    <row r="173" spans="5:20">
      <c r="E173" s="17"/>
      <c r="F173" s="17"/>
      <c r="G173" s="17"/>
      <c r="H173" s="17"/>
      <c r="I173" s="17"/>
      <c r="J173" s="17"/>
      <c r="K173" s="17"/>
      <c r="L173" s="17"/>
      <c r="M173" s="256"/>
      <c r="N173" s="17"/>
      <c r="O173" s="17"/>
      <c r="P173" s="17"/>
      <c r="Q173" s="17"/>
      <c r="R173" s="256"/>
      <c r="T173" s="17"/>
    </row>
    <row r="174" spans="5:20">
      <c r="E174" s="17"/>
      <c r="F174" s="17"/>
      <c r="G174" s="17"/>
      <c r="H174" s="17"/>
      <c r="I174" s="17"/>
      <c r="J174" s="17"/>
      <c r="K174" s="17"/>
      <c r="L174" s="17"/>
      <c r="M174" s="256"/>
      <c r="N174" s="17"/>
      <c r="O174" s="17"/>
      <c r="P174" s="17"/>
      <c r="Q174" s="17"/>
      <c r="R174" s="256"/>
      <c r="T174" s="17"/>
    </row>
    <row r="175" spans="5:20">
      <c r="E175" s="17"/>
      <c r="F175" s="17"/>
      <c r="G175" s="17"/>
      <c r="H175" s="17"/>
      <c r="I175" s="17"/>
      <c r="J175" s="17"/>
      <c r="K175" s="17"/>
      <c r="L175" s="17"/>
      <c r="M175" s="256"/>
      <c r="N175" s="17"/>
      <c r="O175" s="17"/>
      <c r="P175" s="17"/>
      <c r="Q175" s="17"/>
      <c r="R175" s="256"/>
      <c r="T175" s="17"/>
    </row>
    <row r="176" spans="5:20">
      <c r="E176" s="17"/>
      <c r="F176" s="17"/>
      <c r="G176" s="17"/>
      <c r="H176" s="17"/>
      <c r="I176" s="17"/>
      <c r="J176" s="17"/>
      <c r="K176" s="17"/>
      <c r="L176" s="17"/>
      <c r="M176" s="256"/>
      <c r="N176" s="17"/>
      <c r="O176" s="17"/>
      <c r="P176" s="17"/>
      <c r="Q176" s="17"/>
      <c r="R176" s="256"/>
      <c r="T176" s="17"/>
    </row>
    <row r="177" spans="5:20">
      <c r="E177" s="17"/>
      <c r="F177" s="17"/>
      <c r="G177" s="17"/>
      <c r="H177" s="17"/>
      <c r="I177" s="17"/>
      <c r="J177" s="17"/>
      <c r="K177" s="17"/>
      <c r="L177" s="17"/>
      <c r="M177" s="256"/>
      <c r="N177" s="17"/>
      <c r="O177" s="17"/>
      <c r="P177" s="17"/>
      <c r="Q177" s="17"/>
      <c r="R177" s="256"/>
      <c r="T177" s="17"/>
    </row>
    <row r="178" spans="5:20">
      <c r="E178" s="17"/>
      <c r="F178" s="17"/>
      <c r="G178" s="17"/>
      <c r="H178" s="17"/>
      <c r="I178" s="17"/>
      <c r="J178" s="17"/>
      <c r="K178" s="17"/>
      <c r="L178" s="17"/>
      <c r="M178" s="256"/>
      <c r="N178" s="17"/>
      <c r="O178" s="17"/>
      <c r="P178" s="17"/>
      <c r="Q178" s="17"/>
      <c r="R178" s="256"/>
      <c r="T178" s="17"/>
    </row>
    <row r="179" spans="5:20">
      <c r="E179" s="17"/>
      <c r="F179" s="17"/>
      <c r="G179" s="17"/>
      <c r="H179" s="17"/>
      <c r="I179" s="17"/>
      <c r="J179" s="17"/>
      <c r="K179" s="17"/>
      <c r="L179" s="17"/>
      <c r="M179" s="256"/>
      <c r="N179" s="17"/>
      <c r="O179" s="17"/>
      <c r="P179" s="17"/>
      <c r="Q179" s="17"/>
      <c r="R179" s="256"/>
      <c r="T179" s="17"/>
    </row>
    <row r="180" spans="5:20">
      <c r="E180" s="17"/>
      <c r="F180" s="17"/>
      <c r="G180" s="17"/>
      <c r="H180" s="17"/>
      <c r="I180" s="17"/>
      <c r="J180" s="17"/>
      <c r="K180" s="17"/>
      <c r="L180" s="17"/>
      <c r="M180" s="256"/>
      <c r="N180" s="17"/>
      <c r="O180" s="17"/>
      <c r="P180" s="17"/>
      <c r="Q180" s="17"/>
      <c r="R180" s="256"/>
      <c r="T180" s="17"/>
    </row>
    <row r="181" spans="5:20">
      <c r="E181" s="17"/>
      <c r="F181" s="17"/>
      <c r="G181" s="17"/>
      <c r="H181" s="17"/>
      <c r="I181" s="17"/>
      <c r="J181" s="17"/>
      <c r="K181" s="17"/>
      <c r="L181" s="17"/>
      <c r="M181" s="256"/>
      <c r="N181" s="17"/>
      <c r="O181" s="17"/>
      <c r="P181" s="17"/>
      <c r="Q181" s="17"/>
      <c r="R181" s="256"/>
      <c r="T181" s="17"/>
    </row>
    <row r="182" spans="5:20">
      <c r="E182" s="17"/>
      <c r="F182" s="17"/>
      <c r="G182" s="17"/>
      <c r="H182" s="17"/>
      <c r="I182" s="17"/>
      <c r="J182" s="17"/>
      <c r="K182" s="17"/>
      <c r="L182" s="17"/>
      <c r="M182" s="256"/>
      <c r="N182" s="17"/>
      <c r="O182" s="17"/>
      <c r="P182" s="17"/>
      <c r="Q182" s="17"/>
      <c r="R182" s="256"/>
      <c r="T182" s="17"/>
    </row>
    <row r="183" spans="5:20">
      <c r="E183" s="17"/>
      <c r="F183" s="17"/>
      <c r="G183" s="17"/>
      <c r="H183" s="17"/>
      <c r="I183" s="17"/>
      <c r="J183" s="17"/>
      <c r="K183" s="17"/>
      <c r="L183" s="17"/>
      <c r="M183" s="256"/>
      <c r="N183" s="17"/>
      <c r="O183" s="17"/>
      <c r="P183" s="17"/>
      <c r="Q183" s="17"/>
      <c r="R183" s="256"/>
      <c r="T183" s="17"/>
    </row>
    <row r="184" spans="5:20">
      <c r="E184" s="17"/>
      <c r="F184" s="17"/>
      <c r="G184" s="17"/>
      <c r="H184" s="17"/>
      <c r="I184" s="17"/>
      <c r="J184" s="17"/>
      <c r="K184" s="17"/>
      <c r="L184" s="17"/>
      <c r="M184" s="256"/>
      <c r="N184" s="17"/>
      <c r="O184" s="17"/>
      <c r="P184" s="17"/>
      <c r="Q184" s="17"/>
      <c r="R184" s="256"/>
      <c r="T184" s="17"/>
    </row>
    <row r="185" spans="5:20">
      <c r="E185" s="17"/>
      <c r="F185" s="17"/>
      <c r="G185" s="17"/>
      <c r="H185" s="17"/>
      <c r="I185" s="17"/>
      <c r="J185" s="17"/>
      <c r="K185" s="17"/>
      <c r="L185" s="17"/>
      <c r="M185" s="256"/>
      <c r="N185" s="17"/>
      <c r="O185" s="17"/>
      <c r="P185" s="17"/>
      <c r="Q185" s="17"/>
      <c r="R185" s="256"/>
      <c r="T185" s="17"/>
    </row>
    <row r="186" spans="5:20">
      <c r="E186" s="17"/>
      <c r="F186" s="17"/>
      <c r="G186" s="17"/>
      <c r="H186" s="17"/>
      <c r="I186" s="17"/>
      <c r="J186" s="17"/>
      <c r="K186" s="17"/>
      <c r="L186" s="17"/>
      <c r="M186" s="256"/>
      <c r="N186" s="17"/>
      <c r="O186" s="17"/>
      <c r="P186" s="17"/>
      <c r="Q186" s="17"/>
      <c r="R186" s="256"/>
      <c r="T186" s="17"/>
    </row>
    <row r="187" spans="5:20">
      <c r="E187" s="17"/>
      <c r="F187" s="17"/>
      <c r="G187" s="17"/>
      <c r="H187" s="17"/>
      <c r="I187" s="17"/>
      <c r="J187" s="17"/>
      <c r="K187" s="17"/>
      <c r="L187" s="17"/>
      <c r="M187" s="256"/>
      <c r="N187" s="17"/>
      <c r="O187" s="17"/>
      <c r="P187" s="17"/>
      <c r="Q187" s="17"/>
      <c r="R187" s="256"/>
      <c r="T187" s="17"/>
    </row>
    <row r="188" spans="5:20">
      <c r="E188" s="17"/>
      <c r="F188" s="17"/>
      <c r="G188" s="17"/>
      <c r="H188" s="17"/>
      <c r="I188" s="17"/>
      <c r="J188" s="17"/>
      <c r="K188" s="17"/>
      <c r="L188" s="17"/>
      <c r="M188" s="256"/>
      <c r="N188" s="17"/>
      <c r="O188" s="17"/>
      <c r="P188" s="17"/>
      <c r="Q188" s="17"/>
      <c r="R188" s="256"/>
      <c r="T188" s="17"/>
    </row>
    <row r="189" spans="5:20">
      <c r="E189" s="17"/>
      <c r="F189" s="17"/>
      <c r="G189" s="17"/>
      <c r="H189" s="17"/>
      <c r="I189" s="17"/>
      <c r="J189" s="17"/>
      <c r="K189" s="17"/>
      <c r="L189" s="17"/>
      <c r="M189" s="256"/>
      <c r="N189" s="17"/>
      <c r="O189" s="17"/>
      <c r="P189" s="17"/>
      <c r="Q189" s="17"/>
      <c r="R189" s="256"/>
      <c r="T189" s="17"/>
    </row>
    <row r="190" spans="5:20">
      <c r="E190" s="17"/>
      <c r="F190" s="17"/>
      <c r="G190" s="17"/>
      <c r="H190" s="17"/>
      <c r="I190" s="17"/>
      <c r="J190" s="17"/>
      <c r="K190" s="17"/>
      <c r="L190" s="17"/>
      <c r="M190" s="256"/>
      <c r="N190" s="17"/>
      <c r="O190" s="17"/>
      <c r="P190" s="17"/>
      <c r="Q190" s="17"/>
      <c r="R190" s="256"/>
      <c r="T190" s="17"/>
    </row>
    <row r="191" spans="5:20">
      <c r="E191" s="17"/>
      <c r="F191" s="17"/>
      <c r="G191" s="17"/>
      <c r="H191" s="17"/>
      <c r="I191" s="17"/>
      <c r="J191" s="17"/>
      <c r="K191" s="17"/>
      <c r="L191" s="17"/>
      <c r="M191" s="256"/>
      <c r="N191" s="17"/>
      <c r="O191" s="17"/>
      <c r="P191" s="17"/>
      <c r="Q191" s="17"/>
      <c r="R191" s="256"/>
      <c r="T191" s="17"/>
    </row>
    <row r="192" spans="5:20">
      <c r="E192" s="17"/>
      <c r="F192" s="17"/>
      <c r="G192" s="17"/>
      <c r="H192" s="17"/>
      <c r="I192" s="17"/>
      <c r="J192" s="17"/>
      <c r="K192" s="17"/>
      <c r="L192" s="17"/>
      <c r="M192" s="256"/>
      <c r="N192" s="17"/>
      <c r="O192" s="17"/>
      <c r="P192" s="17"/>
      <c r="Q192" s="17"/>
      <c r="R192" s="256"/>
      <c r="T192" s="17"/>
    </row>
    <row r="193" spans="5:20">
      <c r="E193" s="17"/>
      <c r="F193" s="17"/>
      <c r="G193" s="17"/>
      <c r="H193" s="17"/>
      <c r="I193" s="17"/>
      <c r="J193" s="17"/>
      <c r="K193" s="17"/>
      <c r="L193" s="17"/>
      <c r="M193" s="256"/>
      <c r="N193" s="17"/>
      <c r="O193" s="17"/>
      <c r="P193" s="17"/>
      <c r="Q193" s="17"/>
      <c r="R193" s="256"/>
      <c r="T193" s="17"/>
    </row>
    <row r="194" spans="5:20">
      <c r="E194" s="17"/>
      <c r="F194" s="17"/>
      <c r="G194" s="17"/>
      <c r="H194" s="17"/>
      <c r="I194" s="17"/>
      <c r="J194" s="17"/>
      <c r="K194" s="17"/>
      <c r="L194" s="17"/>
      <c r="M194" s="256"/>
      <c r="N194" s="17"/>
      <c r="O194" s="17"/>
      <c r="P194" s="17"/>
      <c r="Q194" s="17"/>
      <c r="R194" s="256"/>
      <c r="T194" s="17"/>
    </row>
    <row r="195" spans="5:20">
      <c r="E195" s="17"/>
      <c r="F195" s="17"/>
      <c r="G195" s="17"/>
      <c r="H195" s="17"/>
      <c r="I195" s="17"/>
      <c r="J195" s="17"/>
      <c r="K195" s="17"/>
      <c r="L195" s="17"/>
      <c r="M195" s="256"/>
      <c r="N195" s="17"/>
      <c r="O195" s="17"/>
      <c r="P195" s="17"/>
      <c r="Q195" s="17"/>
      <c r="R195" s="256"/>
      <c r="T195" s="17"/>
    </row>
    <row r="196" spans="5:20">
      <c r="E196" s="17"/>
      <c r="F196" s="17"/>
      <c r="G196" s="17"/>
      <c r="H196" s="17"/>
      <c r="I196" s="17"/>
      <c r="J196" s="17"/>
      <c r="K196" s="17"/>
      <c r="L196" s="17"/>
      <c r="M196" s="256"/>
      <c r="N196" s="17"/>
      <c r="O196" s="17"/>
      <c r="P196" s="17"/>
      <c r="Q196" s="17"/>
      <c r="R196" s="256"/>
      <c r="T196" s="17"/>
    </row>
    <row r="197" spans="5:20">
      <c r="E197" s="17"/>
      <c r="F197" s="17"/>
      <c r="G197" s="17"/>
      <c r="H197" s="17"/>
      <c r="I197" s="17"/>
      <c r="J197" s="17"/>
      <c r="K197" s="17"/>
      <c r="L197" s="17"/>
      <c r="M197" s="256"/>
      <c r="N197" s="17"/>
      <c r="O197" s="17"/>
      <c r="P197" s="17"/>
      <c r="Q197" s="17"/>
      <c r="R197" s="256"/>
      <c r="T197" s="17"/>
    </row>
    <row r="198" spans="5:20">
      <c r="E198" s="17"/>
      <c r="F198" s="17"/>
      <c r="G198" s="17"/>
      <c r="H198" s="17"/>
      <c r="I198" s="17"/>
      <c r="J198" s="17"/>
      <c r="K198" s="17"/>
      <c r="L198" s="17"/>
      <c r="M198" s="256"/>
      <c r="N198" s="17"/>
      <c r="O198" s="17"/>
      <c r="P198" s="17"/>
      <c r="Q198" s="17"/>
      <c r="R198" s="256"/>
      <c r="T198" s="17"/>
    </row>
    <row r="199" spans="5:20">
      <c r="E199" s="17"/>
      <c r="F199" s="17"/>
      <c r="G199" s="17"/>
      <c r="H199" s="17"/>
      <c r="I199" s="17"/>
      <c r="J199" s="17"/>
      <c r="K199" s="17"/>
      <c r="L199" s="17"/>
      <c r="M199" s="256"/>
      <c r="N199" s="17"/>
      <c r="O199" s="17"/>
      <c r="P199" s="17"/>
      <c r="Q199" s="17"/>
      <c r="R199" s="256"/>
      <c r="T199" s="17"/>
    </row>
    <row r="200" spans="5:20">
      <c r="E200" s="17"/>
      <c r="F200" s="17"/>
      <c r="G200" s="17"/>
      <c r="H200" s="17"/>
      <c r="I200" s="17"/>
      <c r="J200" s="17"/>
      <c r="K200" s="17"/>
      <c r="L200" s="17"/>
      <c r="M200" s="256"/>
      <c r="N200" s="17"/>
      <c r="O200" s="17"/>
      <c r="P200" s="17"/>
      <c r="Q200" s="17"/>
      <c r="R200" s="256"/>
      <c r="T200" s="17"/>
    </row>
    <row r="201" spans="5:20">
      <c r="E201" s="17"/>
      <c r="F201" s="17"/>
      <c r="G201" s="17"/>
      <c r="H201" s="17"/>
      <c r="I201" s="17"/>
      <c r="J201" s="17"/>
      <c r="K201" s="17"/>
      <c r="L201" s="17"/>
      <c r="M201" s="256"/>
      <c r="N201" s="17"/>
      <c r="O201" s="17"/>
      <c r="P201" s="17"/>
      <c r="Q201" s="17"/>
      <c r="R201" s="256"/>
      <c r="T201" s="17"/>
    </row>
    <row r="202" spans="5:20">
      <c r="E202" s="17"/>
      <c r="F202" s="17"/>
      <c r="G202" s="17"/>
      <c r="H202" s="17"/>
      <c r="I202" s="17"/>
      <c r="J202" s="17"/>
      <c r="K202" s="17"/>
      <c r="L202" s="17"/>
      <c r="M202" s="256"/>
      <c r="N202" s="17"/>
      <c r="O202" s="17"/>
      <c r="P202" s="17"/>
      <c r="Q202" s="17"/>
      <c r="R202" s="256"/>
      <c r="T202" s="17"/>
    </row>
    <row r="203" spans="5:20">
      <c r="E203" s="17"/>
      <c r="F203" s="17"/>
      <c r="G203" s="17"/>
      <c r="H203" s="17"/>
      <c r="I203" s="17"/>
      <c r="J203" s="17"/>
      <c r="K203" s="17"/>
      <c r="L203" s="17"/>
      <c r="M203" s="256"/>
      <c r="N203" s="17"/>
      <c r="O203" s="17"/>
      <c r="P203" s="17"/>
      <c r="Q203" s="17"/>
      <c r="R203" s="256"/>
      <c r="T203" s="17"/>
    </row>
    <row r="204" spans="5:20">
      <c r="E204" s="17"/>
      <c r="F204" s="17"/>
      <c r="G204" s="17"/>
      <c r="H204" s="17"/>
      <c r="I204" s="17"/>
      <c r="J204" s="17"/>
      <c r="K204" s="17"/>
      <c r="L204" s="17"/>
      <c r="M204" s="256"/>
      <c r="N204" s="17"/>
      <c r="O204" s="17"/>
      <c r="P204" s="17"/>
      <c r="Q204" s="17"/>
      <c r="R204" s="256"/>
      <c r="T204" s="17"/>
    </row>
    <row r="205" spans="5:20">
      <c r="E205" s="17"/>
      <c r="F205" s="17"/>
      <c r="G205" s="17"/>
      <c r="H205" s="17"/>
      <c r="I205" s="17"/>
      <c r="J205" s="17"/>
      <c r="K205" s="17"/>
      <c r="L205" s="17"/>
      <c r="M205" s="256"/>
      <c r="N205" s="17"/>
      <c r="O205" s="17"/>
      <c r="P205" s="17"/>
      <c r="Q205" s="17"/>
      <c r="R205" s="256"/>
      <c r="T205" s="17"/>
    </row>
    <row r="206" spans="5:20">
      <c r="E206" s="17"/>
      <c r="F206" s="17"/>
      <c r="G206" s="17"/>
      <c r="H206" s="17"/>
      <c r="I206" s="17"/>
      <c r="J206" s="17"/>
      <c r="K206" s="17"/>
      <c r="L206" s="17"/>
      <c r="M206" s="256"/>
      <c r="N206" s="17"/>
      <c r="O206" s="17"/>
      <c r="P206" s="17"/>
      <c r="Q206" s="17"/>
      <c r="R206" s="256"/>
      <c r="T206" s="17"/>
    </row>
    <row r="207" spans="5:20">
      <c r="E207" s="17"/>
      <c r="F207" s="17"/>
      <c r="G207" s="17"/>
      <c r="H207" s="17"/>
      <c r="I207" s="17"/>
      <c r="J207" s="17"/>
      <c r="K207" s="17"/>
      <c r="L207" s="17"/>
      <c r="M207" s="256"/>
      <c r="N207" s="17"/>
      <c r="O207" s="17"/>
      <c r="P207" s="17"/>
      <c r="Q207" s="17"/>
      <c r="R207" s="256"/>
      <c r="T207" s="17"/>
    </row>
    <row r="208" spans="5:20">
      <c r="E208" s="17"/>
      <c r="F208" s="17"/>
      <c r="G208" s="17"/>
      <c r="H208" s="17"/>
      <c r="I208" s="17"/>
      <c r="J208" s="17"/>
      <c r="K208" s="17"/>
      <c r="L208" s="17"/>
      <c r="M208" s="256"/>
      <c r="N208" s="17"/>
      <c r="O208" s="17"/>
      <c r="P208" s="17"/>
      <c r="Q208" s="17"/>
      <c r="R208" s="256"/>
      <c r="T208" s="17"/>
    </row>
    <row r="209" spans="5:20">
      <c r="E209" s="17"/>
      <c r="F209" s="17"/>
      <c r="G209" s="17"/>
      <c r="H209" s="17"/>
      <c r="I209" s="17"/>
      <c r="J209" s="17"/>
      <c r="K209" s="17"/>
      <c r="L209" s="17"/>
      <c r="M209" s="256"/>
      <c r="N209" s="17"/>
      <c r="O209" s="17"/>
      <c r="P209" s="17"/>
      <c r="Q209" s="17"/>
      <c r="R209" s="256"/>
      <c r="T209" s="17"/>
    </row>
    <row r="210" spans="5:20">
      <c r="E210" s="17"/>
      <c r="F210" s="17"/>
      <c r="G210" s="17"/>
      <c r="H210" s="17"/>
      <c r="I210" s="17"/>
      <c r="J210" s="17"/>
      <c r="K210" s="17"/>
      <c r="L210" s="17"/>
      <c r="M210" s="256"/>
      <c r="N210" s="17"/>
      <c r="O210" s="17"/>
      <c r="P210" s="17"/>
      <c r="Q210" s="17"/>
      <c r="R210" s="256"/>
      <c r="T210" s="17"/>
    </row>
    <row r="211" spans="5:20">
      <c r="E211" s="17"/>
      <c r="F211" s="17"/>
      <c r="G211" s="17"/>
      <c r="H211" s="17"/>
      <c r="I211" s="17"/>
      <c r="J211" s="17"/>
      <c r="K211" s="17"/>
      <c r="L211" s="17"/>
      <c r="M211" s="256"/>
      <c r="N211" s="17"/>
      <c r="O211" s="17"/>
      <c r="P211" s="17"/>
      <c r="Q211" s="17"/>
      <c r="R211" s="256"/>
      <c r="T211" s="17"/>
    </row>
    <row r="212" spans="5:20">
      <c r="E212" s="17"/>
      <c r="F212" s="17"/>
      <c r="G212" s="17"/>
      <c r="H212" s="17"/>
      <c r="I212" s="17"/>
      <c r="J212" s="17"/>
      <c r="K212" s="17"/>
      <c r="L212" s="17"/>
      <c r="M212" s="256"/>
      <c r="N212" s="17"/>
      <c r="O212" s="17"/>
      <c r="P212" s="17"/>
      <c r="Q212" s="17"/>
      <c r="R212" s="256"/>
      <c r="T212" s="17"/>
    </row>
    <row r="213" spans="5:20">
      <c r="E213" s="17"/>
      <c r="F213" s="17"/>
      <c r="G213" s="17"/>
      <c r="H213" s="17"/>
      <c r="I213" s="17"/>
      <c r="J213" s="17"/>
      <c r="K213" s="17"/>
      <c r="L213" s="17"/>
      <c r="M213" s="256"/>
      <c r="N213" s="17"/>
      <c r="O213" s="17"/>
      <c r="P213" s="17"/>
      <c r="Q213" s="17"/>
      <c r="R213" s="256"/>
      <c r="T213" s="17"/>
    </row>
    <row r="214" spans="5:20">
      <c r="E214" s="17"/>
      <c r="F214" s="17"/>
      <c r="G214" s="17"/>
      <c r="H214" s="17"/>
      <c r="I214" s="17"/>
      <c r="J214" s="17"/>
      <c r="K214" s="17"/>
      <c r="L214" s="17"/>
      <c r="M214" s="256"/>
      <c r="N214" s="17"/>
      <c r="O214" s="17"/>
      <c r="P214" s="17"/>
      <c r="Q214" s="17"/>
      <c r="R214" s="256"/>
      <c r="T214" s="17"/>
    </row>
    <row r="215" spans="5:20">
      <c r="E215" s="17"/>
      <c r="F215" s="17"/>
      <c r="G215" s="17"/>
      <c r="H215" s="17"/>
      <c r="I215" s="17"/>
      <c r="J215" s="17"/>
      <c r="K215" s="17"/>
      <c r="L215" s="17"/>
      <c r="M215" s="256"/>
      <c r="N215" s="17"/>
      <c r="O215" s="17"/>
      <c r="P215" s="17"/>
      <c r="Q215" s="17"/>
      <c r="R215" s="256"/>
      <c r="T215" s="17"/>
    </row>
    <row r="216" spans="5:20">
      <c r="E216" s="17"/>
      <c r="F216" s="17"/>
      <c r="G216" s="17"/>
      <c r="H216" s="17"/>
      <c r="I216" s="17"/>
      <c r="J216" s="17"/>
      <c r="K216" s="17"/>
      <c r="L216" s="17"/>
      <c r="M216" s="256"/>
      <c r="N216" s="17"/>
      <c r="O216" s="17"/>
      <c r="P216" s="17"/>
      <c r="Q216" s="17"/>
      <c r="R216" s="256"/>
      <c r="T216" s="17"/>
    </row>
    <row r="217" spans="5:20">
      <c r="E217" s="17"/>
      <c r="F217" s="17"/>
      <c r="G217" s="17"/>
      <c r="H217" s="17"/>
      <c r="I217" s="17"/>
      <c r="J217" s="17"/>
      <c r="K217" s="17"/>
      <c r="L217" s="17"/>
      <c r="M217" s="256"/>
      <c r="N217" s="17"/>
      <c r="O217" s="17"/>
      <c r="P217" s="17"/>
      <c r="Q217" s="17"/>
      <c r="R217" s="256"/>
      <c r="T217" s="17"/>
    </row>
    <row r="218" spans="5:20">
      <c r="E218" s="17"/>
      <c r="F218" s="17"/>
      <c r="G218" s="17"/>
      <c r="H218" s="17"/>
      <c r="I218" s="17"/>
      <c r="J218" s="17"/>
      <c r="K218" s="17"/>
      <c r="L218" s="17"/>
      <c r="M218" s="256"/>
      <c r="N218" s="17"/>
      <c r="O218" s="17"/>
      <c r="P218" s="17"/>
      <c r="Q218" s="17"/>
      <c r="R218" s="256"/>
      <c r="T218" s="17"/>
    </row>
    <row r="219" spans="5:20">
      <c r="E219" s="17"/>
      <c r="F219" s="17"/>
      <c r="G219" s="17"/>
      <c r="H219" s="17"/>
      <c r="I219" s="17"/>
      <c r="J219" s="17"/>
      <c r="K219" s="17"/>
      <c r="L219" s="17"/>
      <c r="M219" s="256"/>
      <c r="N219" s="17"/>
      <c r="O219" s="17"/>
      <c r="P219" s="17"/>
      <c r="Q219" s="17"/>
      <c r="R219" s="256"/>
      <c r="T219" s="17"/>
    </row>
    <row r="220" spans="5:20">
      <c r="E220" s="17"/>
      <c r="F220" s="17"/>
      <c r="G220" s="17"/>
      <c r="H220" s="17"/>
      <c r="I220" s="17"/>
      <c r="J220" s="17"/>
      <c r="K220" s="17"/>
      <c r="L220" s="17"/>
      <c r="M220" s="256"/>
      <c r="N220" s="17"/>
      <c r="O220" s="17"/>
      <c r="P220" s="17"/>
      <c r="Q220" s="17"/>
      <c r="R220" s="256"/>
      <c r="T220" s="17"/>
    </row>
    <row r="221" spans="5:20">
      <c r="E221" s="17"/>
      <c r="F221" s="17"/>
      <c r="G221" s="17"/>
      <c r="H221" s="17"/>
      <c r="I221" s="17"/>
      <c r="J221" s="17"/>
      <c r="K221" s="17"/>
      <c r="L221" s="17"/>
      <c r="M221" s="256"/>
      <c r="N221" s="17"/>
      <c r="O221" s="17"/>
      <c r="P221" s="17"/>
      <c r="Q221" s="17"/>
      <c r="R221" s="256"/>
      <c r="T221" s="17"/>
    </row>
    <row r="222" spans="5:20">
      <c r="E222" s="17"/>
      <c r="F222" s="17"/>
      <c r="G222" s="17"/>
      <c r="H222" s="17"/>
      <c r="I222" s="17"/>
      <c r="J222" s="17"/>
      <c r="K222" s="17"/>
      <c r="L222" s="17"/>
      <c r="M222" s="256"/>
      <c r="N222" s="17"/>
      <c r="O222" s="17"/>
      <c r="P222" s="17"/>
      <c r="Q222" s="17"/>
      <c r="R222" s="256"/>
      <c r="T222" s="17"/>
    </row>
    <row r="223" spans="5:20">
      <c r="E223" s="17"/>
      <c r="F223" s="17"/>
      <c r="G223" s="17"/>
      <c r="H223" s="17"/>
      <c r="I223" s="17"/>
      <c r="J223" s="17"/>
      <c r="K223" s="17"/>
      <c r="L223" s="17"/>
      <c r="M223" s="256"/>
      <c r="N223" s="17"/>
      <c r="O223" s="17"/>
      <c r="P223" s="17"/>
      <c r="Q223" s="17"/>
      <c r="R223" s="256"/>
      <c r="T223" s="17"/>
    </row>
    <row r="224" spans="5:20">
      <c r="E224" s="17"/>
      <c r="F224" s="17"/>
      <c r="G224" s="17"/>
      <c r="H224" s="17"/>
      <c r="I224" s="17"/>
      <c r="J224" s="17"/>
      <c r="K224" s="17"/>
      <c r="L224" s="17"/>
      <c r="M224" s="256"/>
      <c r="N224" s="17"/>
      <c r="O224" s="17"/>
      <c r="P224" s="17"/>
      <c r="Q224" s="17"/>
      <c r="R224" s="256"/>
      <c r="T224" s="17"/>
    </row>
    <row r="225" spans="5:20">
      <c r="E225" s="17"/>
      <c r="F225" s="17"/>
      <c r="G225" s="17"/>
      <c r="H225" s="17"/>
      <c r="I225" s="17"/>
      <c r="J225" s="17"/>
      <c r="K225" s="17"/>
      <c r="L225" s="17"/>
      <c r="M225" s="256"/>
      <c r="N225" s="17"/>
      <c r="O225" s="17"/>
      <c r="P225" s="17"/>
      <c r="Q225" s="17"/>
      <c r="R225" s="256"/>
      <c r="T225" s="17"/>
    </row>
    <row r="226" spans="5:20">
      <c r="E226" s="17"/>
      <c r="F226" s="17"/>
      <c r="G226" s="17"/>
      <c r="H226" s="17"/>
      <c r="I226" s="17"/>
      <c r="J226" s="17"/>
      <c r="K226" s="17"/>
      <c r="L226" s="17"/>
      <c r="M226" s="256"/>
      <c r="N226" s="17"/>
      <c r="O226" s="17"/>
      <c r="P226" s="17"/>
      <c r="Q226" s="17"/>
      <c r="R226" s="256"/>
      <c r="T226" s="17"/>
    </row>
    <row r="227" spans="5:20">
      <c r="E227" s="17"/>
      <c r="F227" s="17"/>
      <c r="G227" s="17"/>
      <c r="H227" s="17"/>
      <c r="I227" s="17"/>
      <c r="J227" s="17"/>
      <c r="K227" s="17"/>
      <c r="L227" s="17"/>
      <c r="M227" s="256"/>
      <c r="N227" s="17"/>
      <c r="O227" s="17"/>
      <c r="P227" s="17"/>
      <c r="Q227" s="17"/>
      <c r="R227" s="256"/>
      <c r="T227" s="17"/>
    </row>
    <row r="228" spans="5:20">
      <c r="E228" s="17"/>
      <c r="F228" s="17"/>
      <c r="G228" s="17"/>
      <c r="H228" s="17"/>
      <c r="I228" s="17"/>
      <c r="J228" s="17"/>
      <c r="K228" s="17"/>
      <c r="L228" s="17"/>
      <c r="M228" s="256"/>
      <c r="N228" s="17"/>
      <c r="O228" s="17"/>
      <c r="P228" s="17"/>
      <c r="Q228" s="17"/>
      <c r="R228" s="256"/>
      <c r="T228" s="17"/>
    </row>
    <row r="229" spans="5:20">
      <c r="E229" s="17"/>
      <c r="F229" s="17"/>
      <c r="G229" s="17"/>
      <c r="H229" s="17"/>
      <c r="I229" s="17"/>
      <c r="J229" s="17"/>
      <c r="K229" s="17"/>
      <c r="L229" s="17"/>
      <c r="M229" s="256"/>
      <c r="N229" s="17"/>
      <c r="O229" s="17"/>
      <c r="P229" s="17"/>
      <c r="Q229" s="17"/>
      <c r="R229" s="256"/>
      <c r="T229" s="17"/>
    </row>
    <row r="230" spans="5:20">
      <c r="E230" s="17"/>
      <c r="F230" s="17"/>
      <c r="G230" s="17"/>
      <c r="H230" s="17"/>
      <c r="I230" s="17"/>
      <c r="J230" s="17"/>
      <c r="K230" s="17"/>
      <c r="L230" s="17"/>
      <c r="M230" s="256"/>
      <c r="N230" s="17"/>
      <c r="O230" s="17"/>
      <c r="P230" s="17"/>
      <c r="Q230" s="17"/>
      <c r="R230" s="256"/>
      <c r="T230" s="17"/>
    </row>
    <row r="231" spans="5:20">
      <c r="E231" s="17"/>
      <c r="F231" s="17"/>
      <c r="G231" s="17"/>
      <c r="H231" s="17"/>
      <c r="I231" s="17"/>
      <c r="J231" s="17"/>
      <c r="K231" s="17"/>
      <c r="L231" s="17"/>
      <c r="M231" s="256"/>
      <c r="N231" s="17"/>
      <c r="O231" s="17"/>
      <c r="P231" s="17"/>
      <c r="Q231" s="17"/>
      <c r="R231" s="256"/>
      <c r="T231" s="17"/>
    </row>
    <row r="232" spans="5:20">
      <c r="E232" s="17"/>
      <c r="F232" s="17"/>
      <c r="G232" s="17"/>
      <c r="H232" s="17"/>
      <c r="I232" s="17"/>
      <c r="J232" s="17"/>
      <c r="K232" s="17"/>
      <c r="L232" s="17"/>
      <c r="M232" s="256"/>
      <c r="N232" s="17"/>
      <c r="O232" s="17"/>
      <c r="P232" s="17"/>
      <c r="Q232" s="17"/>
      <c r="R232" s="256"/>
      <c r="T232" s="17"/>
    </row>
    <row r="233" spans="5:20">
      <c r="E233" s="17"/>
      <c r="F233" s="17"/>
      <c r="G233" s="17"/>
      <c r="H233" s="17"/>
      <c r="I233" s="17"/>
      <c r="J233" s="17"/>
      <c r="K233" s="17"/>
      <c r="L233" s="17"/>
      <c r="M233" s="256"/>
      <c r="N233" s="17"/>
      <c r="O233" s="17"/>
      <c r="P233" s="17"/>
      <c r="Q233" s="17"/>
      <c r="R233" s="256"/>
      <c r="T233" s="17"/>
    </row>
    <row r="234" spans="5:20">
      <c r="E234" s="17"/>
      <c r="F234" s="17"/>
      <c r="G234" s="17"/>
      <c r="H234" s="17"/>
      <c r="I234" s="17"/>
      <c r="J234" s="17"/>
      <c r="K234" s="17"/>
      <c r="L234" s="17"/>
      <c r="M234" s="256"/>
      <c r="N234" s="17"/>
      <c r="O234" s="17"/>
      <c r="P234" s="17"/>
      <c r="Q234" s="17"/>
      <c r="R234" s="256"/>
      <c r="T234" s="17"/>
    </row>
    <row r="235" spans="5:20">
      <c r="E235" s="17"/>
      <c r="F235" s="17"/>
      <c r="G235" s="17"/>
      <c r="H235" s="17"/>
      <c r="I235" s="17"/>
      <c r="J235" s="17"/>
      <c r="K235" s="17"/>
      <c r="L235" s="17"/>
      <c r="M235" s="256"/>
      <c r="N235" s="17"/>
      <c r="O235" s="17"/>
      <c r="P235" s="17"/>
      <c r="Q235" s="17"/>
      <c r="R235" s="256"/>
      <c r="T235" s="17"/>
    </row>
    <row r="236" spans="5:20">
      <c r="E236" s="17"/>
      <c r="F236" s="17"/>
      <c r="G236" s="17"/>
      <c r="H236" s="17"/>
      <c r="I236" s="17"/>
      <c r="J236" s="17"/>
      <c r="K236" s="17"/>
      <c r="L236" s="17"/>
      <c r="M236" s="256"/>
      <c r="N236" s="17"/>
      <c r="O236" s="17"/>
      <c r="P236" s="17"/>
      <c r="Q236" s="17"/>
      <c r="R236" s="256"/>
      <c r="T236" s="17"/>
    </row>
    <row r="237" spans="5:20">
      <c r="E237" s="17"/>
      <c r="F237" s="17"/>
      <c r="G237" s="17"/>
      <c r="H237" s="17"/>
      <c r="I237" s="17"/>
      <c r="J237" s="17"/>
      <c r="K237" s="17"/>
      <c r="L237" s="17"/>
      <c r="M237" s="256"/>
      <c r="N237" s="17"/>
      <c r="O237" s="17"/>
      <c r="P237" s="17"/>
      <c r="Q237" s="17"/>
      <c r="R237" s="256"/>
      <c r="T237" s="17"/>
    </row>
    <row r="238" spans="5:20">
      <c r="E238" s="17"/>
      <c r="F238" s="17"/>
      <c r="G238" s="17"/>
      <c r="H238" s="17"/>
      <c r="I238" s="17"/>
      <c r="J238" s="17"/>
      <c r="K238" s="17"/>
      <c r="L238" s="17"/>
      <c r="M238" s="256"/>
      <c r="N238" s="17"/>
      <c r="O238" s="17"/>
      <c r="P238" s="17"/>
      <c r="Q238" s="17"/>
      <c r="R238" s="256"/>
      <c r="T238" s="17"/>
    </row>
    <row r="239" spans="5:20">
      <c r="E239" s="17"/>
      <c r="F239" s="17"/>
      <c r="G239" s="17"/>
      <c r="H239" s="17"/>
      <c r="I239" s="17"/>
      <c r="J239" s="17"/>
      <c r="K239" s="17"/>
      <c r="L239" s="17"/>
      <c r="M239" s="256"/>
      <c r="N239" s="17"/>
      <c r="O239" s="17"/>
      <c r="P239" s="17"/>
      <c r="Q239" s="17"/>
      <c r="R239" s="256"/>
      <c r="T239" s="17"/>
    </row>
    <row r="240" spans="5:20">
      <c r="E240" s="17"/>
      <c r="F240" s="17"/>
      <c r="G240" s="17"/>
      <c r="H240" s="17"/>
      <c r="I240" s="17"/>
      <c r="J240" s="17"/>
      <c r="K240" s="17"/>
      <c r="L240" s="17"/>
      <c r="M240" s="256"/>
      <c r="N240" s="17"/>
      <c r="O240" s="17"/>
      <c r="P240" s="17"/>
      <c r="Q240" s="17"/>
      <c r="R240" s="256"/>
      <c r="T240" s="17"/>
    </row>
    <row r="241" spans="5:20">
      <c r="E241" s="17"/>
      <c r="F241" s="17"/>
      <c r="G241" s="17"/>
      <c r="H241" s="17"/>
      <c r="I241" s="17"/>
      <c r="J241" s="17"/>
      <c r="K241" s="17"/>
      <c r="L241" s="17"/>
      <c r="M241" s="256"/>
      <c r="N241" s="17"/>
      <c r="O241" s="17"/>
      <c r="P241" s="17"/>
      <c r="Q241" s="17"/>
      <c r="R241" s="256"/>
      <c r="T241" s="17"/>
    </row>
  </sheetData>
  <phoneticPr fontId="0" type="noConversion"/>
  <pageMargins left="0.36" right="0.5" top="0.5" bottom="0.5" header="0" footer="0"/>
  <pageSetup scale="55" orientation="landscape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  <pageSetUpPr fitToPage="1"/>
  </sheetPr>
  <dimension ref="A1:L89"/>
  <sheetViews>
    <sheetView zoomScaleNormal="100" workbookViewId="0">
      <pane xSplit="1" ySplit="4" topLeftCell="B65" activePane="bottomRight" state="frozen"/>
      <selection activeCell="I46" sqref="I46"/>
      <selection pane="topRight" activeCell="I46" sqref="I46"/>
      <selection pane="bottomLeft" activeCell="I46" sqref="I46"/>
      <selection pane="bottomRight" activeCell="I46" sqref="I46"/>
    </sheetView>
  </sheetViews>
  <sheetFormatPr defaultColWidth="9.33203125" defaultRowHeight="15"/>
  <cols>
    <col min="1" max="1" width="19.33203125" style="202" customWidth="1"/>
    <col min="2" max="7" width="23.83203125" style="223" customWidth="1"/>
    <col min="8" max="8" width="15" style="202" customWidth="1"/>
    <col min="9" max="9" width="10.5" style="202" bestFit="1" customWidth="1"/>
    <col min="10" max="11" width="9.5" style="202" bestFit="1" customWidth="1"/>
    <col min="12" max="12" width="17.6640625" style="202" bestFit="1" customWidth="1"/>
    <col min="13" max="16384" width="9.33203125" style="202"/>
  </cols>
  <sheetData>
    <row r="1" spans="1:7">
      <c r="A1" s="202" t="s">
        <v>211</v>
      </c>
    </row>
    <row r="3" spans="1:7" s="204" customFormat="1" ht="15.75" thickBot="1">
      <c r="A3" s="264" t="s">
        <v>189</v>
      </c>
      <c r="B3" s="225" t="s">
        <v>123</v>
      </c>
      <c r="C3" s="225"/>
      <c r="D3" s="225"/>
      <c r="E3" s="225"/>
      <c r="F3" s="225"/>
      <c r="G3" s="225"/>
    </row>
    <row r="4" spans="1:7" s="247" customFormat="1" ht="30.75" thickBot="1">
      <c r="A4" s="266">
        <v>2013</v>
      </c>
      <c r="B4" s="245" t="s">
        <v>198</v>
      </c>
      <c r="C4" s="246" t="s">
        <v>199</v>
      </c>
      <c r="D4" s="246" t="s">
        <v>207</v>
      </c>
      <c r="E4" s="246" t="s">
        <v>197</v>
      </c>
      <c r="F4" s="246" t="s">
        <v>196</v>
      </c>
      <c r="G4" s="244" t="s">
        <v>200</v>
      </c>
    </row>
    <row r="5" spans="1:7" s="204" customFormat="1">
      <c r="A5" s="265" t="s">
        <v>179</v>
      </c>
      <c r="B5" s="267"/>
      <c r="C5" s="267"/>
      <c r="D5" s="267"/>
      <c r="E5" s="267"/>
      <c r="F5" s="267"/>
      <c r="G5" s="267"/>
    </row>
    <row r="6" spans="1:7">
      <c r="A6" s="201">
        <v>500</v>
      </c>
      <c r="B6" s="200"/>
      <c r="C6" s="200">
        <v>123268</v>
      </c>
      <c r="D6" s="200">
        <f>SUM(B6:C6)</f>
        <v>123268</v>
      </c>
      <c r="E6" s="200"/>
      <c r="F6" s="200">
        <v>1122</v>
      </c>
      <c r="G6" s="200">
        <f>SUM(D6:F6)</f>
        <v>124390</v>
      </c>
    </row>
    <row r="7" spans="1:7">
      <c r="A7" s="201">
        <v>501</v>
      </c>
      <c r="B7" s="200"/>
      <c r="C7" s="200">
        <v>794003</v>
      </c>
      <c r="D7" s="200">
        <f t="shared" ref="D7:D70" si="0">SUM(B7:C7)</f>
        <v>794003</v>
      </c>
      <c r="E7" s="200"/>
      <c r="F7" s="200"/>
      <c r="G7" s="200">
        <f t="shared" ref="G7:G70" si="1">SUM(D7:F7)</f>
        <v>794003</v>
      </c>
    </row>
    <row r="8" spans="1:7">
      <c r="A8" s="201">
        <v>502</v>
      </c>
      <c r="B8" s="200"/>
      <c r="C8" s="200">
        <v>480455</v>
      </c>
      <c r="D8" s="200">
        <f t="shared" si="0"/>
        <v>480455</v>
      </c>
      <c r="E8" s="200"/>
      <c r="F8" s="200"/>
      <c r="G8" s="200">
        <f t="shared" si="1"/>
        <v>480455</v>
      </c>
    </row>
    <row r="9" spans="1:7">
      <c r="A9" s="201">
        <v>505</v>
      </c>
      <c r="B9" s="200"/>
      <c r="C9" s="200">
        <v>465140</v>
      </c>
      <c r="D9" s="200">
        <f t="shared" si="0"/>
        <v>465140</v>
      </c>
      <c r="E9" s="200"/>
      <c r="F9" s="200"/>
      <c r="G9" s="200">
        <f t="shared" si="1"/>
        <v>465140</v>
      </c>
    </row>
    <row r="10" spans="1:7">
      <c r="A10" s="201">
        <v>506</v>
      </c>
      <c r="B10" s="200"/>
      <c r="C10" s="200">
        <v>188409</v>
      </c>
      <c r="D10" s="200">
        <f t="shared" si="0"/>
        <v>188409</v>
      </c>
      <c r="E10" s="200"/>
      <c r="F10" s="200"/>
      <c r="G10" s="200">
        <f t="shared" si="1"/>
        <v>188409</v>
      </c>
    </row>
    <row r="11" spans="1:7">
      <c r="A11" s="201">
        <v>507</v>
      </c>
      <c r="B11" s="200"/>
      <c r="C11" s="200">
        <v>-18016</v>
      </c>
      <c r="D11" s="200">
        <f t="shared" si="0"/>
        <v>-18016</v>
      </c>
      <c r="E11" s="200"/>
      <c r="F11" s="200"/>
      <c r="G11" s="200">
        <f t="shared" si="1"/>
        <v>-18016</v>
      </c>
    </row>
    <row r="12" spans="1:7">
      <c r="A12" s="201">
        <v>510</v>
      </c>
      <c r="B12" s="200"/>
      <c r="C12" s="200">
        <v>124860</v>
      </c>
      <c r="D12" s="200">
        <f t="shared" si="0"/>
        <v>124860</v>
      </c>
      <c r="E12" s="200"/>
      <c r="F12" s="200"/>
      <c r="G12" s="200">
        <f t="shared" si="1"/>
        <v>124860</v>
      </c>
    </row>
    <row r="13" spans="1:7">
      <c r="A13" s="201">
        <v>511</v>
      </c>
      <c r="B13" s="200"/>
      <c r="C13" s="200">
        <v>4763</v>
      </c>
      <c r="D13" s="200">
        <f t="shared" si="0"/>
        <v>4763</v>
      </c>
      <c r="E13" s="200"/>
      <c r="F13" s="200"/>
      <c r="G13" s="200">
        <f t="shared" si="1"/>
        <v>4763</v>
      </c>
    </row>
    <row r="14" spans="1:7">
      <c r="A14" s="201">
        <v>512</v>
      </c>
      <c r="B14" s="200"/>
      <c r="C14" s="200">
        <v>567656</v>
      </c>
      <c r="D14" s="200">
        <f t="shared" si="0"/>
        <v>567656</v>
      </c>
      <c r="E14" s="200"/>
      <c r="F14" s="200"/>
      <c r="G14" s="200">
        <f t="shared" si="1"/>
        <v>567656</v>
      </c>
    </row>
    <row r="15" spans="1:7">
      <c r="A15" s="201">
        <v>513</v>
      </c>
      <c r="B15" s="200"/>
      <c r="C15" s="200">
        <v>57804</v>
      </c>
      <c r="D15" s="200">
        <f t="shared" si="0"/>
        <v>57804</v>
      </c>
      <c r="E15" s="200"/>
      <c r="F15" s="200"/>
      <c r="G15" s="200">
        <f t="shared" si="1"/>
        <v>57804</v>
      </c>
    </row>
    <row r="16" spans="1:7">
      <c r="A16" s="201">
        <v>514</v>
      </c>
      <c r="B16" s="200"/>
      <c r="C16" s="200">
        <v>118786</v>
      </c>
      <c r="D16" s="200">
        <f t="shared" si="0"/>
        <v>118786</v>
      </c>
      <c r="E16" s="200"/>
      <c r="F16" s="200"/>
      <c r="G16" s="200">
        <f t="shared" si="1"/>
        <v>118786</v>
      </c>
    </row>
    <row r="17" spans="1:7">
      <c r="A17" s="201">
        <v>535</v>
      </c>
      <c r="B17" s="200"/>
      <c r="C17" s="200">
        <v>1114251</v>
      </c>
      <c r="D17" s="200">
        <f t="shared" si="0"/>
        <v>1114251</v>
      </c>
      <c r="E17" s="200"/>
      <c r="F17" s="200"/>
      <c r="G17" s="200">
        <f t="shared" si="1"/>
        <v>1114251</v>
      </c>
    </row>
    <row r="18" spans="1:7">
      <c r="A18" s="201">
        <v>536</v>
      </c>
      <c r="B18" s="200"/>
      <c r="C18" s="200">
        <v>39716</v>
      </c>
      <c r="D18" s="200">
        <f t="shared" si="0"/>
        <v>39716</v>
      </c>
      <c r="E18" s="200"/>
      <c r="F18" s="200"/>
      <c r="G18" s="200">
        <f t="shared" si="1"/>
        <v>39716</v>
      </c>
    </row>
    <row r="19" spans="1:7">
      <c r="A19" s="201">
        <v>537</v>
      </c>
      <c r="B19" s="200"/>
      <c r="C19" s="200">
        <v>392154</v>
      </c>
      <c r="D19" s="200">
        <f t="shared" si="0"/>
        <v>392154</v>
      </c>
      <c r="E19" s="200"/>
      <c r="F19" s="200"/>
      <c r="G19" s="200">
        <f t="shared" si="1"/>
        <v>392154</v>
      </c>
    </row>
    <row r="20" spans="1:7">
      <c r="A20" s="201">
        <v>538</v>
      </c>
      <c r="B20" s="200"/>
      <c r="C20" s="200">
        <v>4156495</v>
      </c>
      <c r="D20" s="200">
        <f t="shared" si="0"/>
        <v>4156495</v>
      </c>
      <c r="E20" s="200"/>
      <c r="F20" s="200"/>
      <c r="G20" s="200">
        <f t="shared" si="1"/>
        <v>4156495</v>
      </c>
    </row>
    <row r="21" spans="1:7">
      <c r="A21" s="201">
        <v>539</v>
      </c>
      <c r="B21" s="200"/>
      <c r="C21" s="200">
        <v>88824</v>
      </c>
      <c r="D21" s="200">
        <f t="shared" si="0"/>
        <v>88824</v>
      </c>
      <c r="E21" s="200"/>
      <c r="F21" s="200"/>
      <c r="G21" s="200">
        <f t="shared" si="1"/>
        <v>88824</v>
      </c>
    </row>
    <row r="22" spans="1:7">
      <c r="A22" s="201">
        <v>541</v>
      </c>
      <c r="B22" s="200"/>
      <c r="C22" s="200">
        <v>545446</v>
      </c>
      <c r="D22" s="200">
        <f t="shared" si="0"/>
        <v>545446</v>
      </c>
      <c r="E22" s="200"/>
      <c r="F22" s="200"/>
      <c r="G22" s="200">
        <f t="shared" si="1"/>
        <v>545446</v>
      </c>
    </row>
    <row r="23" spans="1:7">
      <c r="A23" s="201">
        <v>542</v>
      </c>
      <c r="B23" s="200"/>
      <c r="C23" s="200">
        <v>158479</v>
      </c>
      <c r="D23" s="200">
        <f t="shared" si="0"/>
        <v>158479</v>
      </c>
      <c r="E23" s="200"/>
      <c r="F23" s="200"/>
      <c r="G23" s="200">
        <f t="shared" si="1"/>
        <v>158479</v>
      </c>
    </row>
    <row r="24" spans="1:7">
      <c r="A24" s="201">
        <v>543</v>
      </c>
      <c r="B24" s="200"/>
      <c r="C24" s="200">
        <v>193924</v>
      </c>
      <c r="D24" s="200">
        <f t="shared" si="0"/>
        <v>193924</v>
      </c>
      <c r="E24" s="200"/>
      <c r="F24" s="200"/>
      <c r="G24" s="200">
        <f t="shared" si="1"/>
        <v>193924</v>
      </c>
    </row>
    <row r="25" spans="1:7">
      <c r="A25" s="201">
        <v>544</v>
      </c>
      <c r="B25" s="200"/>
      <c r="C25" s="200">
        <v>1189967</v>
      </c>
      <c r="D25" s="200">
        <f t="shared" si="0"/>
        <v>1189967</v>
      </c>
      <c r="E25" s="200"/>
      <c r="F25" s="200"/>
      <c r="G25" s="200">
        <f t="shared" si="1"/>
        <v>1189967</v>
      </c>
    </row>
    <row r="26" spans="1:7">
      <c r="A26" s="201">
        <v>545</v>
      </c>
      <c r="B26" s="200"/>
      <c r="C26" s="200">
        <v>265239</v>
      </c>
      <c r="D26" s="200">
        <f t="shared" si="0"/>
        <v>265239</v>
      </c>
      <c r="E26" s="200"/>
      <c r="F26" s="200"/>
      <c r="G26" s="200">
        <f t="shared" si="1"/>
        <v>265239</v>
      </c>
    </row>
    <row r="27" spans="1:7">
      <c r="A27" s="201">
        <v>546</v>
      </c>
      <c r="B27" s="200"/>
      <c r="C27" s="200">
        <v>102758</v>
      </c>
      <c r="D27" s="200">
        <f t="shared" si="0"/>
        <v>102758</v>
      </c>
      <c r="E27" s="200"/>
      <c r="F27" s="200"/>
      <c r="G27" s="200">
        <f t="shared" si="1"/>
        <v>102758</v>
      </c>
    </row>
    <row r="28" spans="1:7">
      <c r="A28" s="201">
        <v>548</v>
      </c>
      <c r="B28" s="200"/>
      <c r="C28" s="200">
        <v>156449</v>
      </c>
      <c r="D28" s="200">
        <f t="shared" si="0"/>
        <v>156449</v>
      </c>
      <c r="E28" s="200"/>
      <c r="F28" s="200"/>
      <c r="G28" s="200">
        <f t="shared" si="1"/>
        <v>156449</v>
      </c>
    </row>
    <row r="29" spans="1:7">
      <c r="A29" s="201">
        <v>549</v>
      </c>
      <c r="B29" s="200"/>
      <c r="C29" s="200">
        <v>18783</v>
      </c>
      <c r="D29" s="200">
        <f t="shared" si="0"/>
        <v>18783</v>
      </c>
      <c r="E29" s="200"/>
      <c r="F29" s="200"/>
      <c r="G29" s="200">
        <f t="shared" si="1"/>
        <v>18783</v>
      </c>
    </row>
    <row r="30" spans="1:7">
      <c r="A30" s="201">
        <v>551</v>
      </c>
      <c r="B30" s="200"/>
      <c r="C30" s="200">
        <v>254245</v>
      </c>
      <c r="D30" s="200">
        <f t="shared" si="0"/>
        <v>254245</v>
      </c>
      <c r="E30" s="200"/>
      <c r="F30" s="200"/>
      <c r="G30" s="200">
        <f t="shared" si="1"/>
        <v>254245</v>
      </c>
    </row>
    <row r="31" spans="1:7">
      <c r="A31" s="201">
        <v>552</v>
      </c>
      <c r="B31" s="200"/>
      <c r="C31" s="200">
        <v>381</v>
      </c>
      <c r="D31" s="200">
        <f t="shared" si="0"/>
        <v>381</v>
      </c>
      <c r="E31" s="200"/>
      <c r="F31" s="200"/>
      <c r="G31" s="200">
        <f t="shared" si="1"/>
        <v>381</v>
      </c>
    </row>
    <row r="32" spans="1:7">
      <c r="A32" s="201">
        <v>553</v>
      </c>
      <c r="B32" s="200"/>
      <c r="C32" s="200">
        <v>249287</v>
      </c>
      <c r="D32" s="200">
        <f t="shared" si="0"/>
        <v>249287</v>
      </c>
      <c r="E32" s="200"/>
      <c r="F32" s="200">
        <v>59978</v>
      </c>
      <c r="G32" s="200">
        <f t="shared" si="1"/>
        <v>309265</v>
      </c>
    </row>
    <row r="33" spans="1:9">
      <c r="A33" s="201">
        <v>554</v>
      </c>
      <c r="B33" s="200"/>
      <c r="C33" s="200">
        <v>33121</v>
      </c>
      <c r="D33" s="200">
        <f t="shared" si="0"/>
        <v>33121</v>
      </c>
      <c r="E33" s="200"/>
      <c r="F33" s="200"/>
      <c r="G33" s="200">
        <f t="shared" si="1"/>
        <v>33121</v>
      </c>
      <c r="H33" s="216"/>
      <c r="I33" s="203"/>
    </row>
    <row r="34" spans="1:9">
      <c r="A34" s="201">
        <v>556</v>
      </c>
      <c r="B34" s="200"/>
      <c r="C34" s="200">
        <v>397767</v>
      </c>
      <c r="D34" s="200">
        <f t="shared" si="0"/>
        <v>397767</v>
      </c>
      <c r="E34" s="200"/>
      <c r="F34" s="200"/>
      <c r="G34" s="200">
        <f t="shared" si="1"/>
        <v>397767</v>
      </c>
      <c r="H34" s="216"/>
      <c r="I34" s="203"/>
    </row>
    <row r="35" spans="1:9">
      <c r="A35" s="201">
        <v>557</v>
      </c>
      <c r="B35" s="200"/>
      <c r="C35" s="200">
        <v>3341499</v>
      </c>
      <c r="D35" s="200">
        <f t="shared" si="0"/>
        <v>3341499</v>
      </c>
      <c r="E35" s="200"/>
      <c r="F35" s="200"/>
      <c r="G35" s="200">
        <f t="shared" si="1"/>
        <v>3341499</v>
      </c>
    </row>
    <row r="36" spans="1:9">
      <c r="A36" s="201">
        <v>560</v>
      </c>
      <c r="B36" s="200"/>
      <c r="C36" s="200">
        <v>1080425</v>
      </c>
      <c r="D36" s="200">
        <f t="shared" si="0"/>
        <v>1080425</v>
      </c>
      <c r="E36" s="200"/>
      <c r="F36" s="200"/>
      <c r="G36" s="200">
        <f t="shared" si="1"/>
        <v>1080425</v>
      </c>
    </row>
    <row r="37" spans="1:9">
      <c r="A37" s="201">
        <v>561</v>
      </c>
      <c r="B37" s="200"/>
      <c r="C37" s="200">
        <v>3431</v>
      </c>
      <c r="D37" s="200">
        <f t="shared" si="0"/>
        <v>3431</v>
      </c>
      <c r="E37" s="200"/>
      <c r="F37" s="200"/>
      <c r="G37" s="200">
        <f t="shared" si="1"/>
        <v>3431</v>
      </c>
    </row>
    <row r="38" spans="1:9">
      <c r="A38" s="201">
        <v>561</v>
      </c>
      <c r="B38" s="200"/>
      <c r="C38" s="200">
        <v>41947</v>
      </c>
      <c r="D38" s="200">
        <f t="shared" si="0"/>
        <v>41947</v>
      </c>
      <c r="E38" s="200"/>
      <c r="F38" s="200"/>
      <c r="G38" s="200">
        <f t="shared" si="1"/>
        <v>41947</v>
      </c>
    </row>
    <row r="39" spans="1:9">
      <c r="A39" s="201">
        <v>561</v>
      </c>
      <c r="B39" s="200"/>
      <c r="C39" s="200">
        <v>759435</v>
      </c>
      <c r="D39" s="200">
        <f t="shared" si="0"/>
        <v>759435</v>
      </c>
      <c r="E39" s="200"/>
      <c r="F39" s="200"/>
      <c r="G39" s="200">
        <f t="shared" si="1"/>
        <v>759435</v>
      </c>
    </row>
    <row r="40" spans="1:9">
      <c r="A40" s="201">
        <v>561</v>
      </c>
      <c r="B40" s="200"/>
      <c r="C40" s="200">
        <v>705515</v>
      </c>
      <c r="D40" s="200">
        <f t="shared" si="0"/>
        <v>705515</v>
      </c>
      <c r="E40" s="200"/>
      <c r="F40" s="200"/>
      <c r="G40" s="200">
        <f t="shared" si="1"/>
        <v>705515</v>
      </c>
    </row>
    <row r="41" spans="1:9">
      <c r="A41" s="201">
        <v>562</v>
      </c>
      <c r="B41" s="200"/>
      <c r="C41" s="200">
        <v>162869</v>
      </c>
      <c r="D41" s="200">
        <f t="shared" si="0"/>
        <v>162869</v>
      </c>
      <c r="E41" s="200"/>
      <c r="F41" s="200"/>
      <c r="G41" s="200">
        <f t="shared" si="1"/>
        <v>162869</v>
      </c>
    </row>
    <row r="42" spans="1:9">
      <c r="A42" s="201">
        <v>563</v>
      </c>
      <c r="B42" s="200"/>
      <c r="C42" s="200">
        <v>62822</v>
      </c>
      <c r="D42" s="200">
        <f t="shared" si="0"/>
        <v>62822</v>
      </c>
      <c r="E42" s="200"/>
      <c r="F42" s="200"/>
      <c r="G42" s="200">
        <f t="shared" si="1"/>
        <v>62822</v>
      </c>
    </row>
    <row r="43" spans="1:9">
      <c r="A43" s="201">
        <v>566</v>
      </c>
      <c r="B43" s="200"/>
      <c r="C43" s="200">
        <v>431165</v>
      </c>
      <c r="D43" s="200">
        <f t="shared" si="0"/>
        <v>431165</v>
      </c>
      <c r="E43" s="200"/>
      <c r="F43" s="200"/>
      <c r="G43" s="200">
        <f t="shared" si="1"/>
        <v>431165</v>
      </c>
    </row>
    <row r="44" spans="1:9">
      <c r="A44" s="201">
        <v>567</v>
      </c>
      <c r="B44" s="200"/>
      <c r="C44" s="200">
        <v>20513</v>
      </c>
      <c r="D44" s="200">
        <f t="shared" si="0"/>
        <v>20513</v>
      </c>
      <c r="E44" s="200"/>
      <c r="F44" s="200"/>
      <c r="G44" s="200">
        <f t="shared" si="1"/>
        <v>20513</v>
      </c>
    </row>
    <row r="45" spans="1:9">
      <c r="A45" s="201">
        <v>568</v>
      </c>
      <c r="B45" s="200"/>
      <c r="C45" s="200">
        <v>434179</v>
      </c>
      <c r="D45" s="200">
        <f t="shared" si="0"/>
        <v>434179</v>
      </c>
      <c r="E45" s="200">
        <v>305</v>
      </c>
      <c r="F45" s="200"/>
      <c r="G45" s="200">
        <f t="shared" si="1"/>
        <v>434484</v>
      </c>
    </row>
    <row r="46" spans="1:9">
      <c r="A46" s="201">
        <v>569</v>
      </c>
      <c r="B46" s="200"/>
      <c r="C46" s="200">
        <v>262460</v>
      </c>
      <c r="D46" s="200">
        <f t="shared" si="0"/>
        <v>262460</v>
      </c>
      <c r="E46" s="200">
        <v>3313</v>
      </c>
      <c r="F46" s="200">
        <v>1368</v>
      </c>
      <c r="G46" s="200">
        <f t="shared" si="1"/>
        <v>267141</v>
      </c>
    </row>
    <row r="47" spans="1:9">
      <c r="A47" s="201">
        <v>570</v>
      </c>
      <c r="B47" s="200"/>
      <c r="C47" s="200">
        <v>632486</v>
      </c>
      <c r="D47" s="200">
        <f t="shared" si="0"/>
        <v>632486</v>
      </c>
      <c r="E47" s="200">
        <v>638</v>
      </c>
      <c r="F47" s="200">
        <v>7539</v>
      </c>
      <c r="G47" s="200">
        <f t="shared" si="1"/>
        <v>640663</v>
      </c>
    </row>
    <row r="48" spans="1:9">
      <c r="A48" s="201">
        <v>571</v>
      </c>
      <c r="B48" s="200"/>
      <c r="C48" s="200">
        <v>36310</v>
      </c>
      <c r="D48" s="200">
        <f t="shared" si="0"/>
        <v>36310</v>
      </c>
      <c r="E48" s="200">
        <v>814</v>
      </c>
      <c r="F48" s="200">
        <v>1071</v>
      </c>
      <c r="G48" s="200">
        <f t="shared" si="1"/>
        <v>38195</v>
      </c>
    </row>
    <row r="49" spans="1:7">
      <c r="A49" s="201">
        <v>572</v>
      </c>
      <c r="B49" s="200"/>
      <c r="C49" s="200">
        <v>4367</v>
      </c>
      <c r="D49" s="200">
        <f t="shared" si="0"/>
        <v>4367</v>
      </c>
      <c r="E49" s="200">
        <v>201</v>
      </c>
      <c r="F49" s="200"/>
      <c r="G49" s="200">
        <f t="shared" si="1"/>
        <v>4568</v>
      </c>
    </row>
    <row r="50" spans="1:7">
      <c r="A50" s="201">
        <v>573</v>
      </c>
      <c r="B50" s="200"/>
      <c r="C50" s="200">
        <v>24786</v>
      </c>
      <c r="D50" s="200">
        <f t="shared" si="0"/>
        <v>24786</v>
      </c>
      <c r="E50" s="200"/>
      <c r="F50" s="200">
        <v>2064</v>
      </c>
      <c r="G50" s="200">
        <f t="shared" si="1"/>
        <v>26850</v>
      </c>
    </row>
    <row r="51" spans="1:7">
      <c r="A51" s="201">
        <v>580</v>
      </c>
      <c r="B51" s="200"/>
      <c r="C51" s="200">
        <v>1659407</v>
      </c>
      <c r="D51" s="200">
        <f t="shared" si="0"/>
        <v>1659407</v>
      </c>
      <c r="E51" s="200">
        <v>230110</v>
      </c>
      <c r="F51" s="200">
        <v>496453</v>
      </c>
      <c r="G51" s="200">
        <f t="shared" si="1"/>
        <v>2385970</v>
      </c>
    </row>
    <row r="52" spans="1:7">
      <c r="A52" s="201">
        <v>582</v>
      </c>
      <c r="B52" s="200"/>
      <c r="C52" s="200">
        <v>36950</v>
      </c>
      <c r="D52" s="200">
        <f t="shared" si="0"/>
        <v>36950</v>
      </c>
      <c r="E52" s="200">
        <v>142348</v>
      </c>
      <c r="F52" s="200">
        <v>146682</v>
      </c>
      <c r="G52" s="200">
        <f t="shared" si="1"/>
        <v>325980</v>
      </c>
    </row>
    <row r="53" spans="1:7">
      <c r="A53" s="201">
        <v>583</v>
      </c>
      <c r="B53" s="200"/>
      <c r="C53" s="200">
        <v>287462</v>
      </c>
      <c r="D53" s="200">
        <f t="shared" si="0"/>
        <v>287462</v>
      </c>
      <c r="E53" s="200">
        <v>231281</v>
      </c>
      <c r="F53" s="200">
        <v>440017</v>
      </c>
      <c r="G53" s="200">
        <f t="shared" si="1"/>
        <v>958760</v>
      </c>
    </row>
    <row r="54" spans="1:7">
      <c r="A54" s="201">
        <v>584</v>
      </c>
      <c r="B54" s="200"/>
      <c r="C54" s="200"/>
      <c r="D54" s="200">
        <f t="shared" si="0"/>
        <v>0</v>
      </c>
      <c r="E54" s="200">
        <v>162675</v>
      </c>
      <c r="F54" s="200">
        <v>385422</v>
      </c>
      <c r="G54" s="200">
        <f t="shared" si="1"/>
        <v>548097</v>
      </c>
    </row>
    <row r="55" spans="1:7">
      <c r="A55" s="201">
        <v>584</v>
      </c>
      <c r="B55" s="200"/>
      <c r="C55" s="200"/>
      <c r="D55" s="200">
        <f t="shared" si="0"/>
        <v>0</v>
      </c>
      <c r="E55" s="200"/>
      <c r="F55" s="200">
        <v>-100</v>
      </c>
      <c r="G55" s="200">
        <f t="shared" si="1"/>
        <v>-100</v>
      </c>
    </row>
    <row r="56" spans="1:7">
      <c r="A56" s="201">
        <v>585</v>
      </c>
      <c r="B56" s="200"/>
      <c r="C56" s="200"/>
      <c r="D56" s="200">
        <f t="shared" si="0"/>
        <v>0</v>
      </c>
      <c r="E56" s="200">
        <v>8308</v>
      </c>
      <c r="F56" s="200">
        <v>6729</v>
      </c>
      <c r="G56" s="200">
        <f t="shared" si="1"/>
        <v>15037</v>
      </c>
    </row>
    <row r="57" spans="1:7">
      <c r="A57" s="201">
        <v>586</v>
      </c>
      <c r="B57" s="200"/>
      <c r="C57" s="200">
        <v>30315</v>
      </c>
      <c r="D57" s="200">
        <f t="shared" si="0"/>
        <v>30315</v>
      </c>
      <c r="E57" s="200">
        <v>193657</v>
      </c>
      <c r="F57" s="200">
        <v>830593</v>
      </c>
      <c r="G57" s="200">
        <f t="shared" si="1"/>
        <v>1054565</v>
      </c>
    </row>
    <row r="58" spans="1:7">
      <c r="A58" s="201">
        <v>587</v>
      </c>
      <c r="B58" s="200"/>
      <c r="C58" s="200">
        <v>77119</v>
      </c>
      <c r="D58" s="200">
        <f t="shared" si="0"/>
        <v>77119</v>
      </c>
      <c r="E58" s="200">
        <v>144222</v>
      </c>
      <c r="F58" s="200">
        <v>169924</v>
      </c>
      <c r="G58" s="200">
        <f t="shared" si="1"/>
        <v>391265</v>
      </c>
    </row>
    <row r="59" spans="1:7">
      <c r="A59" s="201">
        <v>588</v>
      </c>
      <c r="B59" s="200"/>
      <c r="C59" s="200">
        <v>1897962</v>
      </c>
      <c r="D59" s="200">
        <f t="shared" si="0"/>
        <v>1897962</v>
      </c>
      <c r="E59" s="200">
        <v>867121</v>
      </c>
      <c r="F59" s="200">
        <v>1531335</v>
      </c>
      <c r="G59" s="200">
        <f t="shared" si="1"/>
        <v>4296418</v>
      </c>
    </row>
    <row r="60" spans="1:7">
      <c r="A60" s="201">
        <v>589</v>
      </c>
      <c r="B60" s="200"/>
      <c r="C60" s="200">
        <v>17537</v>
      </c>
      <c r="D60" s="200">
        <f t="shared" si="0"/>
        <v>17537</v>
      </c>
      <c r="E60" s="200"/>
      <c r="F60" s="200">
        <v>160</v>
      </c>
      <c r="G60" s="200">
        <f t="shared" si="1"/>
        <v>17697</v>
      </c>
    </row>
    <row r="61" spans="1:7">
      <c r="A61" s="201">
        <v>590</v>
      </c>
      <c r="B61" s="200"/>
      <c r="C61" s="200">
        <v>436525</v>
      </c>
      <c r="D61" s="200">
        <f t="shared" si="0"/>
        <v>436525</v>
      </c>
      <c r="E61" s="200">
        <v>27748</v>
      </c>
      <c r="F61" s="200">
        <v>45129</v>
      </c>
      <c r="G61" s="200">
        <f t="shared" si="1"/>
        <v>509402</v>
      </c>
    </row>
    <row r="62" spans="1:7">
      <c r="A62" s="201">
        <v>591</v>
      </c>
      <c r="B62" s="200"/>
      <c r="C62" s="200"/>
      <c r="D62" s="200">
        <f t="shared" si="0"/>
        <v>0</v>
      </c>
      <c r="E62" s="200">
        <v>60098</v>
      </c>
      <c r="F62" s="200">
        <v>107275</v>
      </c>
      <c r="G62" s="200">
        <f t="shared" si="1"/>
        <v>167373</v>
      </c>
    </row>
    <row r="63" spans="1:7">
      <c r="A63" s="201">
        <v>592</v>
      </c>
      <c r="B63" s="200"/>
      <c r="C63" s="200">
        <v>48134</v>
      </c>
      <c r="D63" s="200">
        <f t="shared" si="0"/>
        <v>48134</v>
      </c>
      <c r="E63" s="200">
        <v>95896</v>
      </c>
      <c r="F63" s="200">
        <v>331247</v>
      </c>
      <c r="G63" s="200">
        <f t="shared" si="1"/>
        <v>475277</v>
      </c>
    </row>
    <row r="64" spans="1:7">
      <c r="A64" s="201">
        <v>593</v>
      </c>
      <c r="B64" s="200"/>
      <c r="C64" s="200"/>
      <c r="D64" s="200">
        <f t="shared" si="0"/>
        <v>0</v>
      </c>
      <c r="E64" s="200">
        <v>517628</v>
      </c>
      <c r="F64" s="200">
        <v>983860</v>
      </c>
      <c r="G64" s="200">
        <f t="shared" si="1"/>
        <v>1501488</v>
      </c>
    </row>
    <row r="65" spans="1:12">
      <c r="A65" s="201">
        <v>594</v>
      </c>
      <c r="B65" s="200"/>
      <c r="C65" s="200"/>
      <c r="D65" s="200">
        <f t="shared" si="0"/>
        <v>0</v>
      </c>
      <c r="E65" s="200">
        <v>181546</v>
      </c>
      <c r="F65" s="200">
        <v>402243</v>
      </c>
      <c r="G65" s="200">
        <f t="shared" si="1"/>
        <v>583789</v>
      </c>
    </row>
    <row r="66" spans="1:12">
      <c r="A66" s="201">
        <v>595</v>
      </c>
      <c r="B66" s="200"/>
      <c r="C66" s="200">
        <v>194456</v>
      </c>
      <c r="D66" s="200">
        <f t="shared" si="0"/>
        <v>194456</v>
      </c>
      <c r="E66" s="200">
        <v>56763</v>
      </c>
      <c r="F66" s="200">
        <v>162843</v>
      </c>
      <c r="G66" s="200">
        <f t="shared" si="1"/>
        <v>414062</v>
      </c>
    </row>
    <row r="67" spans="1:12">
      <c r="A67" s="201">
        <v>596</v>
      </c>
      <c r="B67" s="200"/>
      <c r="C67" s="200"/>
      <c r="D67" s="200">
        <f t="shared" si="0"/>
        <v>0</v>
      </c>
      <c r="E67" s="200">
        <v>103931</v>
      </c>
      <c r="F67" s="200">
        <v>234206</v>
      </c>
      <c r="G67" s="200">
        <f t="shared" si="1"/>
        <v>338137</v>
      </c>
    </row>
    <row r="68" spans="1:12">
      <c r="A68" s="201">
        <v>597</v>
      </c>
      <c r="B68" s="200"/>
      <c r="C68" s="200"/>
      <c r="D68" s="200">
        <f t="shared" si="0"/>
        <v>0</v>
      </c>
      <c r="E68" s="200">
        <v>4776</v>
      </c>
      <c r="F68" s="200">
        <v>8414</v>
      </c>
      <c r="G68" s="200">
        <f t="shared" si="1"/>
        <v>13190</v>
      </c>
    </row>
    <row r="69" spans="1:12">
      <c r="A69" s="201">
        <v>598</v>
      </c>
      <c r="B69" s="200"/>
      <c r="C69" s="200">
        <v>56539</v>
      </c>
      <c r="D69" s="200">
        <f t="shared" si="0"/>
        <v>56539</v>
      </c>
      <c r="E69" s="200">
        <v>43898</v>
      </c>
      <c r="F69" s="200">
        <v>130973</v>
      </c>
      <c r="G69" s="200">
        <f t="shared" si="1"/>
        <v>231410</v>
      </c>
    </row>
    <row r="70" spans="1:12">
      <c r="A70" s="201">
        <v>901</v>
      </c>
      <c r="B70" s="200">
        <v>209106</v>
      </c>
      <c r="C70" s="200"/>
      <c r="D70" s="200">
        <f t="shared" si="0"/>
        <v>209106</v>
      </c>
      <c r="E70" s="200"/>
      <c r="F70" s="200"/>
      <c r="G70" s="200">
        <f t="shared" si="1"/>
        <v>209106</v>
      </c>
    </row>
    <row r="71" spans="1:12">
      <c r="A71" s="201">
        <v>902</v>
      </c>
      <c r="B71" s="200"/>
      <c r="C71" s="200">
        <v>107360</v>
      </c>
      <c r="D71" s="200">
        <f t="shared" ref="D71:D83" si="2">SUM(B71:C71)</f>
        <v>107360</v>
      </c>
      <c r="E71" s="200">
        <v>141291</v>
      </c>
      <c r="F71" s="200">
        <v>1370414</v>
      </c>
      <c r="G71" s="200">
        <f t="shared" ref="G71:G83" si="3">SUM(D71:F71)</f>
        <v>1619065</v>
      </c>
    </row>
    <row r="72" spans="1:12">
      <c r="A72" s="201">
        <v>903</v>
      </c>
      <c r="B72" s="200">
        <v>3556023</v>
      </c>
      <c r="C72" s="200">
        <v>3566</v>
      </c>
      <c r="D72" s="200">
        <f t="shared" si="2"/>
        <v>3559589</v>
      </c>
      <c r="E72" s="200">
        <v>227449</v>
      </c>
      <c r="F72" s="200">
        <v>433756</v>
      </c>
      <c r="G72" s="200">
        <f t="shared" si="3"/>
        <v>4220794</v>
      </c>
    </row>
    <row r="73" spans="1:12">
      <c r="A73" s="201">
        <v>905</v>
      </c>
      <c r="B73" s="200">
        <v>109788</v>
      </c>
      <c r="C73" s="200"/>
      <c r="D73" s="200">
        <f t="shared" si="2"/>
        <v>109788</v>
      </c>
      <c r="E73" s="200"/>
      <c r="F73" s="200"/>
      <c r="G73" s="200">
        <f t="shared" si="3"/>
        <v>109788</v>
      </c>
      <c r="I73" s="215"/>
      <c r="J73" s="215"/>
      <c r="K73" s="215"/>
      <c r="L73" s="226"/>
    </row>
    <row r="74" spans="1:12">
      <c r="A74" s="201">
        <v>908</v>
      </c>
      <c r="B74" s="200"/>
      <c r="C74" s="200">
        <v>212194</v>
      </c>
      <c r="D74" s="200">
        <f t="shared" si="2"/>
        <v>212194</v>
      </c>
      <c r="E74" s="200">
        <v>50595</v>
      </c>
      <c r="F74" s="200">
        <v>139732</v>
      </c>
      <c r="G74" s="200">
        <f t="shared" si="3"/>
        <v>402521</v>
      </c>
      <c r="H74" s="216"/>
      <c r="I74" s="217"/>
      <c r="J74" s="217"/>
      <c r="K74" s="217"/>
      <c r="L74" s="226"/>
    </row>
    <row r="75" spans="1:12">
      <c r="A75" s="201">
        <v>909</v>
      </c>
      <c r="B75" s="200"/>
      <c r="C75" s="200">
        <v>194357</v>
      </c>
      <c r="D75" s="200">
        <f t="shared" si="2"/>
        <v>194357</v>
      </c>
      <c r="E75" s="200"/>
      <c r="F75" s="200"/>
      <c r="G75" s="200">
        <f t="shared" si="3"/>
        <v>194357</v>
      </c>
      <c r="H75" s="216"/>
      <c r="I75" s="218"/>
      <c r="J75" s="218"/>
      <c r="K75" s="218"/>
      <c r="L75" s="226"/>
    </row>
    <row r="76" spans="1:12">
      <c r="A76" s="201">
        <v>910</v>
      </c>
      <c r="B76" s="200">
        <v>-402</v>
      </c>
      <c r="C76" s="200"/>
      <c r="D76" s="200">
        <f t="shared" si="2"/>
        <v>-402</v>
      </c>
      <c r="E76" s="200"/>
      <c r="F76" s="200"/>
      <c r="G76" s="200">
        <f t="shared" si="3"/>
        <v>-402</v>
      </c>
    </row>
    <row r="77" spans="1:12">
      <c r="A77" s="201">
        <v>920</v>
      </c>
      <c r="B77" s="200">
        <v>12785901</v>
      </c>
      <c r="C77" s="200">
        <v>1460050</v>
      </c>
      <c r="D77" s="238">
        <f>SUM(B77:C77)</f>
        <v>14245951</v>
      </c>
      <c r="E77" s="200">
        <v>83791</v>
      </c>
      <c r="F77" s="200">
        <v>171225</v>
      </c>
      <c r="G77" s="200">
        <f>SUM(D77:F77)</f>
        <v>14500967</v>
      </c>
    </row>
    <row r="78" spans="1:12">
      <c r="A78" s="201">
        <v>921</v>
      </c>
      <c r="B78" s="200">
        <v>119374</v>
      </c>
      <c r="C78" s="200">
        <v>9356</v>
      </c>
      <c r="D78" s="200">
        <f t="shared" si="2"/>
        <v>128730</v>
      </c>
      <c r="E78" s="200"/>
      <c r="F78" s="200">
        <v>15741</v>
      </c>
      <c r="G78" s="200">
        <f t="shared" si="3"/>
        <v>144471</v>
      </c>
    </row>
    <row r="79" spans="1:12">
      <c r="A79" s="201">
        <v>923</v>
      </c>
      <c r="B79" s="200">
        <v>14651</v>
      </c>
      <c r="C79" s="200">
        <v>7208</v>
      </c>
      <c r="D79" s="200">
        <f t="shared" si="2"/>
        <v>21859</v>
      </c>
      <c r="E79" s="200"/>
      <c r="F79" s="200"/>
      <c r="G79" s="200">
        <f t="shared" si="3"/>
        <v>21859</v>
      </c>
    </row>
    <row r="80" spans="1:12">
      <c r="A80" s="219">
        <v>925</v>
      </c>
      <c r="B80" s="200"/>
      <c r="C80" s="200"/>
      <c r="D80" s="200">
        <f t="shared" si="2"/>
        <v>0</v>
      </c>
      <c r="E80" s="200"/>
      <c r="F80" s="200"/>
      <c r="G80" s="200">
        <f t="shared" si="3"/>
        <v>0</v>
      </c>
    </row>
    <row r="81" spans="1:7">
      <c r="A81" s="227">
        <v>928</v>
      </c>
      <c r="B81" s="200">
        <v>381452</v>
      </c>
      <c r="C81" s="200">
        <v>48118</v>
      </c>
      <c r="D81" s="200">
        <f t="shared" si="2"/>
        <v>429570</v>
      </c>
      <c r="E81" s="200">
        <v>138916</v>
      </c>
      <c r="F81" s="200">
        <v>568190</v>
      </c>
      <c r="G81" s="200">
        <f t="shared" si="3"/>
        <v>1136676</v>
      </c>
    </row>
    <row r="82" spans="1:7">
      <c r="A82" s="201">
        <v>930</v>
      </c>
      <c r="B82" s="200">
        <v>7124</v>
      </c>
      <c r="C82" s="200">
        <v>194016</v>
      </c>
      <c r="D82" s="200">
        <f t="shared" si="2"/>
        <v>201140</v>
      </c>
      <c r="E82" s="200">
        <v>10105</v>
      </c>
      <c r="F82" s="200">
        <v>5502</v>
      </c>
      <c r="G82" s="200">
        <f t="shared" si="3"/>
        <v>216747</v>
      </c>
    </row>
    <row r="83" spans="1:7" ht="15.75" thickBot="1">
      <c r="A83" s="201">
        <v>935</v>
      </c>
      <c r="B83" s="200">
        <v>681430</v>
      </c>
      <c r="C83" s="200">
        <f>104+676631</f>
        <v>676735</v>
      </c>
      <c r="D83" s="200">
        <f t="shared" si="2"/>
        <v>1358165</v>
      </c>
      <c r="E83" s="200">
        <v>48066</v>
      </c>
      <c r="F83" s="200">
        <v>18411</v>
      </c>
      <c r="G83" s="200">
        <f t="shared" si="3"/>
        <v>1424642</v>
      </c>
    </row>
    <row r="84" spans="1:7" s="204" customFormat="1" ht="16.5" thickTop="1" thickBot="1">
      <c r="A84" s="228" t="s">
        <v>125</v>
      </c>
      <c r="B84" s="229">
        <f>SUM(B5:B83)</f>
        <v>17864447</v>
      </c>
      <c r="C84" s="229">
        <f t="shared" ref="C84:G84" si="4">SUM(C5:C83)</f>
        <v>27923989</v>
      </c>
      <c r="D84" s="229">
        <f>SUM(D6:D83)</f>
        <v>45788436</v>
      </c>
      <c r="E84" s="229">
        <f t="shared" si="4"/>
        <v>3777490</v>
      </c>
      <c r="F84" s="229">
        <f t="shared" si="4"/>
        <v>9209518</v>
      </c>
      <c r="G84" s="229">
        <f t="shared" si="4"/>
        <v>58775444</v>
      </c>
    </row>
    <row r="85" spans="1:7">
      <c r="A85" s="202" t="s">
        <v>21</v>
      </c>
      <c r="B85" s="230">
        <f>B84+C84</f>
        <v>45788436</v>
      </c>
      <c r="C85" s="230"/>
      <c r="D85" s="230"/>
      <c r="E85" s="230"/>
    </row>
    <row r="88" spans="1:7">
      <c r="A88" s="203"/>
    </row>
    <row r="89" spans="1:7">
      <c r="A89" s="203"/>
    </row>
  </sheetData>
  <phoneticPr fontId="0" type="noConversion"/>
  <pageMargins left="0.36" right="0.5" top="1" bottom="1" header="0.5" footer="0.5"/>
  <pageSetup scale="69" fitToHeight="2" orientation="landscape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83ED465A26668459AA6DC672056AAD1" ma:contentTypeVersion="104" ma:contentTypeDescription="" ma:contentTypeScope="" ma:versionID="492f3f74aa671fbc9e82ae37d22169a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2016-02-19T08:00:00+00:00</OpenedDate>
    <Date1 xmlns="dc463f71-b30c-4ab2-9473-d307f9d35888">2016-11-04T07:00:00+00:00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160228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051B8D32-DFB5-4321-A50B-5C46DA68F9F9}"/>
</file>

<file path=customXml/itemProps2.xml><?xml version="1.0" encoding="utf-8"?>
<ds:datastoreItem xmlns:ds="http://schemas.openxmlformats.org/officeDocument/2006/customXml" ds:itemID="{1B3C717B-2389-4CCA-BE41-52D02996F99F}"/>
</file>

<file path=customXml/itemProps3.xml><?xml version="1.0" encoding="utf-8"?>
<ds:datastoreItem xmlns:ds="http://schemas.openxmlformats.org/officeDocument/2006/customXml" ds:itemID="{5E728F27-AC09-4AED-A8ED-EE03AA237DCD}"/>
</file>

<file path=customXml/itemProps4.xml><?xml version="1.0" encoding="utf-8"?>
<ds:datastoreItem xmlns:ds="http://schemas.openxmlformats.org/officeDocument/2006/customXml" ds:itemID="{D74276A7-EC24-4B13-B930-0FF9279CD5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18</vt:i4>
      </vt:variant>
    </vt:vector>
  </HeadingPairs>
  <TitlesOfParts>
    <vt:vector size="28" baseType="lpstr">
      <vt:lpstr>Adjustment</vt:lpstr>
      <vt:lpstr>Pro-Forma Increases</vt:lpstr>
      <vt:lpstr>AN Electric</vt:lpstr>
      <vt:lpstr>AN Gas</vt:lpstr>
      <vt:lpstr>Washington Electric</vt:lpstr>
      <vt:lpstr>Washington Gas</vt:lpstr>
      <vt:lpstr>Idaho Electric</vt:lpstr>
      <vt:lpstr>Idaho Gas</vt:lpstr>
      <vt:lpstr>Total Electric Download</vt:lpstr>
      <vt:lpstr>Gas North Download</vt:lpstr>
      <vt:lpstr>Adjustment!Print_Area</vt:lpstr>
      <vt:lpstr>'AN Electric'!Print_Area</vt:lpstr>
      <vt:lpstr>'AN Gas'!Print_Area</vt:lpstr>
      <vt:lpstr>'Gas North Download'!Print_Area</vt:lpstr>
      <vt:lpstr>'Idaho Electric'!Print_Area</vt:lpstr>
      <vt:lpstr>'Idaho Gas'!Print_Area</vt:lpstr>
      <vt:lpstr>'Pro-Forma Increases'!Print_Area</vt:lpstr>
      <vt:lpstr>'Total Electric Download'!Print_Area</vt:lpstr>
      <vt:lpstr>'Washington Electric'!Print_Area</vt:lpstr>
      <vt:lpstr>'Washington Gas'!Print_Area</vt:lpstr>
      <vt:lpstr>Adjustment!Print_Titles</vt:lpstr>
      <vt:lpstr>'AN Electric'!Print_Titles</vt:lpstr>
      <vt:lpstr>'AN Gas'!Print_Titles</vt:lpstr>
      <vt:lpstr>'Idaho Electric'!Print_Titles</vt:lpstr>
      <vt:lpstr>'Idaho Gas'!Print_Titles</vt:lpstr>
      <vt:lpstr>'Total Electric Download'!Print_Titles</vt:lpstr>
      <vt:lpstr>'Washington Electric'!Print_Titles</vt:lpstr>
      <vt:lpstr>'Washington Gas'!Print_Titles</vt:lpstr>
    </vt:vector>
  </TitlesOfParts>
  <Company>Micron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PF - 2008 Labor&amp;Benefit.xls</dc:title>
  <dc:creator>tm</dc:creator>
  <cp:lastModifiedBy>Liz Andrews</cp:lastModifiedBy>
  <cp:lastPrinted>2016-11-02T21:14:21Z</cp:lastPrinted>
  <dcterms:created xsi:type="dcterms:W3CDTF">1998-07-15T16:25:24Z</dcterms:created>
  <dcterms:modified xsi:type="dcterms:W3CDTF">2016-11-02T21:14:22Z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0x0101006E56B4D1795A2E4DB2F0B01679ED314A00D83ED465A26668459AA6DC672056AAD1</vt:lpwstr>
  </property>
  <property fmtid="{D5CDD505-2E9C-101B-9397-08002B2CF9AE}" pid="3" name="_docset_NoMedatataSyncRequired">
    <vt:lpwstr>False</vt:lpwstr>
  </property>
</Properties>
</file>