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16" windowHeight="9960" tabRatio="719" activeTab="1"/>
  </bookViews>
  <sheets>
    <sheet name="Background" sheetId="21" r:id="rId1"/>
    <sheet name="Conservation Report" sheetId="18" r:id="rId2"/>
    <sheet name="Prior Report Data" sheetId="25" state="hidden" r:id="rId3"/>
    <sheet name="Data" sheetId="19" state="hidden" r:id="rId4"/>
  </sheets>
  <definedNames>
    <definedName name="CON_2016_Agriculture_Expend">'Conservation Report'!$D$23</definedName>
    <definedName name="CON_2016_Agriculture_MWH">'Conservation Report'!$C$23</definedName>
    <definedName name="CON_2016_Commercial_Expend">'Conservation Report'!$D$21</definedName>
    <definedName name="CON_2016_Commercial_MWH">'Conservation Report'!$C$21</definedName>
    <definedName name="CON_2016_Distribution_Expend">'Conservation Report'!$D$24</definedName>
    <definedName name="CON_2016_Distribution_MWH">'Conservation Report'!$C$24</definedName>
    <definedName name="CON_2016_Expenditures">'Conservation Report'!$D$32</definedName>
    <definedName name="CON_2016_Industrial_Expend">'Conservation Report'!$D$22</definedName>
    <definedName name="CON_2016_Industrial_MWH">'Conservation Report'!$C$22</definedName>
    <definedName name="CON_2016_MWH">'Conservation Report'!$C$32</definedName>
    <definedName name="CON_2016_NEEA_Expend">'Conservation Report'!$D$26</definedName>
    <definedName name="CON_2016_NEEA_MWH">'Conservation Report'!$C$26</definedName>
    <definedName name="CON_2016_OtherSector1_Expend">'Conservation Report'!$D$27</definedName>
    <definedName name="CON_2016_OtherSector1_MWH">'Conservation Report'!$C$27</definedName>
    <definedName name="CON_2016_OtherSector2_Expend">'Conservation Report'!$D$28</definedName>
    <definedName name="CON_2016_OtherSector2_MWH">'Conservation Report'!$C$28</definedName>
    <definedName name="CON_2016_Production_Expend">'Conservation Report'!$D$25</definedName>
    <definedName name="CON_2016_Production_MWH">'Conservation Report'!$C$25</definedName>
    <definedName name="CON_2016_Program1_Expend">'Conservation Report'!$D$30</definedName>
    <definedName name="CON_2016_Program2_Expend">'Conservation Report'!$D$31</definedName>
    <definedName name="CON_2016_Residential_Expend">'Conservation Report'!$D$20</definedName>
    <definedName name="CON_2016_Residential_MWH">'Conservation Report'!$C$20</definedName>
    <definedName name="CON_2017_Agriculture_Expend">'Conservation Report'!$G$23</definedName>
    <definedName name="CON_2017_Agriculture_MWH">'Conservation Report'!$F$23</definedName>
    <definedName name="CON_2017_Commercial_Expend">'Conservation Report'!$G$21</definedName>
    <definedName name="CON_2017_Commercial_MWH">'Conservation Report'!$F$21</definedName>
    <definedName name="CON_2017_Distribution_Expend">'Conservation Report'!$G$24</definedName>
    <definedName name="CON_2017_Distribution_MWH">'Conservation Report'!$F$24</definedName>
    <definedName name="CON_2017_Expenditures">'Conservation Report'!$G$32</definedName>
    <definedName name="CON_2017_Industrial_Expend">'Conservation Report'!$G$22</definedName>
    <definedName name="CON_2017_Industrial_MWH">'Conservation Report'!$F$22</definedName>
    <definedName name="CON_2017_MWH">'Conservation Report'!$F$32</definedName>
    <definedName name="CON_2017_NEEA_Expend">'Conservation Report'!$G$26</definedName>
    <definedName name="CON_2017_NEEA_MWH">'Conservation Report'!$F$26</definedName>
    <definedName name="CON_2017_OtherSector1_Expend">'Conservation Report'!$G$27</definedName>
    <definedName name="CON_2017_OtherSector1_MWH">'Conservation Report'!$F$27</definedName>
    <definedName name="CON_2017_OtherSector2_Expend">'Conservation Report'!$G$28</definedName>
    <definedName name="CON_2017_OtherSector2_MWH">'Conservation Report'!$F$28</definedName>
    <definedName name="CON_2017_Production_Expend">'Conservation Report'!$G$25</definedName>
    <definedName name="CON_2017_Production_MWH">'Conservation Report'!$F$25</definedName>
    <definedName name="CON_2017_Program1_Expend">'Conservation Report'!$G$30</definedName>
    <definedName name="CON_2017_Program2_Expend">'Conservation Report'!$G$31</definedName>
    <definedName name="CON_2017_Residential_Expend">'Conservation Report'!$G$20</definedName>
    <definedName name="CON_2017_Residential_MWH">'Conservation Report'!$F$20</definedName>
    <definedName name="CON_Contact_Name">'Conservation Report'!$B$7</definedName>
    <definedName name="CON_Email">'Conservation Report'!$B$9</definedName>
    <definedName name="CON_Excess_2012_13">'Conservation Report'!$G$10</definedName>
    <definedName name="CON_Excess_2014_15">'Conservation Report'!$G$11</definedName>
    <definedName name="CON_Phone">'Conservation Report'!$B$8</definedName>
    <definedName name="CON_Potential_2016_2025">'Conservation Report'!$A$15</definedName>
    <definedName name="CON_Potential_2018_2027">'Conservation Report'!$C$15</definedName>
    <definedName name="CON_Report_Date">'Conservation Report'!$B$6</definedName>
    <definedName name="CON_Target_2016_2017">'Conservation Report'!$B$15</definedName>
    <definedName name="CON_Target_2018_2019">'Conservation Report'!$D$15</definedName>
    <definedName name="CON_Utility_Name">'Conservation Report'!$B$5</definedName>
    <definedName name="OLE_LINK1" localSheetId="1">'Conservation Report'!$B$46</definedName>
    <definedName name="OLE_LINK2" localSheetId="1">'Conservation Report'!$B$50</definedName>
    <definedName name="OLE_LINK3" localSheetId="1">'Conservation Report'!$B$54</definedName>
    <definedName name="OLE_LINK4" localSheetId="1">'Conservation Report'!$B$58</definedName>
    <definedName name="_xlnm.Print_Area" localSheetId="1">'Conservation Report'!$A$1:$I$83</definedName>
    <definedName name="UtilityList">'Prior Report Data'!$A$4:$A$21</definedName>
  </definedNames>
  <calcPr calcId="145621"/>
</workbook>
</file>

<file path=xl/calcChain.xml><?xml version="1.0" encoding="utf-8"?>
<calcChain xmlns="http://schemas.openxmlformats.org/spreadsheetml/2006/main">
  <c r="G11" i="18" l="1"/>
  <c r="I8" i="18" l="1"/>
  <c r="G21" i="18" l="1"/>
  <c r="G22" i="18"/>
  <c r="F22" i="18"/>
  <c r="F21" i="18"/>
  <c r="D22" i="18"/>
  <c r="D21" i="18"/>
  <c r="C22" i="18"/>
  <c r="C21" i="18"/>
  <c r="C32" i="18" l="1"/>
  <c r="A15" i="18"/>
  <c r="B15" i="18"/>
  <c r="G8" i="18" s="1"/>
  <c r="BA2" i="19" l="1"/>
  <c r="AX2" i="19"/>
  <c r="A2" i="19" l="1"/>
  <c r="AS2" i="19" l="1"/>
  <c r="W2" i="19"/>
  <c r="E2" i="19"/>
  <c r="AZ2" i="19" l="1"/>
  <c r="AY2" i="19"/>
  <c r="AW2" i="19"/>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32" i="18" l="1"/>
  <c r="AD2" i="19" s="1"/>
  <c r="F32" i="18"/>
  <c r="AG2" i="19" s="1"/>
  <c r="N5" i="21" l="1"/>
  <c r="B34" i="18" l="1"/>
  <c r="D32" i="18" l="1"/>
  <c r="H2" i="19" s="1"/>
  <c r="G9" i="18"/>
  <c r="G13" i="18" s="1"/>
  <c r="K2" i="19" l="1"/>
</calcChain>
</file>

<file path=xl/sharedStrings.xml><?xml version="1.0" encoding="utf-8"?>
<sst xmlns="http://schemas.openxmlformats.org/spreadsheetml/2006/main" count="163" uniqueCount="153">
  <si>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</si>
  <si>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</si>
  <si>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</si>
  <si>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</si>
  <si>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</si>
  <si>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</si>
  <si>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</si>
  <si>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</si>
  <si>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</si>
  <si>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</si>
  <si>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</si>
  <si>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</si>
  <si>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</si>
  <si>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</si>
  <si>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</si>
  <si>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</si>
  <si>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</si>
  <si>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</si>
  <si>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</si>
  <si>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</si>
  <si>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</si>
  <si>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</si>
  <si>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</si>
  <si>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</si>
  <si>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</si>
  <si>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</si>
  <si>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</si>
  <si>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</si>
  <si>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</si>
  <si>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</si>
  <si>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</si>
  <si>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2016 - 2017 Planning</t>
  </si>
  <si>
    <t>2016-2025 Ten Year Potential (MWh)</t>
  </si>
  <si>
    <t>2016 - 2017 Target (MWh)</t>
  </si>
  <si>
    <t>CON_Potential_2016_2025</t>
  </si>
  <si>
    <t>CON_Target_2016_2017</t>
  </si>
  <si>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</si>
  <si>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</si>
  <si>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</si>
  <si>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</si>
  <si>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</si>
  <si>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</si>
  <si>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</si>
  <si>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</si>
  <si>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r>
      <t>Questions:</t>
    </r>
    <r>
      <rPr>
        <sz val="11"/>
        <color rgb="FF000000"/>
        <rFont val="Arial"/>
        <family val="2"/>
      </rPr>
      <t xml:space="preserve"> Glenn Blackmon, State Energy Office, (360) 725-3115, </t>
    </r>
    <r>
      <rPr>
        <b/>
        <sz val="11"/>
        <color theme="3"/>
        <rFont val="Arial"/>
        <family val="2"/>
      </rPr>
      <t>glenn.blackmon@commerce.wa.gov</t>
    </r>
  </si>
  <si>
    <r>
      <rPr>
        <sz val="12"/>
        <color theme="1"/>
        <rFont val="Arial"/>
        <family val="2"/>
      </rPr>
      <t xml:space="preserve">Energy Independence Act (I-937) </t>
    </r>
    <r>
      <rPr>
        <sz val="12"/>
        <color theme="1"/>
        <rFont val="Arial Black"/>
        <family val="2"/>
      </rPr>
      <t>Conservation Report 2017</t>
    </r>
  </si>
  <si>
    <t>2016 Achievement</t>
  </si>
  <si>
    <t>2017 Achievement</t>
  </si>
  <si>
    <t>Puget Sound Energy</t>
  </si>
  <si>
    <t>Seattle City Light</t>
  </si>
  <si>
    <t>Public Utility District No. 1 of Chelan County</t>
  </si>
  <si>
    <t>CON_2016_Agriculture_Expend</t>
  </si>
  <si>
    <t>CON_2016_Agriculture_MWH</t>
  </si>
  <si>
    <t>CON_2016_Commercial_Expend</t>
  </si>
  <si>
    <t>CON_2016_Commercial_MWH</t>
  </si>
  <si>
    <t>CON_2016_Distribution_Expend</t>
  </si>
  <si>
    <t>CON_2016_Distribution_MWH</t>
  </si>
  <si>
    <t>CON_2016_Expenditures</t>
  </si>
  <si>
    <t>CON_2016_Industrial_Expend</t>
  </si>
  <si>
    <t>CON_2016_Industrial_MWH</t>
  </si>
  <si>
    <t>CON_2016_MWH</t>
  </si>
  <si>
    <t>CON_2016_NEEA_Expend</t>
  </si>
  <si>
    <t>CON_2016_NEEA_MWH</t>
  </si>
  <si>
    <t>CON_2016_OtherSector1_Expend</t>
  </si>
  <si>
    <t>CON_2016_OtherSector1_MWH</t>
  </si>
  <si>
    <t>CON_2016_OtherSector2_Expend</t>
  </si>
  <si>
    <t>CON_2016_OtherSector2_MWH</t>
  </si>
  <si>
    <t>CON_2016_Production_Expend</t>
  </si>
  <si>
    <t>CON_2016_Production_MWH</t>
  </si>
  <si>
    <t>CON_2016_Program1_Expend</t>
  </si>
  <si>
    <t>CON_2016_Program2_Expend</t>
  </si>
  <si>
    <t>CON_2016_Residential_Expend</t>
  </si>
  <si>
    <t>CON_2016_Residential_MWH</t>
  </si>
  <si>
    <t>CON_2017_Agriculture_MWH</t>
  </si>
  <si>
    <t>CON_2017_Commercial_Expend</t>
  </si>
  <si>
    <t>CON_2017_Commercial_MWH</t>
  </si>
  <si>
    <t>CON_2017_Distribution_Expend</t>
  </si>
  <si>
    <t>CON_2017_Distribution_MWH</t>
  </si>
  <si>
    <t>CON_2017_Expenditures</t>
  </si>
  <si>
    <t>CON_2017_Industrial_Expend</t>
  </si>
  <si>
    <t>CON_2017_Industrial_MWH</t>
  </si>
  <si>
    <t>CON_2017_MWH</t>
  </si>
  <si>
    <t>CON_2017_NEEA_Expend</t>
  </si>
  <si>
    <t>CON_2017_NEEA_MWH</t>
  </si>
  <si>
    <t>CON_2017_OtherSector1_Expend</t>
  </si>
  <si>
    <t>CON_2017_OtherSector1_MWH</t>
  </si>
  <si>
    <t>CON_2017_OtherSector2_Expend</t>
  </si>
  <si>
    <t>CON_2017_OtherSector2_MWH</t>
  </si>
  <si>
    <t>CON_2017_Production_Expend</t>
  </si>
  <si>
    <t>CON_2017_Production_MWH</t>
  </si>
  <si>
    <t>CON_2017_Program1_Expend</t>
  </si>
  <si>
    <t>CON_2017_Program2_Expend</t>
  </si>
  <si>
    <t>CON_2017_Residential_Expend</t>
  </si>
  <si>
    <t>CON_2017_Residential_MWH</t>
  </si>
  <si>
    <t>CON_2017_Agriculture_Expend</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</si>
  <si>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</si>
  <si>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</si>
  <si>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</si>
  <si>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</si>
  <si>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</si>
  <si>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</si>
  <si>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</si>
  <si>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</si>
  <si>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</si>
  <si>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</si>
  <si>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</si>
  <si>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</si>
  <si>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</si>
  <si>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</si>
  <si>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</si>
  <si>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t>2018 - 2019 Planning</t>
  </si>
  <si>
    <t>2018-2027 Ten Year Potential (MWh)</t>
  </si>
  <si>
    <t>2018 - 2019 Target (MWh)</t>
  </si>
  <si>
    <t>Summary of Achievement and Targets (MWh)</t>
  </si>
  <si>
    <t>2016-2017</t>
  </si>
  <si>
    <t>2018-2019</t>
  </si>
  <si>
    <t>Biennial</t>
  </si>
  <si>
    <t xml:space="preserve">Target </t>
  </si>
  <si>
    <t>Target</t>
  </si>
  <si>
    <t>Excess from 2012-13</t>
  </si>
  <si>
    <t>Excess from 2014-15</t>
  </si>
  <si>
    <r>
      <t>Deadline:</t>
    </r>
    <r>
      <rPr>
        <sz val="11"/>
        <color rgb="FF000000"/>
        <rFont val="Arial"/>
        <family val="2"/>
      </rPr>
      <t xml:space="preserve"> June 1, 2018</t>
    </r>
  </si>
  <si>
    <r>
      <t xml:space="preserve">Energy Independence Act (I-937) </t>
    </r>
    <r>
      <rPr>
        <sz val="11"/>
        <color rgb="FF000000"/>
        <rFont val="Arial Black"/>
        <family val="2"/>
      </rPr>
      <t>Conservation Report Workbook</t>
    </r>
  </si>
  <si>
    <t>CON_Potential_2018_2027</t>
  </si>
  <si>
    <t>CON_Target_2018_2019</t>
  </si>
  <si>
    <t>(Deductions)</t>
  </si>
  <si>
    <t>Published April 5, 2018</t>
  </si>
  <si>
    <t>Excess (Deficit)</t>
  </si>
  <si>
    <t>Pilots</t>
  </si>
  <si>
    <t>Portfolio Support</t>
  </si>
  <si>
    <t>Research &amp; Compliance</t>
  </si>
  <si>
    <t>425 424-6837</t>
  </si>
  <si>
    <t>Daniel.Anderson@pse.com</t>
  </si>
  <si>
    <t>Dan Anderson, Energy Efficiency</t>
  </si>
  <si>
    <t>Decoupling Penalty Target</t>
  </si>
  <si>
    <t xml:space="preserve">5 percent above the “Total Base Savings”: </t>
  </si>
  <si>
    <t>[(Total Biennial Potential + Legacy HER) * 0.05]</t>
  </si>
  <si>
    <t>EIA Penalty Target</t>
  </si>
  <si>
    <t>PSE-specific electric conservation savings, less decoupling:</t>
  </si>
  <si>
    <t>[Total Portfolio Savings – (NEEA deemed savings + Pilots With Uncertain Savings + Decoupling Penalty Target)]</t>
  </si>
  <si>
    <t xml:space="preserve">Excess Savings </t>
  </si>
  <si>
    <t>There are two classifications of Excess Savings:</t>
  </si>
  <si>
    <t>(1) The difference of [Total Utility Conservation Achievement – Total Utility Conservation Goal]. This is the “Excess Savings” reported in the WA Department of Commerce EIA report.</t>
  </si>
  <si>
    <t>(2) The difference of [Total Portfolio Savings – (EIA Penalty Target + Decoupling Penalty Target)]. This is the “Excess Savings” that are applicable to UTC rulings of PSE’s achievement of its Penalty Targets.</t>
  </si>
  <si>
    <t>Portfolio Savings Target/Achievement</t>
  </si>
  <si>
    <t>All programs and initiatives that comprise the entire suite of Energy Efficiency services, as listed in PSE’s Exhibit 1: Savings and Budgets.</t>
  </si>
  <si>
    <t>PSE-Specific Savings</t>
  </si>
  <si>
    <t xml:space="preserve">Savings attributable to programs directly managed by PSE, and programs with savings confidence: </t>
  </si>
  <si>
    <t>[Portfolio Savings Achieved – (NEEA + Pilots with Uncertain Savings)]</t>
  </si>
  <si>
    <t>RTF Deemed</t>
  </si>
  <si>
    <t xml:space="preserve">Former reference to the RTF’s UES (Unit Energy Savings). </t>
  </si>
  <si>
    <t>Total Utility Savings</t>
  </si>
  <si>
    <t>This is the sum of PSE’s two Penalty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</si>
</sst>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b/>
      <sz val="10"/>
      <color rgb="FF000000"/>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31">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6" fillId="0" borderId="0" applyNumberFormat="0" applyFont="0" applyFill="0" applyBorder="0" applyAlignment="0" applyProtection="0">
      <alignment vertical="top"/>
      <protection locked="0"/>
    </xf>
  </cellStyleXfs>
  <cellXfs count="111">
    <xf numFmtId="0" fontId="0" fillId="0" borderId="0" xfId="0"/>
    <xf numFmtId="0" fontId="8" fillId="2" borderId="0" xfId="0" applyFont="1" applyFill="1"/>
    <xf numFmtId="0" fontId="8" fillId="2" borderId="0" xfId="0" applyFont="1" applyFill="1" applyAlignment="1">
      <alignment horizontal="right"/>
    </xf>
    <xf numFmtId="0" fontId="11" fillId="2" borderId="0" xfId="0" applyFont="1" applyFill="1" applyBorder="1" applyAlignment="1">
      <alignment horizontal="center" vertical="center" wrapText="1"/>
    </xf>
    <xf numFmtId="0" fontId="4" fillId="2" borderId="7" xfId="0" applyFont="1" applyFill="1" applyBorder="1" applyAlignment="1" applyProtection="1">
      <alignment horizontal="right"/>
    </xf>
    <xf numFmtId="0" fontId="0" fillId="0" borderId="0" xfId="0" applyNumberFormat="1"/>
    <xf numFmtId="0" fontId="16" fillId="4" borderId="0" xfId="0" applyFont="1" applyFill="1" applyBorder="1" applyAlignment="1">
      <alignment vertical="center" wrapText="1"/>
    </xf>
    <xf numFmtId="0" fontId="15" fillId="4" borderId="0" xfId="0" applyFont="1" applyFill="1" applyBorder="1" applyAlignment="1">
      <alignment vertical="center"/>
    </xf>
    <xf numFmtId="0" fontId="16" fillId="6" borderId="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8" fillId="2" borderId="0" xfId="0" applyFont="1" applyFill="1" applyProtection="1">
      <protection locked="0"/>
    </xf>
    <xf numFmtId="165" fontId="8" fillId="6" borderId="4" xfId="1" applyNumberFormat="1" applyFont="1" applyFill="1" applyBorder="1" applyAlignment="1" applyProtection="1">
      <alignment horizontal="center"/>
      <protection locked="0"/>
    </xf>
    <xf numFmtId="167" fontId="8" fillId="6" borderId="13" xfId="1" applyNumberFormat="1" applyFont="1" applyFill="1" applyBorder="1" applyAlignment="1" applyProtection="1">
      <alignment horizontal="right"/>
      <protection locked="0"/>
    </xf>
    <xf numFmtId="165" fontId="8" fillId="6" borderId="4" xfId="0" applyNumberFormat="1" applyFont="1" applyFill="1" applyBorder="1" applyAlignment="1" applyProtection="1">
      <alignment horizontal="center"/>
      <protection locked="0"/>
    </xf>
    <xf numFmtId="0" fontId="9" fillId="6" borderId="7" xfId="0" applyFont="1" applyFill="1" applyBorder="1" applyProtection="1">
      <protection locked="0"/>
    </xf>
    <xf numFmtId="0" fontId="8" fillId="2" borderId="0" xfId="0" applyFont="1" applyFill="1" applyProtection="1"/>
    <xf numFmtId="0" fontId="12" fillId="2" borderId="0" xfId="0" applyFont="1" applyFill="1" applyBorder="1" applyAlignment="1" applyProtection="1"/>
    <xf numFmtId="0" fontId="8" fillId="2" borderId="0" xfId="0" applyFont="1" applyFill="1" applyBorder="1" applyProtection="1"/>
    <xf numFmtId="0" fontId="9" fillId="2" borderId="0" xfId="0" applyFont="1" applyFill="1" applyBorder="1" applyAlignment="1" applyProtection="1"/>
    <xf numFmtId="0" fontId="9" fillId="2" borderId="0" xfId="0" applyFont="1" applyFill="1" applyBorder="1" applyAlignment="1" applyProtection="1">
      <alignment horizontal="right"/>
    </xf>
    <xf numFmtId="0" fontId="8" fillId="2" borderId="0" xfId="0" applyNumberFormat="1" applyFont="1" applyFill="1" applyProtection="1"/>
    <xf numFmtId="0" fontId="8" fillId="2" borderId="0" xfId="0" applyFont="1" applyFill="1" applyBorder="1" applyAlignment="1" applyProtection="1">
      <alignment horizontal="right"/>
    </xf>
    <xf numFmtId="0" fontId="10" fillId="2" borderId="0" xfId="0" applyFont="1" applyFill="1" applyBorder="1" applyProtection="1"/>
    <xf numFmtId="0" fontId="8" fillId="2" borderId="0" xfId="0" applyFont="1" applyFill="1" applyAlignment="1" applyProtection="1">
      <alignment horizontal="right"/>
    </xf>
    <xf numFmtId="0" fontId="8" fillId="2" borderId="0" xfId="0" applyFont="1" applyFill="1" applyAlignment="1" applyProtection="1">
      <alignment horizontal="left"/>
    </xf>
    <xf numFmtId="0" fontId="8" fillId="2" borderId="0" xfId="0" applyFont="1" applyFill="1" applyBorder="1" applyAlignment="1" applyProtection="1"/>
    <xf numFmtId="0" fontId="8" fillId="2" borderId="3" xfId="0" applyFont="1" applyFill="1" applyBorder="1" applyProtection="1"/>
    <xf numFmtId="0" fontId="9" fillId="2" borderId="4" xfId="0" applyFont="1" applyFill="1" applyBorder="1" applyAlignment="1" applyProtection="1">
      <alignment horizontal="right"/>
    </xf>
    <xf numFmtId="0" fontId="9" fillId="2" borderId="2" xfId="0" applyFont="1" applyFill="1" applyBorder="1" applyAlignment="1" applyProtection="1">
      <alignment horizontal="center" wrapText="1"/>
    </xf>
    <xf numFmtId="0" fontId="8" fillId="2" borderId="7" xfId="0" applyFont="1" applyFill="1" applyBorder="1" applyAlignment="1" applyProtection="1">
      <alignment horizontal="right"/>
    </xf>
    <xf numFmtId="167" fontId="8" fillId="2" borderId="0" xfId="0" applyNumberFormat="1" applyFont="1" applyFill="1" applyAlignment="1" applyProtection="1">
      <alignment horizontal="right"/>
    </xf>
    <xf numFmtId="164" fontId="8" fillId="3" borderId="14" xfId="0" applyNumberFormat="1" applyFont="1" applyFill="1" applyBorder="1" applyAlignment="1" applyProtection="1">
      <alignment horizontal="center"/>
    </xf>
    <xf numFmtId="164" fontId="8" fillId="3" borderId="15" xfId="0" applyNumberFormat="1" applyFont="1" applyFill="1" applyBorder="1" applyAlignment="1" applyProtection="1">
      <alignment horizontal="center"/>
    </xf>
    <xf numFmtId="0" fontId="9" fillId="2" borderId="8" xfId="0" applyFont="1" applyFill="1" applyBorder="1" applyProtection="1"/>
    <xf numFmtId="165" fontId="9" fillId="5" borderId="6" xfId="0" applyNumberFormat="1" applyFont="1" applyFill="1" applyBorder="1" applyAlignment="1" applyProtection="1">
      <alignment horizontal="center"/>
    </xf>
    <xf numFmtId="167" fontId="9" fillId="5" borderId="1" xfId="1" applyNumberFormat="1" applyFont="1" applyFill="1" applyBorder="1" applyAlignment="1" applyProtection="1">
      <alignment horizontal="right"/>
    </xf>
    <xf numFmtId="0" fontId="9" fillId="2" borderId="0" xfId="0" applyFont="1" applyFill="1" applyBorder="1" applyProtection="1"/>
    <xf numFmtId="165" fontId="9" fillId="2" borderId="0" xfId="0" applyNumberFormat="1" applyFont="1" applyFill="1" applyBorder="1" applyAlignment="1" applyProtection="1">
      <alignment horizontal="center"/>
    </xf>
    <xf numFmtId="165" fontId="9" fillId="2" borderId="0" xfId="1" applyNumberFormat="1" applyFont="1" applyFill="1" applyBorder="1" applyAlignment="1" applyProtection="1">
      <alignment horizontal="center"/>
    </xf>
    <xf numFmtId="0" fontId="9" fillId="2" borderId="0" xfId="0" applyFont="1" applyFill="1" applyAlignment="1" applyProtection="1">
      <alignment horizontal="right"/>
    </xf>
    <xf numFmtId="0" fontId="9" fillId="2" borderId="0" xfId="0" applyFont="1" applyFill="1" applyBorder="1" applyAlignment="1" applyProtection="1">
      <alignment horizontal="center"/>
    </xf>
    <xf numFmtId="0" fontId="0" fillId="0" borderId="0" xfId="0" applyAlignment="1">
      <alignment textRotation="90"/>
    </xf>
    <xf numFmtId="0" fontId="0" fillId="0" borderId="0" xfId="0" applyAlignment="1">
      <alignment horizontal="center" wrapText="1"/>
    </xf>
    <xf numFmtId="0" fontId="9" fillId="0" borderId="2" xfId="0" applyFont="1" applyFill="1" applyBorder="1" applyAlignment="1" applyProtection="1">
      <alignment horizontal="center" wrapText="1"/>
    </xf>
    <xf numFmtId="165" fontId="8" fillId="6" borderId="4" xfId="1" applyNumberFormat="1" applyFont="1" applyFill="1" applyBorder="1" applyAlignment="1" applyProtection="1">
      <alignment horizontal="center"/>
      <protection locked="0"/>
    </xf>
    <xf numFmtId="0" fontId="9" fillId="2" borderId="15" xfId="0" applyFont="1" applyFill="1" applyBorder="1" applyAlignment="1">
      <alignment horizontal="center" wrapText="1"/>
    </xf>
    <xf numFmtId="0" fontId="9" fillId="2" borderId="21" xfId="0" applyFont="1" applyFill="1" applyBorder="1" applyAlignment="1">
      <alignment horizontal="center" wrapText="1"/>
    </xf>
    <xf numFmtId="165" fontId="8" fillId="5" borderId="6" xfId="0" applyNumberFormat="1" applyFont="1" applyFill="1" applyBorder="1" applyAlignment="1">
      <alignment horizontal="center"/>
    </xf>
    <xf numFmtId="165" fontId="8" fillId="5" borderId="6" xfId="1" applyNumberFormat="1" applyFont="1" applyFill="1" applyBorder="1"/>
    <xf numFmtId="165" fontId="9" fillId="6" borderId="1" xfId="1" applyNumberFormat="1" applyFont="1" applyFill="1" applyBorder="1" applyAlignment="1">
      <alignment horizontal="right"/>
    </xf>
    <xf numFmtId="0" fontId="5" fillId="2" borderId="23" xfId="0" applyFont="1" applyFill="1" applyBorder="1" applyAlignment="1">
      <alignment horizontal="center"/>
    </xf>
    <xf numFmtId="0" fontId="8" fillId="0" borderId="23" xfId="0" applyFont="1" applyBorder="1" applyAlignment="1"/>
    <xf numFmtId="0" fontId="9" fillId="2" borderId="0" xfId="0" applyFont="1" applyFill="1" applyAlignment="1">
      <alignment horizontal="center"/>
    </xf>
    <xf numFmtId="0" fontId="4" fillId="2" borderId="0" xfId="0" applyFont="1" applyFill="1" applyAlignment="1">
      <alignment horizontal="right"/>
    </xf>
    <xf numFmtId="165" fontId="8" fillId="5" borderId="12" xfId="1" applyNumberFormat="1" applyFont="1" applyFill="1" applyBorder="1"/>
    <xf numFmtId="165" fontId="8" fillId="5" borderId="20" xfId="0" applyNumberFormat="1" applyFont="1" applyFill="1" applyBorder="1"/>
    <xf numFmtId="165" fontId="8" fillId="5" borderId="9" xfId="1" applyNumberFormat="1" applyFont="1" applyFill="1" applyBorder="1"/>
    <xf numFmtId="165" fontId="8" fillId="5" borderId="24" xfId="1" applyNumberFormat="1" applyFont="1" applyFill="1" applyBorder="1"/>
    <xf numFmtId="165" fontId="8" fillId="6" borderId="9" xfId="1" applyNumberFormat="1" applyFont="1" applyFill="1" applyBorder="1"/>
    <xf numFmtId="166" fontId="15" fillId="0" borderId="0" xfId="0" applyNumberFormat="1" applyFont="1" applyFill="1" applyBorder="1" applyAlignment="1">
      <alignment horizontal="left" vertical="center"/>
    </xf>
    <xf numFmtId="0" fontId="3" fillId="6" borderId="7" xfId="0" applyFont="1" applyFill="1" applyBorder="1" applyAlignment="1" applyProtection="1">
      <alignment vertical="center" wrapText="1"/>
      <protection locked="0"/>
    </xf>
    <xf numFmtId="0" fontId="8" fillId="2" borderId="0" xfId="0" applyFont="1" applyFill="1" applyAlignment="1" applyProtection="1">
      <alignment vertical="top"/>
      <protection locked="0"/>
    </xf>
    <xf numFmtId="0" fontId="19" fillId="0" borderId="29" xfId="0" applyFont="1" applyBorder="1" applyAlignment="1">
      <alignment horizontal="left" vertical="top" wrapText="1"/>
    </xf>
    <xf numFmtId="0" fontId="8" fillId="2" borderId="0" xfId="0" applyFont="1" applyFill="1" applyAlignment="1" applyProtection="1">
      <alignment vertical="top"/>
    </xf>
    <xf numFmtId="0" fontId="19" fillId="0" borderId="28" xfId="0" applyFont="1" applyBorder="1" applyAlignment="1">
      <alignment horizontal="left" vertical="top" wrapText="1"/>
    </xf>
    <xf numFmtId="0" fontId="20" fillId="0" borderId="28" xfId="0" applyFont="1" applyBorder="1" applyAlignment="1">
      <alignment horizontal="left" vertical="top" wrapText="1"/>
    </xf>
    <xf numFmtId="0" fontId="20" fillId="0" borderId="17" xfId="0" applyFont="1" applyBorder="1" applyAlignment="1">
      <alignment horizontal="left" vertical="top" wrapText="1"/>
    </xf>
    <xf numFmtId="0" fontId="20" fillId="0" borderId="8" xfId="0" applyFont="1" applyBorder="1" applyAlignment="1">
      <alignment horizontal="left" vertical="top" wrapText="1"/>
    </xf>
    <xf numFmtId="0" fontId="20" fillId="0" borderId="25" xfId="0" applyFont="1" applyBorder="1" applyAlignment="1">
      <alignment horizontal="left" vertical="top" wrapText="1"/>
    </xf>
    <xf numFmtId="0" fontId="20" fillId="0" borderId="5" xfId="0" applyFont="1" applyBorder="1" applyAlignment="1">
      <alignment horizontal="left" vertical="top" wrapText="1"/>
    </xf>
    <xf numFmtId="0" fontId="20" fillId="0" borderId="26" xfId="0" applyFont="1" applyBorder="1" applyAlignment="1">
      <alignment horizontal="left" vertical="top" wrapText="1"/>
    </xf>
    <xf numFmtId="0" fontId="20" fillId="0" borderId="27" xfId="0"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0" fillId="0" borderId="29" xfId="0" applyFont="1" applyBorder="1" applyAlignment="1">
      <alignment horizontal="left" vertical="top" wrapText="1"/>
    </xf>
    <xf numFmtId="0" fontId="20" fillId="0" borderId="11" xfId="0" applyFont="1" applyBorder="1" applyAlignment="1">
      <alignment horizontal="left" vertical="top" wrapText="1"/>
    </xf>
    <xf numFmtId="0" fontId="20" fillId="0" borderId="30" xfId="0" applyFont="1" applyBorder="1" applyAlignment="1">
      <alignment horizontal="left" vertical="top" wrapText="1"/>
    </xf>
    <xf numFmtId="0" fontId="2" fillId="0" borderId="25" xfId="0" applyFont="1" applyBorder="1" applyAlignment="1">
      <alignment horizontal="left" vertical="top" wrapText="1"/>
    </xf>
    <xf numFmtId="0" fontId="2" fillId="0" borderId="5"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left" vertical="top" wrapText="1"/>
    </xf>
    <xf numFmtId="0" fontId="2" fillId="0" borderId="17" xfId="0" applyFont="1" applyBorder="1" applyAlignment="1">
      <alignment horizontal="left" vertical="top" wrapText="1"/>
    </xf>
    <xf numFmtId="0" fontId="2" fillId="0" borderId="8" xfId="0" applyFont="1" applyBorder="1" applyAlignment="1">
      <alignment horizontal="left" vertical="top" wrapText="1"/>
    </xf>
    <xf numFmtId="0" fontId="19" fillId="0" borderId="25" xfId="0" applyFont="1" applyBorder="1" applyAlignment="1">
      <alignment horizontal="left" vertical="top" wrapText="1"/>
    </xf>
    <xf numFmtId="0" fontId="19" fillId="0" borderId="28" xfId="0" applyFont="1" applyBorder="1" applyAlignment="1">
      <alignment horizontal="left" vertical="top" wrapText="1"/>
    </xf>
    <xf numFmtId="0" fontId="19" fillId="0" borderId="27" xfId="0" applyFont="1" applyBorder="1" applyAlignment="1">
      <alignment horizontal="left" vertical="top" wrapText="1"/>
    </xf>
    <xf numFmtId="0" fontId="9" fillId="0" borderId="25" xfId="0" applyFont="1" applyBorder="1" applyAlignment="1">
      <alignment horizontal="justify" vertical="top" wrapText="1"/>
    </xf>
    <xf numFmtId="0" fontId="9" fillId="0" borderId="28" xfId="0" applyFont="1" applyBorder="1" applyAlignment="1">
      <alignment horizontal="justify" vertical="top" wrapText="1"/>
    </xf>
    <xf numFmtId="0" fontId="8" fillId="2" borderId="20" xfId="0" applyFont="1" applyFill="1" applyBorder="1" applyAlignment="1">
      <alignment horizontal="center"/>
    </xf>
    <xf numFmtId="0" fontId="9" fillId="2" borderId="0" xfId="0" applyFont="1" applyFill="1" applyAlignment="1" applyProtection="1">
      <alignment horizontal="left" vertical="top" wrapText="1"/>
    </xf>
    <xf numFmtId="0" fontId="9" fillId="2" borderId="5" xfId="0" applyFont="1" applyFill="1" applyBorder="1" applyAlignment="1" applyProtection="1">
      <alignment horizontal="center"/>
    </xf>
    <xf numFmtId="0" fontId="8" fillId="2" borderId="0" xfId="0" applyFont="1" applyFill="1" applyAlignment="1" applyProtection="1">
      <alignment horizontal="left" vertical="top" wrapText="1"/>
      <protection locked="0"/>
    </xf>
    <xf numFmtId="0" fontId="16" fillId="6" borderId="0"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9" fillId="5" borderId="11" xfId="0" applyFont="1" applyFill="1" applyBorder="1" applyAlignment="1" applyProtection="1">
      <alignment horizontal="center"/>
    </xf>
    <xf numFmtId="0" fontId="9" fillId="2" borderId="16" xfId="0" applyFont="1" applyFill="1" applyBorder="1" applyAlignment="1" applyProtection="1"/>
    <xf numFmtId="0" fontId="8" fillId="2" borderId="0" xfId="0" applyFont="1" applyFill="1" applyBorder="1" applyAlignment="1" applyProtection="1">
      <alignment horizontal="right" wrapText="1"/>
    </xf>
    <xf numFmtId="0" fontId="8" fillId="2" borderId="18" xfId="0" applyFont="1" applyFill="1" applyBorder="1" applyAlignment="1" applyProtection="1">
      <alignment horizontal="right" wrapText="1"/>
    </xf>
    <xf numFmtId="0" fontId="9" fillId="2" borderId="17" xfId="0" applyFont="1" applyFill="1" applyBorder="1" applyAlignment="1" applyProtection="1">
      <alignment horizontal="center"/>
    </xf>
    <xf numFmtId="0" fontId="9" fillId="0" borderId="17" xfId="0" applyFont="1" applyFill="1" applyBorder="1" applyAlignment="1" applyProtection="1">
      <alignment horizontal="center"/>
    </xf>
    <xf numFmtId="0" fontId="9" fillId="6" borderId="12" xfId="0" applyFont="1" applyFill="1" applyBorder="1" applyAlignment="1" applyProtection="1">
      <alignment horizontal="center"/>
      <protection locked="0"/>
    </xf>
    <xf numFmtId="0" fontId="9" fillId="2" borderId="17" xfId="0" applyFont="1" applyFill="1" applyBorder="1" applyAlignment="1">
      <alignment horizontal="center"/>
    </xf>
    <xf numFmtId="0" fontId="9" fillId="2" borderId="19" xfId="0" applyFont="1" applyFill="1" applyBorder="1" applyAlignment="1">
      <alignment horizontal="center"/>
    </xf>
    <xf numFmtId="0" fontId="9" fillId="2" borderId="22" xfId="0" applyFont="1" applyFill="1" applyBorder="1" applyAlignment="1">
      <alignment horizontal="center"/>
    </xf>
    <xf numFmtId="166" fontId="10" fillId="6" borderId="9" xfId="0" applyNumberFormat="1" applyFont="1" applyFill="1" applyBorder="1" applyAlignment="1" applyProtection="1">
      <alignment horizontal="left"/>
      <protection locked="0"/>
    </xf>
    <xf numFmtId="166" fontId="8" fillId="6" borderId="9" xfId="0" applyNumberFormat="1" applyFont="1" applyFill="1" applyBorder="1" applyAlignment="1" applyProtection="1">
      <alignment horizontal="left"/>
      <protection locked="0"/>
    </xf>
    <xf numFmtId="0" fontId="9" fillId="6" borderId="9" xfId="0" applyFont="1" applyFill="1" applyBorder="1" applyAlignment="1" applyProtection="1">
      <alignment horizontal="left"/>
      <protection locked="0"/>
    </xf>
    <xf numFmtId="0" fontId="8" fillId="6" borderId="9" xfId="0" applyFont="1"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7" fillId="6" borderId="10" xfId="2" applyFill="1" applyBorder="1" applyAlignment="1" applyProtection="1">
      <alignment horizontal="left"/>
      <protection locked="0"/>
    </xf>
    <xf numFmtId="0" fontId="8" fillId="6" borderId="10" xfId="0"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18</xdr:row>
      <xdr:rowOff>361950</xdr:rowOff>
    </xdr:from>
    <xdr:to>
      <xdr:col>8</xdr:col>
      <xdr:colOff>552450</xdr:colOff>
      <xdr:row>25</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36</xdr:row>
      <xdr:rowOff>352426</xdr:rowOff>
    </xdr:from>
    <xdr:to>
      <xdr:col>8</xdr:col>
      <xdr:colOff>971550</xdr:colOff>
      <xdr:row>43</xdr:row>
      <xdr:rowOff>114300</xdr:rowOff>
    </xdr:to>
    <xdr:sp macro="" textlink="">
      <xdr:nvSpPr>
        <xdr:cNvPr id="2" name="TextBox 1"/>
        <xdr:cNvSpPr txBox="1"/>
      </xdr:nvSpPr>
      <xdr:spPr>
        <a:xfrm>
          <a:off x="38100" y="7924801"/>
          <a:ext cx="8924925" cy="44195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Indicated</a:t>
          </a:r>
          <a:r>
            <a:rPr lang="en-US" sz="1100" baseline="0">
              <a:solidFill>
                <a:schemeClr val="dk1"/>
              </a:solidFill>
              <a:effectLst/>
              <a:latin typeface="+mn-lt"/>
              <a:ea typeface="+mn-ea"/>
              <a:cs typeface="+mn-cs"/>
            </a:rPr>
            <a:t> "Target"s in this EIA report represent PSE's Total Portfolio Savings. The WUTC's EIA Penalty Target (537,078 MWh) and Decoupling Penalty Target (5% of the Total Base Savings [Total Biennial Potential--as determined by the 2015 IRP's CPA of 554,132 MWh + Home Energy Reports of 5,722 MWh = 559,132 MWh] is 27,993 MWh.) are included in the Total Portfolio Savings.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PSE's 2-year 2016-2017 EIA Target of 559,854 MWh is based on its pro-rata share of its 10-year potential, as discussed in PSE's 2015 IRP.  Exhibit i of PSE's 2016-2017 Biennial Conservtion Plan also contains discussions  of its 2-year target determination. Exhibit i is also filed in the UTC Docket UE-152058. Exhibit i, with references to PSE's 2015 IRP, indicates that all cost-effective, reliable and feasible conservation measures were identififed in its Conservation Potential Assessment. The </a:t>
          </a:r>
          <a:r>
            <a:rPr lang="en-US" sz="1100">
              <a:solidFill>
                <a:schemeClr val="dk1"/>
              </a:solidFill>
              <a:effectLst/>
              <a:latin typeface="+mn-lt"/>
              <a:ea typeface="+mn-ea"/>
              <a:cs typeface="+mn-cs"/>
            </a:rPr>
            <a:t>UTC</a:t>
          </a:r>
          <a:r>
            <a:rPr lang="en-US" sz="1100" baseline="0">
              <a:solidFill>
                <a:schemeClr val="dk1"/>
              </a:solidFill>
              <a:effectLst/>
              <a:latin typeface="+mn-lt"/>
              <a:ea typeface="+mn-ea"/>
              <a:cs typeface="+mn-cs"/>
            </a:rPr>
            <a:t>, consistent with its standard practice, indicated that it is appropriate for pilot programs with uncertain savings and Northwest Energy Efficiency Alliance (NEEA) to be excluded from PSE's EIA Penalty Target.</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3) </a:t>
          </a:r>
          <a:r>
            <a:rPr lang="en-US" sz="1100">
              <a:solidFill>
                <a:schemeClr val="dk1"/>
              </a:solidFill>
              <a:effectLst/>
              <a:latin typeface="+mn-lt"/>
              <a:ea typeface="+mn-ea"/>
              <a:cs typeface="+mn-cs"/>
            </a:rPr>
            <a:t>2016 and 2017 achievement</a:t>
          </a:r>
          <a:r>
            <a:rPr lang="en-US" sz="1100" baseline="0">
              <a:solidFill>
                <a:schemeClr val="dk1"/>
              </a:solidFill>
              <a:effectLst/>
              <a:latin typeface="+mn-lt"/>
              <a:ea typeface="+mn-ea"/>
              <a:cs typeface="+mn-cs"/>
            </a:rPr>
            <a:t> figures are detailed in PSE's 2016 and 2017 Annual Reports of Energy Conservation Accomplishments, including program-specific discussions of  adaptive management  and hard-to-reach segments initiatives. The Reports are filed with the Washington Utilities and Transportation Commission ("UTC" or "Commission") in Docket UE-152058.</a:t>
          </a:r>
          <a:endParaRPr lang="en-US">
            <a:effectLst/>
          </a:endParaRPr>
        </a:p>
        <a:p>
          <a:endParaRPr lang="en-US">
            <a:effectLst/>
          </a:endParaRPr>
        </a:p>
        <a:p>
          <a:r>
            <a:rPr lang="en-US" sz="1100" baseline="0">
              <a:solidFill>
                <a:schemeClr val="dk1"/>
              </a:solidFill>
              <a:effectLst/>
              <a:latin typeface="+mn-lt"/>
              <a:ea typeface="+mn-ea"/>
              <a:cs typeface="+mn-cs"/>
            </a:rPr>
            <a:t>4) It isn't possible to attribute decoupling savings to a particular program, measure,  or time period; PSE does not calculate savings for this target on an annual basis.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5) Funding for</a:t>
          </a:r>
          <a:r>
            <a:rPr lang="en-US" sz="1100" baseline="0">
              <a:solidFill>
                <a:schemeClr val="dk1"/>
              </a:solidFill>
              <a:effectLst/>
              <a:latin typeface="+mn-lt"/>
              <a:ea typeface="+mn-ea"/>
              <a:cs typeface="+mn-cs"/>
            </a:rPr>
            <a:t> distribution and generation efficiency measures is through PSE general rate cases, per condition (9)(c) in Attachment A of Order 01 in Docket UE-152058.</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6) PSE's 2018-2019 Total Utility Conservation Goal is 520,456 MWh. Its UTC Penalty Threshold is 448,109 MWh, with a Decoupling Penalty Threshold of 23,658 MWh.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7) The below table provides PSE's savings terminology used in the 2016-2017 Biennial Conservation Report (extracted from the Glossary chapter of the Report. PSE is transitioning to updated/consistent terminology applicable to 2018-2019 savings in collaboration with WA statewide advisory groups: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C19" sqref="C19"/>
    </sheetView>
  </sheetViews>
  <sheetFormatPr defaultRowHeight="14.4" x14ac:dyDescent="0.3"/>
  <cols>
    <col min="1" max="1" width="135.109375" customWidth="1"/>
    <col min="14" max="14" width="11.6640625" customWidth="1"/>
  </cols>
  <sheetData>
    <row r="1" spans="1:14" ht="17.399999999999999" x14ac:dyDescent="0.3">
      <c r="A1" s="7" t="s">
        <v>122</v>
      </c>
    </row>
    <row r="2" spans="1:14" x14ac:dyDescent="0.3">
      <c r="A2" s="59" t="s">
        <v>126</v>
      </c>
    </row>
    <row r="3" spans="1:14" x14ac:dyDescent="0.3">
      <c r="A3" s="7"/>
      <c r="N3" s="5"/>
    </row>
    <row r="4" spans="1:14" x14ac:dyDescent="0.3">
      <c r="A4" s="6" t="s">
        <v>121</v>
      </c>
    </row>
    <row r="5" spans="1:14" x14ac:dyDescent="0.3">
      <c r="A5" s="6" t="s">
        <v>30</v>
      </c>
      <c r="N5" t="e">
        <f>IF(REN_Load_2016+REN_Load_2015&gt;0,AVERAGE(REN_Load_2016,REN_Load_2015),0)</f>
        <v>#NAME?</v>
      </c>
    </row>
    <row r="6" spans="1:14" x14ac:dyDescent="0.3">
      <c r="A6" s="6" t="s">
        <v>44</v>
      </c>
    </row>
    <row r="8" spans="1:14" x14ac:dyDescent="0.3">
      <c r="A8" s="8" t="s">
        <v>42</v>
      </c>
    </row>
    <row r="9" spans="1:14" x14ac:dyDescent="0.3">
      <c r="A9" s="9" t="s">
        <v>43</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K58"/>
  <sheetViews>
    <sheetView tabSelected="1" topLeftCell="A37" zoomScaleNormal="100" workbookViewId="0">
      <selection activeCell="A43" sqref="A43:XFD43"/>
    </sheetView>
  </sheetViews>
  <sheetFormatPr defaultColWidth="9.109375" defaultRowHeight="13.2" x14ac:dyDescent="0.25"/>
  <cols>
    <col min="1" max="1" width="16.6640625" style="15" customWidth="1"/>
    <col min="2" max="2" width="20.21875" style="15" customWidth="1"/>
    <col min="3" max="3" width="17.109375" style="15" customWidth="1"/>
    <col min="4" max="4" width="16" style="15" customWidth="1"/>
    <col min="5" max="5" width="4.44140625" style="15" customWidth="1"/>
    <col min="6" max="6" width="14.44140625" style="15" customWidth="1"/>
    <col min="7" max="7" width="15.33203125" style="15" customWidth="1"/>
    <col min="8" max="8" width="12.33203125" style="15" customWidth="1"/>
    <col min="9" max="9" width="16.109375" style="15" customWidth="1"/>
    <col min="10" max="10" width="9.109375" style="15"/>
    <col min="11" max="11" width="11.6640625" style="15" customWidth="1"/>
    <col min="12" max="16384" width="9.109375" style="15"/>
  </cols>
  <sheetData>
    <row r="1" spans="1:11" ht="13.8" x14ac:dyDescent="0.25">
      <c r="A1" s="92" t="s">
        <v>42</v>
      </c>
      <c r="B1" s="92"/>
      <c r="C1" s="92"/>
      <c r="D1" s="92"/>
      <c r="E1" s="92"/>
      <c r="F1" s="92"/>
      <c r="G1" s="92"/>
      <c r="H1" s="92"/>
      <c r="I1" s="92"/>
    </row>
    <row r="2" spans="1:11" ht="13.8" x14ac:dyDescent="0.25">
      <c r="A2" s="93" t="s">
        <v>43</v>
      </c>
      <c r="B2" s="93"/>
      <c r="C2" s="93"/>
      <c r="D2" s="93"/>
      <c r="E2" s="93"/>
      <c r="F2" s="93"/>
      <c r="G2" s="93"/>
      <c r="H2" s="93"/>
      <c r="I2" s="93"/>
    </row>
    <row r="3" spans="1:11" s="17" customFormat="1" ht="18.600000000000001" x14ac:dyDescent="0.45">
      <c r="A3" s="16" t="s">
        <v>45</v>
      </c>
    </row>
    <row r="4" spans="1:11" ht="15" customHeight="1" x14ac:dyDescent="0.25">
      <c r="A4" s="18"/>
    </row>
    <row r="5" spans="1:11" ht="14.25" customHeight="1" thickBot="1" x14ac:dyDescent="0.3">
      <c r="A5" s="19" t="s">
        <v>3</v>
      </c>
      <c r="B5" s="100" t="s">
        <v>48</v>
      </c>
      <c r="C5" s="100"/>
      <c r="D5" s="100"/>
      <c r="F5" s="103" t="s">
        <v>113</v>
      </c>
      <c r="G5" s="103"/>
      <c r="H5" s="103"/>
      <c r="I5" s="103"/>
      <c r="K5" s="20"/>
    </row>
    <row r="6" spans="1:11" ht="15" customHeight="1" x14ac:dyDescent="0.25">
      <c r="A6" s="21" t="s">
        <v>24</v>
      </c>
      <c r="B6" s="104">
        <v>43252</v>
      </c>
      <c r="C6" s="105"/>
      <c r="D6" s="105"/>
      <c r="E6" s="22"/>
      <c r="F6" s="1"/>
      <c r="G6" s="50" t="s">
        <v>114</v>
      </c>
      <c r="H6" s="51"/>
      <c r="I6" s="50" t="s">
        <v>115</v>
      </c>
    </row>
    <row r="7" spans="1:11" ht="15" customHeight="1" x14ac:dyDescent="0.25">
      <c r="A7" s="23" t="s">
        <v>23</v>
      </c>
      <c r="B7" s="106" t="s">
        <v>133</v>
      </c>
      <c r="C7" s="107"/>
      <c r="D7" s="107"/>
      <c r="E7" s="17"/>
      <c r="F7" s="1"/>
      <c r="G7" s="52" t="s">
        <v>116</v>
      </c>
      <c r="H7" s="1"/>
      <c r="I7" s="52" t="s">
        <v>116</v>
      </c>
    </row>
    <row r="8" spans="1:11" ht="15" customHeight="1" thickBot="1" x14ac:dyDescent="0.3">
      <c r="A8" s="23" t="s">
        <v>0</v>
      </c>
      <c r="B8" s="108" t="s">
        <v>131</v>
      </c>
      <c r="C8" s="107"/>
      <c r="D8" s="107"/>
      <c r="E8" s="17"/>
      <c r="F8" s="53" t="s">
        <v>117</v>
      </c>
      <c r="G8" s="54">
        <f>CON_Target_2016_2017</f>
        <v>605194</v>
      </c>
      <c r="H8" s="53" t="s">
        <v>118</v>
      </c>
      <c r="I8" s="55">
        <f>CON_Target_2018_2019</f>
        <v>520456</v>
      </c>
    </row>
    <row r="9" spans="1:11" ht="15" customHeight="1" x14ac:dyDescent="0.25">
      <c r="A9" s="23" t="s">
        <v>1</v>
      </c>
      <c r="B9" s="109" t="s">
        <v>132</v>
      </c>
      <c r="C9" s="110"/>
      <c r="D9" s="110"/>
      <c r="E9" s="17"/>
      <c r="F9" s="53" t="s">
        <v>2</v>
      </c>
      <c r="G9" s="56">
        <f>CON_2016_MWH+CON_2017_MWH</f>
        <v>633154</v>
      </c>
      <c r="H9" s="1"/>
      <c r="I9" s="1"/>
    </row>
    <row r="10" spans="1:11" ht="15" customHeight="1" x14ac:dyDescent="0.25">
      <c r="A10" s="23"/>
      <c r="B10" s="23"/>
      <c r="C10" s="23"/>
      <c r="D10" s="23"/>
      <c r="E10" s="17"/>
      <c r="F10" s="2" t="s">
        <v>119</v>
      </c>
      <c r="G10" s="58">
        <v>0</v>
      </c>
      <c r="H10" s="1"/>
      <c r="I10" s="1"/>
    </row>
    <row r="11" spans="1:11" ht="15" customHeight="1" x14ac:dyDescent="0.25">
      <c r="A11" s="23"/>
      <c r="B11" s="24"/>
      <c r="C11" s="17"/>
      <c r="D11" s="17"/>
      <c r="E11" s="17"/>
      <c r="F11" s="2" t="s">
        <v>120</v>
      </c>
      <c r="G11" s="58">
        <f>663123-621120</f>
        <v>42003</v>
      </c>
      <c r="H11" s="1"/>
      <c r="I11" s="1"/>
    </row>
    <row r="12" spans="1:11" s="17" customFormat="1" ht="13.8" thickBot="1" x14ac:dyDescent="0.3">
      <c r="A12" s="88" t="s">
        <v>21</v>
      </c>
      <c r="B12" s="88"/>
      <c r="C12" s="88"/>
      <c r="D12" s="88"/>
      <c r="E12" s="25"/>
      <c r="F12" s="21" t="s">
        <v>125</v>
      </c>
      <c r="G12" s="58">
        <v>0</v>
      </c>
      <c r="H12" s="1"/>
      <c r="I12" s="1"/>
    </row>
    <row r="13" spans="1:11" s="17" customFormat="1" ht="13.8" thickBot="1" x14ac:dyDescent="0.3">
      <c r="A13" s="101" t="s">
        <v>31</v>
      </c>
      <c r="B13" s="101"/>
      <c r="C13" s="102" t="s">
        <v>110</v>
      </c>
      <c r="D13" s="101"/>
      <c r="E13" s="25"/>
      <c r="F13" s="53" t="s">
        <v>127</v>
      </c>
      <c r="G13" s="57">
        <f>G9+G10+G11+G12-G8</f>
        <v>69963</v>
      </c>
      <c r="H13" s="1"/>
      <c r="I13" s="1"/>
    </row>
    <row r="14" spans="1:11" s="17" customFormat="1" ht="39.75" customHeight="1" x14ac:dyDescent="0.25">
      <c r="A14" s="45" t="s">
        <v>32</v>
      </c>
      <c r="B14" s="46" t="s">
        <v>33</v>
      </c>
      <c r="C14" s="46" t="s">
        <v>111</v>
      </c>
      <c r="D14" s="46" t="s">
        <v>112</v>
      </c>
      <c r="E14" s="25"/>
      <c r="H14" s="15"/>
      <c r="I14" s="15"/>
    </row>
    <row r="15" spans="1:11" s="17" customFormat="1" x14ac:dyDescent="0.25">
      <c r="A15" s="47">
        <f>VLOOKUP(CON_Utility_Name,'Prior Report Data'!$A$5:$B$21,2,FALSE)</f>
        <v>2770663</v>
      </c>
      <c r="B15" s="48">
        <f>VLOOKUP(CON_Utility_Name,'Prior Report Data'!$A$5:$C$21,3,FALSE)</f>
        <v>605194</v>
      </c>
      <c r="C15" s="49">
        <v>1799149</v>
      </c>
      <c r="D15" s="49">
        <v>520456</v>
      </c>
      <c r="E15" s="25"/>
      <c r="F15" s="15"/>
      <c r="G15" s="15"/>
      <c r="H15" s="15"/>
      <c r="I15" s="15"/>
    </row>
    <row r="16" spans="1:11" s="17" customFormat="1" ht="13.8" thickBot="1" x14ac:dyDescent="0.3">
      <c r="E16" s="25"/>
      <c r="F16" s="15"/>
      <c r="G16" s="15"/>
      <c r="H16" s="15"/>
      <c r="I16" s="15"/>
    </row>
    <row r="17" spans="1:7" ht="13.8" thickTop="1" x14ac:dyDescent="0.25">
      <c r="A17" s="95" t="s">
        <v>2</v>
      </c>
      <c r="B17" s="95"/>
      <c r="C17" s="95"/>
      <c r="D17" s="95"/>
      <c r="E17" s="95"/>
      <c r="F17" s="95"/>
      <c r="G17" s="95"/>
    </row>
    <row r="18" spans="1:7" ht="15" customHeight="1" x14ac:dyDescent="0.25">
      <c r="A18" s="26"/>
      <c r="C18" s="98" t="s">
        <v>46</v>
      </c>
      <c r="D18" s="98"/>
      <c r="F18" s="99" t="s">
        <v>47</v>
      </c>
      <c r="G18" s="99"/>
    </row>
    <row r="19" spans="1:7" ht="30.75" customHeight="1" x14ac:dyDescent="0.25">
      <c r="B19" s="27" t="s">
        <v>20</v>
      </c>
      <c r="C19" s="28" t="s">
        <v>6</v>
      </c>
      <c r="D19" s="28" t="s">
        <v>7</v>
      </c>
      <c r="F19" s="43" t="s">
        <v>6</v>
      </c>
      <c r="G19" s="43" t="s">
        <v>7</v>
      </c>
    </row>
    <row r="20" spans="1:7" ht="15" customHeight="1" x14ac:dyDescent="0.25">
      <c r="B20" s="4" t="s">
        <v>8</v>
      </c>
      <c r="C20" s="11">
        <v>141896</v>
      </c>
      <c r="D20" s="12">
        <v>46327483</v>
      </c>
      <c r="F20" s="44">
        <v>126720</v>
      </c>
      <c r="G20" s="12">
        <v>42659242</v>
      </c>
    </row>
    <row r="21" spans="1:7" ht="15" customHeight="1" x14ac:dyDescent="0.25">
      <c r="B21" s="4" t="s">
        <v>9</v>
      </c>
      <c r="C21" s="11">
        <f>143198*0.9</f>
        <v>128878.2</v>
      </c>
      <c r="D21" s="12">
        <f>39008592*0.9</f>
        <v>35107732.800000004</v>
      </c>
      <c r="F21" s="44">
        <f>171881*0.9</f>
        <v>154692.9</v>
      </c>
      <c r="G21" s="12">
        <f>40428152*0.9</f>
        <v>36385336.800000004</v>
      </c>
    </row>
    <row r="22" spans="1:7" ht="15" customHeight="1" x14ac:dyDescent="0.25">
      <c r="B22" s="4" t="s">
        <v>10</v>
      </c>
      <c r="C22" s="11">
        <f>143198*0.1</f>
        <v>14319.800000000001</v>
      </c>
      <c r="D22" s="12">
        <f>39008592*0.1</f>
        <v>3900859.2</v>
      </c>
      <c r="F22" s="44">
        <f>171881*0.1</f>
        <v>17188.100000000002</v>
      </c>
      <c r="G22" s="12">
        <f>40428152*0.1</f>
        <v>4042815.2</v>
      </c>
    </row>
    <row r="23" spans="1:7" ht="15" customHeight="1" x14ac:dyDescent="0.25">
      <c r="B23" s="4" t="s">
        <v>11</v>
      </c>
      <c r="C23" s="11">
        <v>0</v>
      </c>
      <c r="D23" s="12">
        <v>0</v>
      </c>
      <c r="F23" s="44">
        <v>0</v>
      </c>
      <c r="G23" s="12">
        <v>0</v>
      </c>
    </row>
    <row r="24" spans="1:7" ht="15" customHeight="1" x14ac:dyDescent="0.25">
      <c r="B24" s="4" t="s">
        <v>17</v>
      </c>
      <c r="C24" s="11">
        <v>3323</v>
      </c>
      <c r="D24" s="12">
        <v>0</v>
      </c>
      <c r="F24" s="44">
        <v>42</v>
      </c>
      <c r="G24" s="12">
        <v>0</v>
      </c>
    </row>
    <row r="25" spans="1:7" ht="15" customHeight="1" x14ac:dyDescent="0.25">
      <c r="B25" s="29" t="s">
        <v>18</v>
      </c>
      <c r="C25" s="11">
        <v>0</v>
      </c>
      <c r="D25" s="12">
        <v>0</v>
      </c>
      <c r="F25" s="44">
        <v>0</v>
      </c>
      <c r="G25" s="12">
        <v>0</v>
      </c>
    </row>
    <row r="26" spans="1:7" ht="15" customHeight="1" x14ac:dyDescent="0.25">
      <c r="B26" s="29" t="s">
        <v>4</v>
      </c>
      <c r="C26" s="13">
        <v>8760</v>
      </c>
      <c r="D26" s="12">
        <v>4028530</v>
      </c>
      <c r="F26" s="13">
        <v>17318</v>
      </c>
      <c r="G26" s="12">
        <v>4032680</v>
      </c>
    </row>
    <row r="27" spans="1:7" ht="15" customHeight="1" x14ac:dyDescent="0.25">
      <c r="B27" s="14" t="s">
        <v>128</v>
      </c>
      <c r="C27" s="13">
        <v>17348</v>
      </c>
      <c r="D27" s="12">
        <v>933949</v>
      </c>
      <c r="F27" s="13">
        <v>2668</v>
      </c>
      <c r="G27" s="12">
        <v>2169330</v>
      </c>
    </row>
    <row r="28" spans="1:7" ht="15" customHeight="1" x14ac:dyDescent="0.25">
      <c r="B28" s="14"/>
      <c r="C28" s="13"/>
      <c r="D28" s="12"/>
      <c r="F28" s="13"/>
      <c r="G28" s="12"/>
    </row>
    <row r="29" spans="1:7" ht="30.75" customHeight="1" x14ac:dyDescent="0.25">
      <c r="A29" s="96" t="s">
        <v>22</v>
      </c>
      <c r="B29" s="97"/>
      <c r="D29" s="30"/>
      <c r="G29" s="30"/>
    </row>
    <row r="30" spans="1:7" ht="15" customHeight="1" x14ac:dyDescent="0.25">
      <c r="B30" s="60" t="s">
        <v>129</v>
      </c>
      <c r="C30" s="31"/>
      <c r="D30" s="12">
        <v>6315736</v>
      </c>
      <c r="F30" s="31"/>
      <c r="G30" s="12">
        <v>5815924</v>
      </c>
    </row>
    <row r="31" spans="1:7" ht="26.4" customHeight="1" x14ac:dyDescent="0.25">
      <c r="B31" s="60" t="s">
        <v>130</v>
      </c>
      <c r="C31" s="32"/>
      <c r="D31" s="12">
        <v>2500313</v>
      </c>
      <c r="F31" s="32"/>
      <c r="G31" s="12">
        <v>1792015</v>
      </c>
    </row>
    <row r="32" spans="1:7" ht="15" customHeight="1" x14ac:dyDescent="0.25">
      <c r="B32" s="33" t="s">
        <v>5</v>
      </c>
      <c r="C32" s="34">
        <f>SUM(C20:C28)</f>
        <v>314525</v>
      </c>
      <c r="D32" s="35">
        <f>SUM(D20:D31)</f>
        <v>99114603.000000015</v>
      </c>
      <c r="F32" s="34">
        <f>SUM(F20:F28)</f>
        <v>318629</v>
      </c>
      <c r="G32" s="35">
        <f>SUM(G20:G31)</f>
        <v>96897343.000000015</v>
      </c>
    </row>
    <row r="33" spans="1:9" ht="15" customHeight="1" x14ac:dyDescent="0.25">
      <c r="A33" s="36"/>
      <c r="B33" s="37"/>
      <c r="C33" s="38"/>
      <c r="D33" s="37"/>
      <c r="E33" s="38"/>
    </row>
    <row r="34" spans="1:9" s="17" customFormat="1" ht="15" customHeight="1" x14ac:dyDescent="0.25">
      <c r="A34" s="19" t="s">
        <v>3</v>
      </c>
      <c r="B34" s="94" t="str">
        <f>CON_Utility_Name</f>
        <v>Puget Sound Energy</v>
      </c>
      <c r="C34" s="94"/>
      <c r="D34" s="94"/>
      <c r="E34" s="94"/>
      <c r="F34" s="15"/>
      <c r="G34" s="15"/>
    </row>
    <row r="35" spans="1:9" s="17" customFormat="1" x14ac:dyDescent="0.25">
      <c r="A35" s="39" t="s">
        <v>12</v>
      </c>
      <c r="B35" s="90">
        <v>2017</v>
      </c>
      <c r="C35" s="90"/>
      <c r="D35" s="90"/>
      <c r="E35" s="90"/>
    </row>
    <row r="36" spans="1:9" s="17" customFormat="1" x14ac:dyDescent="0.25">
      <c r="A36" s="39"/>
      <c r="B36" s="40"/>
      <c r="C36" s="40"/>
      <c r="D36" s="40"/>
      <c r="E36" s="40"/>
    </row>
    <row r="37" spans="1:9" ht="28.5" customHeight="1" x14ac:dyDescent="0.25">
      <c r="A37" s="89" t="s">
        <v>41</v>
      </c>
      <c r="B37" s="89"/>
      <c r="C37" s="89"/>
      <c r="D37" s="89"/>
      <c r="E37" s="89"/>
      <c r="F37" s="89"/>
      <c r="G37" s="89"/>
      <c r="H37" s="89"/>
      <c r="I37" s="89"/>
    </row>
    <row r="38" spans="1:9" s="10" customFormat="1" ht="270.75" customHeight="1" x14ac:dyDescent="0.25">
      <c r="A38" s="91"/>
      <c r="B38" s="91"/>
      <c r="C38" s="91"/>
      <c r="D38" s="91"/>
      <c r="E38" s="91"/>
      <c r="F38" s="91"/>
      <c r="G38" s="91"/>
      <c r="H38" s="91"/>
      <c r="I38" s="91"/>
    </row>
    <row r="39" spans="1:9" s="10" customFormat="1" x14ac:dyDescent="0.25"/>
    <row r="40" spans="1:9" s="10" customFormat="1" x14ac:dyDescent="0.25"/>
    <row r="41" spans="1:9" s="10" customFormat="1" x14ac:dyDescent="0.25"/>
    <row r="42" spans="1:9" s="10" customFormat="1" x14ac:dyDescent="0.25"/>
    <row r="43" spans="1:9" s="10" customFormat="1" x14ac:dyDescent="0.25"/>
    <row r="44" spans="1:9" s="10" customFormat="1" x14ac:dyDescent="0.25"/>
    <row r="45" spans="1:9" s="10" customFormat="1" x14ac:dyDescent="0.25"/>
    <row r="46" spans="1:9" s="61" customFormat="1" x14ac:dyDescent="0.3">
      <c r="B46" s="83" t="s">
        <v>134</v>
      </c>
      <c r="C46" s="68" t="s">
        <v>135</v>
      </c>
      <c r="D46" s="69"/>
      <c r="E46" s="69"/>
      <c r="F46" s="69"/>
      <c r="G46" s="69"/>
      <c r="H46" s="70"/>
    </row>
    <row r="47" spans="1:9" s="61" customFormat="1" ht="18.600000000000001" customHeight="1" x14ac:dyDescent="0.3">
      <c r="B47" s="85"/>
      <c r="C47" s="71" t="s">
        <v>136</v>
      </c>
      <c r="D47" s="72"/>
      <c r="E47" s="72"/>
      <c r="F47" s="72"/>
      <c r="G47" s="72"/>
      <c r="H47" s="73"/>
    </row>
    <row r="48" spans="1:9" s="61" customFormat="1" ht="16.8" customHeight="1" x14ac:dyDescent="0.3">
      <c r="B48" s="83" t="s">
        <v>137</v>
      </c>
      <c r="C48" s="68" t="s">
        <v>138</v>
      </c>
      <c r="D48" s="69"/>
      <c r="E48" s="69"/>
      <c r="F48" s="69"/>
      <c r="G48" s="69"/>
      <c r="H48" s="70"/>
    </row>
    <row r="49" spans="2:8" s="61" customFormat="1" ht="36.6" customHeight="1" x14ac:dyDescent="0.3">
      <c r="B49" s="84"/>
      <c r="C49" s="65" t="s">
        <v>139</v>
      </c>
      <c r="D49" s="66"/>
      <c r="E49" s="66"/>
      <c r="F49" s="66"/>
      <c r="G49" s="66"/>
      <c r="H49" s="67"/>
    </row>
    <row r="50" spans="2:8" s="61" customFormat="1" x14ac:dyDescent="0.3">
      <c r="B50" s="83" t="s">
        <v>140</v>
      </c>
      <c r="C50" s="68" t="s">
        <v>141</v>
      </c>
      <c r="D50" s="69"/>
      <c r="E50" s="69"/>
      <c r="F50" s="69"/>
      <c r="G50" s="69"/>
      <c r="H50" s="70"/>
    </row>
    <row r="51" spans="2:8" s="61" customFormat="1" ht="33.6" customHeight="1" x14ac:dyDescent="0.3">
      <c r="B51" s="85"/>
      <c r="C51" s="71" t="s">
        <v>142</v>
      </c>
      <c r="D51" s="72"/>
      <c r="E51" s="72"/>
      <c r="F51" s="72"/>
      <c r="G51" s="72"/>
      <c r="H51" s="73"/>
    </row>
    <row r="52" spans="2:8" s="61" customFormat="1" ht="48.6" customHeight="1" x14ac:dyDescent="0.3">
      <c r="B52" s="84"/>
      <c r="C52" s="65" t="s">
        <v>143</v>
      </c>
      <c r="D52" s="66"/>
      <c r="E52" s="66"/>
      <c r="F52" s="66"/>
      <c r="G52" s="66"/>
      <c r="H52" s="67"/>
    </row>
    <row r="53" spans="2:8" s="61" customFormat="1" ht="34.799999999999997" customHeight="1" x14ac:dyDescent="0.3">
      <c r="B53" s="62" t="s">
        <v>144</v>
      </c>
      <c r="C53" s="74" t="s">
        <v>145</v>
      </c>
      <c r="D53" s="75"/>
      <c r="E53" s="75"/>
      <c r="F53" s="75"/>
      <c r="G53" s="75"/>
      <c r="H53" s="76"/>
    </row>
    <row r="54" spans="2:8" s="63" customFormat="1" x14ac:dyDescent="0.3">
      <c r="B54" s="83" t="s">
        <v>146</v>
      </c>
      <c r="C54" s="68" t="s">
        <v>147</v>
      </c>
      <c r="D54" s="69"/>
      <c r="E54" s="69"/>
      <c r="F54" s="69"/>
      <c r="G54" s="69"/>
      <c r="H54" s="70"/>
    </row>
    <row r="55" spans="2:8" s="63" customFormat="1" ht="24.6" customHeight="1" x14ac:dyDescent="0.3">
      <c r="B55" s="84"/>
      <c r="C55" s="65" t="s">
        <v>148</v>
      </c>
      <c r="D55" s="66"/>
      <c r="E55" s="66"/>
      <c r="F55" s="66"/>
      <c r="G55" s="66"/>
      <c r="H55" s="67"/>
    </row>
    <row r="56" spans="2:8" s="63" customFormat="1" x14ac:dyDescent="0.3">
      <c r="B56" s="86" t="s">
        <v>149</v>
      </c>
      <c r="C56" s="77" t="s">
        <v>150</v>
      </c>
      <c r="D56" s="78"/>
      <c r="E56" s="78"/>
      <c r="F56" s="78"/>
      <c r="G56" s="78"/>
      <c r="H56" s="79"/>
    </row>
    <row r="57" spans="2:8" s="63" customFormat="1" x14ac:dyDescent="0.3">
      <c r="B57" s="87"/>
      <c r="C57" s="80"/>
      <c r="D57" s="81"/>
      <c r="E57" s="81"/>
      <c r="F57" s="81"/>
      <c r="G57" s="81"/>
      <c r="H57" s="82"/>
    </row>
    <row r="58" spans="2:8" s="63" customFormat="1" ht="22.8" customHeight="1" x14ac:dyDescent="0.3">
      <c r="B58" s="64" t="s">
        <v>151</v>
      </c>
      <c r="C58" s="65" t="s">
        <v>152</v>
      </c>
      <c r="D58" s="66"/>
      <c r="E58" s="66"/>
      <c r="F58" s="66"/>
      <c r="G58" s="66"/>
      <c r="H58" s="67"/>
    </row>
  </sheetData>
  <mergeCells count="38">
    <mergeCell ref="A1:I1"/>
    <mergeCell ref="A2:I2"/>
    <mergeCell ref="B34:E34"/>
    <mergeCell ref="F17:G17"/>
    <mergeCell ref="A17:E17"/>
    <mergeCell ref="A29:B29"/>
    <mergeCell ref="C18:D18"/>
    <mergeCell ref="F18:G18"/>
    <mergeCell ref="B5:D5"/>
    <mergeCell ref="A13:B13"/>
    <mergeCell ref="C13:D13"/>
    <mergeCell ref="F5:I5"/>
    <mergeCell ref="B6:D6"/>
    <mergeCell ref="B7:D7"/>
    <mergeCell ref="B8:D8"/>
    <mergeCell ref="B9:D9"/>
    <mergeCell ref="B48:B49"/>
    <mergeCell ref="B50:B52"/>
    <mergeCell ref="B54:B55"/>
    <mergeCell ref="B56:B57"/>
    <mergeCell ref="A12:D12"/>
    <mergeCell ref="A37:I37"/>
    <mergeCell ref="B35:E35"/>
    <mergeCell ref="A38:I38"/>
    <mergeCell ref="B46:B47"/>
    <mergeCell ref="C58:H58"/>
    <mergeCell ref="C46:H46"/>
    <mergeCell ref="C47:H47"/>
    <mergeCell ref="C48:H48"/>
    <mergeCell ref="C49:H49"/>
    <mergeCell ref="C50:H50"/>
    <mergeCell ref="C51:H51"/>
    <mergeCell ref="C52:H52"/>
    <mergeCell ref="C53:H53"/>
    <mergeCell ref="C54:H54"/>
    <mergeCell ref="C55:H55"/>
    <mergeCell ref="C56:H56"/>
    <mergeCell ref="C57:H57"/>
  </mergeCells>
  <dataValidations count="6">
    <dataValidation type="list" allowBlank="1" showInputMessage="1" showErrorMessage="1" sqref="B5:D5">
      <formula1>UtilityList</formula1>
    </dataValidation>
    <dataValidation type="decimal" operator="greaterThanOrEqual" allowBlank="1" showInputMessage="1" showErrorMessage="1" promptTitle="Excess from 2014-2015" prompt="Not to exceed (a) 20 percent of the target for 2016-2017 or (b) the actual excess achieved and reported for 2014-2015. An additional 5 percent of the target may be met using excess savings from a single large facility._x000a__x000a_Reference: RCW 19.285.040(1)(c)(i)." sqref="G11">
      <formula1>0</formula1>
    </dataValidation>
    <dataValidation type="decimal" operator="greaterThanOrEqual" allowBlank="1" showInputMessage="1" showErrorMessage="1" promptTitle="Excess from 2012-2013" prompt="Only Cowlitz PUD is eligible to count excess conservation from 2012-2013 toward its conservation target. _x000a__x000a_Reference: RCW 19.285.040(1)(c)(iii)." sqref="G10">
      <formula1>0</formula1>
    </dataValidation>
    <dataValidation allowBlank="1" showInputMessage="1" showErrorMessage="1" promptTitle="2016 Potential and Target" prompt="These values are transferred from the 2017 report. Any revisions should be noted and explained in the Notes section below." sqref="A15:B15"/>
    <dataValidation type="decimal" operator="lessThanOrEqual" allowBlank="1" showInputMessage="1" showErrorMessage="1" promptTitle="Deductions" prompt="Negative value to remove conservation achievement that will be used to meet requirements outside the Energy Independence Act. Example: Investor-owned utility merger commitment to exceed EIA conservation targets. Explain in the notes section." sqref="G12">
      <formula1>0</formula1>
    </dataValidation>
    <dataValidation allowBlank="1" showInputMessage="1" showErrorMessage="1" prompt="Achievement in 2017 will be included in the 2018 report." sqref="F20:G32"/>
  </dataValidations>
  <pageMargins left="0.7" right="0.7" top="0.5" bottom="0.5" header="0.3" footer="0.3"/>
  <pageSetup scale="90" fitToHeight="0" orientation="landscape" r:id="rId1"/>
  <rowBreaks count="2" manualBreakCount="2">
    <brk id="32" max="16383" man="1"/>
    <brk id="3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E21"/>
  <sheetViews>
    <sheetView workbookViewId="0">
      <selection activeCell="G10" sqref="G10"/>
    </sheetView>
  </sheetViews>
  <sheetFormatPr defaultRowHeight="14.4" x14ac:dyDescent="0.3"/>
  <cols>
    <col min="1" max="1" width="40.88671875" bestFit="1" customWidth="1"/>
    <col min="2" max="2" width="13" customWidth="1"/>
    <col min="3" max="3" width="12.6640625" customWidth="1"/>
  </cols>
  <sheetData>
    <row r="3" spans="1:5" ht="28.8" x14ac:dyDescent="0.3">
      <c r="B3" s="42" t="s">
        <v>34</v>
      </c>
      <c r="C3" s="42" t="s">
        <v>35</v>
      </c>
      <c r="D3" s="42"/>
      <c r="E3" s="42"/>
    </row>
    <row r="4" spans="1:5" x14ac:dyDescent="0.3">
      <c r="A4" t="s">
        <v>109</v>
      </c>
      <c r="B4" s="42"/>
      <c r="C4" s="42"/>
    </row>
    <row r="5" spans="1:5" x14ac:dyDescent="0.3">
      <c r="A5" t="s">
        <v>95</v>
      </c>
      <c r="B5">
        <v>383063</v>
      </c>
      <c r="C5">
        <v>82477</v>
      </c>
    </row>
    <row r="6" spans="1:5" x14ac:dyDescent="0.3">
      <c r="A6" t="s">
        <v>98</v>
      </c>
      <c r="B6">
        <v>342866</v>
      </c>
      <c r="C6">
        <v>67802</v>
      </c>
    </row>
    <row r="7" spans="1:5" x14ac:dyDescent="0.3">
      <c r="A7" t="s">
        <v>99</v>
      </c>
      <c r="B7">
        <v>208225.19999999998</v>
      </c>
      <c r="C7">
        <v>41259.599999999999</v>
      </c>
    </row>
    <row r="8" spans="1:5" x14ac:dyDescent="0.3">
      <c r="A8" t="s">
        <v>102</v>
      </c>
      <c r="B8">
        <v>40471.200000000004</v>
      </c>
      <c r="C8">
        <v>6657.6</v>
      </c>
    </row>
    <row r="9" spans="1:5" x14ac:dyDescent="0.3">
      <c r="A9" t="s">
        <v>103</v>
      </c>
      <c r="B9">
        <v>29872</v>
      </c>
      <c r="C9">
        <v>5519</v>
      </c>
    </row>
    <row r="10" spans="1:5" x14ac:dyDescent="0.3">
      <c r="A10" t="s">
        <v>104</v>
      </c>
      <c r="B10">
        <v>18294</v>
      </c>
      <c r="C10">
        <v>3428</v>
      </c>
    </row>
    <row r="11" spans="1:5" x14ac:dyDescent="0.3">
      <c r="A11" t="s">
        <v>105</v>
      </c>
      <c r="B11">
        <v>457530</v>
      </c>
      <c r="C11">
        <v>93059</v>
      </c>
    </row>
    <row r="12" spans="1:5" x14ac:dyDescent="0.3">
      <c r="A12" t="s">
        <v>106</v>
      </c>
      <c r="B12">
        <v>23835.083999999999</v>
      </c>
      <c r="C12">
        <v>4767</v>
      </c>
    </row>
    <row r="13" spans="1:5" x14ac:dyDescent="0.3">
      <c r="A13" t="s">
        <v>96</v>
      </c>
      <c r="B13">
        <v>96360</v>
      </c>
      <c r="C13">
        <v>17257</v>
      </c>
    </row>
    <row r="14" spans="1:5" x14ac:dyDescent="0.3">
      <c r="A14" t="s">
        <v>50</v>
      </c>
      <c r="B14">
        <v>79628.399999999994</v>
      </c>
      <c r="C14">
        <v>14541.599999999999</v>
      </c>
    </row>
    <row r="15" spans="1:5" x14ac:dyDescent="0.3">
      <c r="A15" t="s">
        <v>100</v>
      </c>
      <c r="B15">
        <v>175550</v>
      </c>
      <c r="C15">
        <v>26718</v>
      </c>
    </row>
    <row r="16" spans="1:5" x14ac:dyDescent="0.3">
      <c r="A16" t="s">
        <v>97</v>
      </c>
      <c r="B16">
        <v>35478</v>
      </c>
      <c r="C16">
        <v>7008</v>
      </c>
    </row>
    <row r="17" spans="1:3" x14ac:dyDescent="0.3">
      <c r="A17" t="s">
        <v>101</v>
      </c>
      <c r="B17">
        <v>36529.199999999997</v>
      </c>
      <c r="C17">
        <v>6482.4</v>
      </c>
    </row>
    <row r="18" spans="1:3" x14ac:dyDescent="0.3">
      <c r="A18" t="s">
        <v>48</v>
      </c>
      <c r="B18">
        <v>2770663</v>
      </c>
      <c r="C18">
        <v>605194</v>
      </c>
    </row>
    <row r="19" spans="1:3" x14ac:dyDescent="0.3">
      <c r="A19" t="s">
        <v>49</v>
      </c>
      <c r="B19">
        <v>1122156</v>
      </c>
      <c r="C19">
        <v>224431</v>
      </c>
    </row>
    <row r="20" spans="1:3" x14ac:dyDescent="0.3">
      <c r="A20" t="s">
        <v>107</v>
      </c>
      <c r="B20">
        <v>623449</v>
      </c>
      <c r="C20">
        <v>122990</v>
      </c>
    </row>
    <row r="21" spans="1:3" x14ac:dyDescent="0.3">
      <c r="A21" t="s">
        <v>108</v>
      </c>
      <c r="B21">
        <v>409968</v>
      </c>
      <c r="C21">
        <v>81993</v>
      </c>
    </row>
  </sheetData>
  <sortState ref="A4:C20">
    <sortCondition ref="A4:A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
  <sheetViews>
    <sheetView workbookViewId="0">
      <selection activeCell="A2" sqref="A2"/>
    </sheetView>
  </sheetViews>
  <sheetFormatPr defaultRowHeight="14.4" x14ac:dyDescent="0.3"/>
  <cols>
    <col min="1" max="1" width="36.109375" bestFit="1" customWidth="1"/>
    <col min="3" max="3" width="10.5546875" customWidth="1"/>
    <col min="12" max="12" width="10.5546875" customWidth="1"/>
  </cols>
  <sheetData>
    <row r="1" spans="1:84" ht="156.6" x14ac:dyDescent="0.3">
      <c r="A1" s="41" t="s">
        <v>29</v>
      </c>
      <c r="B1" s="41" t="s">
        <v>51</v>
      </c>
      <c r="C1" s="41" t="s">
        <v>52</v>
      </c>
      <c r="D1" s="41" t="s">
        <v>53</v>
      </c>
      <c r="E1" s="41" t="s">
        <v>54</v>
      </c>
      <c r="F1" s="41" t="s">
        <v>55</v>
      </c>
      <c r="G1" s="41" t="s">
        <v>56</v>
      </c>
      <c r="H1" s="41" t="s">
        <v>57</v>
      </c>
      <c r="I1" s="41" t="s">
        <v>58</v>
      </c>
      <c r="J1" s="41" t="s">
        <v>59</v>
      </c>
      <c r="K1" s="41" t="s">
        <v>60</v>
      </c>
      <c r="L1" s="41" t="s">
        <v>61</v>
      </c>
      <c r="M1" s="41" t="s">
        <v>62</v>
      </c>
      <c r="N1" s="41" t="s">
        <v>63</v>
      </c>
      <c r="O1" s="41" t="s">
        <v>64</v>
      </c>
      <c r="P1" s="41" t="s">
        <v>65</v>
      </c>
      <c r="Q1" s="41" t="s">
        <v>66</v>
      </c>
      <c r="R1" s="41" t="s">
        <v>67</v>
      </c>
      <c r="S1" s="41" t="s">
        <v>68</v>
      </c>
      <c r="T1" s="41" t="s">
        <v>69</v>
      </c>
      <c r="U1" s="41" t="s">
        <v>70</v>
      </c>
      <c r="V1" s="41" t="s">
        <v>71</v>
      </c>
      <c r="W1" s="41" t="s">
        <v>72</v>
      </c>
      <c r="X1" s="41" t="s">
        <v>94</v>
      </c>
      <c r="Y1" s="41" t="s">
        <v>73</v>
      </c>
      <c r="Z1" s="41" t="s">
        <v>74</v>
      </c>
      <c r="AA1" s="41" t="s">
        <v>75</v>
      </c>
      <c r="AB1" s="41" t="s">
        <v>76</v>
      </c>
      <c r="AC1" s="41" t="s">
        <v>77</v>
      </c>
      <c r="AD1" s="41" t="s">
        <v>78</v>
      </c>
      <c r="AE1" s="41" t="s">
        <v>79</v>
      </c>
      <c r="AF1" s="41" t="s">
        <v>80</v>
      </c>
      <c r="AG1" s="41" t="s">
        <v>81</v>
      </c>
      <c r="AH1" s="41" t="s">
        <v>82</v>
      </c>
      <c r="AI1" s="41" t="s">
        <v>83</v>
      </c>
      <c r="AJ1" s="41" t="s">
        <v>84</v>
      </c>
      <c r="AK1" s="41" t="s">
        <v>85</v>
      </c>
      <c r="AL1" s="41" t="s">
        <v>86</v>
      </c>
      <c r="AM1" s="41" t="s">
        <v>87</v>
      </c>
      <c r="AN1" s="41" t="s">
        <v>88</v>
      </c>
      <c r="AO1" s="41" t="s">
        <v>89</v>
      </c>
      <c r="AP1" s="41" t="s">
        <v>90</v>
      </c>
      <c r="AQ1" s="41" t="s">
        <v>91</v>
      </c>
      <c r="AR1" s="41" t="s">
        <v>92</v>
      </c>
      <c r="AS1" s="41" t="s">
        <v>93</v>
      </c>
      <c r="AT1" s="41" t="s">
        <v>25</v>
      </c>
      <c r="AU1" s="41" t="s">
        <v>26</v>
      </c>
      <c r="AV1" s="41" t="s">
        <v>27</v>
      </c>
      <c r="AW1" s="41" t="s">
        <v>34</v>
      </c>
      <c r="AX1" s="41" t="s">
        <v>123</v>
      </c>
      <c r="AY1" s="41" t="s">
        <v>28</v>
      </c>
      <c r="AZ1" s="41" t="s">
        <v>35</v>
      </c>
      <c r="BA1" s="41" t="s">
        <v>124</v>
      </c>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row>
    <row r="2" spans="1:84" x14ac:dyDescent="0.3">
      <c r="A2" t="str">
        <f>CON_Utility_Name</f>
        <v>Puget Sound Energy</v>
      </c>
      <c r="B2">
        <f>+CON_2016_Agriculture_Expend</f>
        <v>0</v>
      </c>
      <c r="C2">
        <f>+CON_2016_Agriculture_MWH</f>
        <v>0</v>
      </c>
      <c r="D2">
        <f>+CON_2016_Commercial_Expend</f>
        <v>35107732.800000004</v>
      </c>
      <c r="E2">
        <f>+CON_2016_Commercial_MWH</f>
        <v>128878.2</v>
      </c>
      <c r="F2">
        <f>+CON_2016_Distribution_Expend</f>
        <v>0</v>
      </c>
      <c r="G2">
        <f>+CON_2016_Distribution_MWH</f>
        <v>3323</v>
      </c>
      <c r="H2">
        <f>+CON_2016_Expenditures</f>
        <v>99114603.000000015</v>
      </c>
      <c r="I2">
        <f>+CON_2016_Industrial_Expend</f>
        <v>3900859.2</v>
      </c>
      <c r="J2">
        <f>+CON_2016_Industrial_MWH</f>
        <v>14319.800000000001</v>
      </c>
      <c r="K2">
        <f>+CON_2016_MWH</f>
        <v>314525</v>
      </c>
      <c r="L2">
        <f>+CON_2016_NEEA_Expend</f>
        <v>4028530</v>
      </c>
      <c r="M2">
        <f>+CON_2016_NEEA_MWH</f>
        <v>8760</v>
      </c>
      <c r="N2">
        <f>+CON_2016_OtherSector1_Expend</f>
        <v>933949</v>
      </c>
      <c r="O2">
        <f>+CON_2016_OtherSector1_MWH</f>
        <v>17348</v>
      </c>
      <c r="P2">
        <f>+CON_2016_OtherSector2_Expend</f>
        <v>0</v>
      </c>
      <c r="Q2">
        <f>+CON_2016_OtherSector2_MWH</f>
        <v>0</v>
      </c>
      <c r="R2">
        <f>+CON_2016_Production_Expend</f>
        <v>0</v>
      </c>
      <c r="S2">
        <f>+CON_2016_Production_MWH</f>
        <v>0</v>
      </c>
      <c r="T2">
        <f>+CON_2016_Program1_Expend</f>
        <v>6315736</v>
      </c>
      <c r="U2">
        <f>+CON_2016_Program2_Expend</f>
        <v>2500313</v>
      </c>
      <c r="V2">
        <f>+CON_2016_Residential_Expend</f>
        <v>46327483</v>
      </c>
      <c r="W2">
        <f>+CON_2016_Residential_MWH</f>
        <v>141896</v>
      </c>
      <c r="X2">
        <f>+CON_2017_Agriculture_Expend</f>
        <v>0</v>
      </c>
      <c r="Y2">
        <f>+CON_2017_Agriculture_MWH</f>
        <v>0</v>
      </c>
      <c r="Z2">
        <f>+CON_2017_Commercial_Expend</f>
        <v>36385336.800000004</v>
      </c>
      <c r="AA2">
        <f>+CON_2017_Commercial_MWH</f>
        <v>154692.9</v>
      </c>
      <c r="AB2">
        <f>+CON_2017_Distribution_Expend</f>
        <v>0</v>
      </c>
      <c r="AC2">
        <f>+CON_2017_Distribution_MWH</f>
        <v>42</v>
      </c>
      <c r="AD2">
        <f>+CON_2017_Expenditures</f>
        <v>96897343.000000015</v>
      </c>
      <c r="AE2">
        <f>+CON_2017_Industrial_Expend</f>
        <v>4042815.2</v>
      </c>
      <c r="AF2">
        <f>+CON_2017_Industrial_MWH</f>
        <v>17188.100000000002</v>
      </c>
      <c r="AG2">
        <f>+CON_2017_MWH</f>
        <v>318629</v>
      </c>
      <c r="AH2">
        <f>+CON_2017_NEEA_Expend</f>
        <v>4032680</v>
      </c>
      <c r="AI2">
        <f>+CON_2017_NEEA_MWH</f>
        <v>17318</v>
      </c>
      <c r="AJ2">
        <f>+CON_2017_OtherSector1_Expend</f>
        <v>2169330</v>
      </c>
      <c r="AK2">
        <f>+CON_2017_OtherSector1_MWH</f>
        <v>2668</v>
      </c>
      <c r="AL2">
        <f>+CON_2017_OtherSector2_Expend</f>
        <v>0</v>
      </c>
      <c r="AM2">
        <f>+CON_2017_OtherSector2_MWH</f>
        <v>0</v>
      </c>
      <c r="AN2">
        <f>+CON_2017_Production_Expend</f>
        <v>0</v>
      </c>
      <c r="AO2">
        <f>+CON_2017_Production_MWH</f>
        <v>0</v>
      </c>
      <c r="AP2">
        <f>+CON_2017_Program1_Expend</f>
        <v>5815924</v>
      </c>
      <c r="AQ2">
        <f>+CON_2017_Program2_Expend</f>
        <v>1792015</v>
      </c>
      <c r="AR2">
        <f>+CON_2017_Residential_Expend</f>
        <v>42659242</v>
      </c>
      <c r="AS2">
        <f>+CON_2017_Residential_MWH</f>
        <v>126720</v>
      </c>
      <c r="AT2" t="str">
        <f>+CON_Contact_Name</f>
        <v>Dan Anderson, Energy Efficiency</v>
      </c>
      <c r="AU2" t="str">
        <f>+CON_Email</f>
        <v>Daniel.Anderson@pse.com</v>
      </c>
      <c r="AV2" t="str">
        <f>+CON_Phone</f>
        <v>425 424-6837</v>
      </c>
      <c r="AW2">
        <f>+CON_Potential_2016_2025</f>
        <v>2770663</v>
      </c>
      <c r="AX2">
        <f>CON_Potential_2018_2027</f>
        <v>1799149</v>
      </c>
      <c r="AY2">
        <f>+CON_Report_Date</f>
        <v>43252</v>
      </c>
      <c r="AZ2">
        <f>+CON_Target_2016_2017</f>
        <v>605194</v>
      </c>
      <c r="BA2">
        <f>+CON_Target_2018_2019</f>
        <v>520456</v>
      </c>
    </row>
    <row r="6" spans="1:84" x14ac:dyDescent="0.3">
      <c r="A6" s="3" t="s">
        <v>13</v>
      </c>
    </row>
    <row r="7" spans="1:84" x14ac:dyDescent="0.3">
      <c r="A7" s="3" t="s">
        <v>14</v>
      </c>
    </row>
    <row r="8" spans="1:84" x14ac:dyDescent="0.3">
      <c r="A8" s="3" t="s">
        <v>37</v>
      </c>
    </row>
    <row r="9" spans="1:84" x14ac:dyDescent="0.3">
      <c r="A9" s="3" t="s">
        <v>39</v>
      </c>
    </row>
    <row r="10" spans="1:84" x14ac:dyDescent="0.3">
      <c r="A10" s="3" t="s">
        <v>40</v>
      </c>
    </row>
    <row r="11" spans="1:84" x14ac:dyDescent="0.3">
      <c r="A11" s="3" t="s">
        <v>38</v>
      </c>
    </row>
    <row r="12" spans="1:84" x14ac:dyDescent="0.3">
      <c r="A12" s="3" t="s">
        <v>15</v>
      </c>
    </row>
    <row r="13" spans="1:84" x14ac:dyDescent="0.3">
      <c r="A13" s="3" t="s">
        <v>19</v>
      </c>
    </row>
    <row r="14" spans="1:84" x14ac:dyDescent="0.3">
      <c r="A14" s="3" t="s">
        <v>16</v>
      </c>
    </row>
    <row r="15" spans="1:84" x14ac:dyDescent="0.3">
      <c r="A15" s="3" t="s">
        <v>36</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2015-10-29T07:00:00+00:00</OpenedDate>
    <SignificantOrder xmlns="dc463f71-b30c-4ab2-9473-d307f9d35888">false</SignificantOrder>
    <Date1 xmlns="dc463f71-b30c-4ab2-9473-d307f9d35888">2018-06-01T07:00:00+00:00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2016-2017 Electric Biennial Conservation Plan per WAC 480-109-120(1).</Nickname>
    <DocketNumber xmlns="dc463f71-b30c-4ab2-9473-d307f9d35888">152058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6A4A60542A124AB98CDF8163BEAA44" ma:contentTypeVersion="119" ma:contentTypeDescription="" ma:contentTypeScope="" ma:versionID="180ea560e64b53d3f14dc26120ae1c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9FFBDD-9385-43B0-857A-6B59E51A33C3}"/>
</file>

<file path=customXml/itemProps2.xml><?xml version="1.0" encoding="utf-8"?>
<ds:datastoreItem xmlns:ds="http://schemas.openxmlformats.org/officeDocument/2006/customXml" ds:itemID="{B5134EF7-F04D-4218-953F-7A835D8EE7C1}">
  <ds:schemaRefs>
    <ds:schemaRef ds:uri="http://purl.org/dc/dcmitype/"/>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DF5F6B33-8BE6-4210-9B8B-5B68D24CE3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61</vt:i4>
      </vt:variant>
    </vt:vector>
  </HeadingPairs>
  <TitlesOfParts>
    <vt:vector size="65" baseType="lpstr">
      <vt:lpstr>Background</vt:lpstr>
      <vt:lpstr>Conservation Report</vt:lpstr>
      <vt:lpstr>Prior Report Data</vt:lpstr>
      <vt:lpstr>Data</vt:lpstr>
      <vt:lpstr>CON_2016_Agriculture_Expend</vt:lpstr>
      <vt:lpstr>CON_2016_Agriculture_MWH</vt:lpstr>
      <vt:lpstr>CON_2016_Commercial_Expend</vt:lpstr>
      <vt:lpstr>CON_2016_Commercial_MWH</vt:lpstr>
      <vt:lpstr>CON_2016_Distribution_Expend</vt:lpstr>
      <vt:lpstr>CON_2016_Distribution_MWH</vt:lpstr>
      <vt:lpstr>CON_2016_Expenditures</vt:lpstr>
      <vt:lpstr>CON_2016_Industrial_Expend</vt:lpstr>
      <vt:lpstr>CON_2016_Industrial_MWH</vt:lpstr>
      <vt:lpstr>CON_2016_MWH</vt:lpstr>
      <vt:lpstr>CON_2016_NEEA_Expend</vt:lpstr>
      <vt:lpstr>CON_2016_NEEA_MWH</vt:lpstr>
      <vt:lpstr>CON_2016_OtherSector1_Expend</vt:lpstr>
      <vt:lpstr>CON_2016_OtherSector1_MWH</vt:lpstr>
      <vt:lpstr>CON_2016_OtherSector2_Expend</vt:lpstr>
      <vt:lpstr>CON_2016_OtherSector2_MWH</vt:lpstr>
      <vt:lpstr>CON_2016_Production_Expend</vt:lpstr>
      <vt:lpstr>CON_2016_Production_MWH</vt:lpstr>
      <vt:lpstr>CON_2016_Program1_Expend</vt:lpstr>
      <vt:lpstr>CON_2016_Program2_Expend</vt:lpstr>
      <vt:lpstr>CON_2016_Residential_Expend</vt:lpstr>
      <vt:lpstr>CON_2016_Residential_MWH</vt:lpstr>
      <vt:lpstr>CON_2017_Agriculture_Expend</vt:lpstr>
      <vt:lpstr>CON_2017_Agriculture_MWH</vt:lpstr>
      <vt:lpstr>CON_2017_Commercial_Expend</vt:lpstr>
      <vt:lpstr>CON_2017_Commercial_MWH</vt:lpstr>
      <vt:lpstr>CON_2017_Distribution_Expend</vt:lpstr>
      <vt:lpstr>CON_2017_Distribution_MWH</vt:lpstr>
      <vt:lpstr>CON_2017_Expenditures</vt:lpstr>
      <vt:lpstr>CON_2017_Industrial_Expend</vt:lpstr>
      <vt:lpstr>CON_2017_Industrial_MWH</vt:lpstr>
      <vt:lpstr>CON_2017_MWH</vt:lpstr>
      <vt:lpstr>CON_2017_NEEA_Expend</vt:lpstr>
      <vt:lpstr>CON_2017_NEEA_MWH</vt:lpstr>
      <vt:lpstr>CON_2017_OtherSector1_Expend</vt:lpstr>
      <vt:lpstr>CON_2017_OtherSector1_MWH</vt:lpstr>
      <vt:lpstr>CON_2017_OtherSector2_Expend</vt:lpstr>
      <vt:lpstr>CON_2017_OtherSector2_MWH</vt:lpstr>
      <vt:lpstr>CON_2017_Production_Expend</vt:lpstr>
      <vt:lpstr>CON_2017_Production_MWH</vt:lpstr>
      <vt:lpstr>CON_2017_Program1_Expend</vt:lpstr>
      <vt:lpstr>CON_2017_Program2_Expend</vt:lpstr>
      <vt:lpstr>CON_2017_Residential_Expend</vt:lpstr>
      <vt:lpstr>CON_2017_Residential_MWH</vt:lpstr>
      <vt:lpstr>CON_Contact_Name</vt:lpstr>
      <vt:lpstr>CON_Email</vt:lpstr>
      <vt:lpstr>CON_Excess_2012_13</vt:lpstr>
      <vt:lpstr>CON_Excess_2014_15</vt:lpstr>
      <vt:lpstr>CON_Phone</vt:lpstr>
      <vt:lpstr>CON_Potential_2016_2025</vt:lpstr>
      <vt:lpstr>CON_Potential_2018_2027</vt:lpstr>
      <vt:lpstr>CON_Report_Date</vt:lpstr>
      <vt:lpstr>CON_Target_2016_2017</vt:lpstr>
      <vt:lpstr>CON_Target_2018_2019</vt:lpstr>
      <vt:lpstr>CON_Utility_Name</vt:lpstr>
      <vt:lpstr>'Conservation Report'!OLE_LINK1</vt:lpstr>
      <vt:lpstr>'Conservation Report'!OLE_LINK2</vt:lpstr>
      <vt:lpstr>'Conservation Report'!OLE_LINK3</vt:lpstr>
      <vt:lpstr>'Conservation Report'!OLE_LINK4</vt:lpstr>
      <vt:lpstr>'Conservation Report'!Print_Area</vt:lpstr>
      <vt:lpstr>UtilityList</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lastModifiedBy>Andy Hemstreet</cp:lastModifiedBy>
  <cp:lastPrinted>2018-05-22T14:54:37Z</cp:lastPrinted>
  <dcterms:created xsi:type="dcterms:W3CDTF">2012-03-20T21:01:26Z</dcterms:created>
  <dcterms:modified xsi:type="dcterms:W3CDTF">2018-05-22T14:54:40Z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0x0101006E56B4D1795A2E4DB2F0B01679ED314A002E6A4A60542A124AB98CDF8163BEAA44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