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K:\wrk\30_ava\3046-12-2020GRC\dir\_exh\"/>
    </mc:Choice>
  </mc:AlternateContent>
  <bookViews>
    <workbookView xWindow="0" yWindow="3600" windowWidth="28800" windowHeight="13020"/>
  </bookViews>
  <sheets>
    <sheet name="Exh. No. BGM-4 1-2" sheetId="79" r:id="rId1"/>
    <sheet name="Exh. No. BGM-4 3" sheetId="54" r:id="rId2"/>
    <sheet name="Exh. No. BGM-4 4-5" sheetId="55" r:id="rId3"/>
    <sheet name="Exh. No. BGM-4 6" sheetId="56" r:id="rId4"/>
    <sheet name="Acerno_Cache_XXXXX" sheetId="78" state="veryHidden" r:id="rId5"/>
    <sheet name="Exh. No. BGM-4 7-11" sheetId="1" r:id="rId6"/>
    <sheet name="ADJ SUMMARY" sheetId="3" r:id="rId7"/>
    <sheet name="DEBT CALC" sheetId="75" r:id="rId8"/>
    <sheet name="ROO INPUT" sheetId="5" r:id="rId9"/>
    <sheet name="LEAD SHEETS-DO NOT ENTER" sheetId="76" r:id="rId10"/>
    <sheet name="Recap Summary" sheetId="6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ID_Elec" localSheetId="7">'DEBT CALC'!$A$79:$F$156</definedName>
    <definedName name="ID_Elec" localSheetId="1">[1]DebtCalc!#REF!</definedName>
    <definedName name="ID_Elec" localSheetId="2">[1]DebtCalc!#REF!</definedName>
    <definedName name="ID_Elec" localSheetId="3">[2]DebtCalc!#REF!</definedName>
    <definedName name="ID_Elec" localSheetId="9">#REF!</definedName>
    <definedName name="ID_Elec" localSheetId="10">#REF!</definedName>
    <definedName name="ID_Gas" localSheetId="7">'DEBT CALC'!#REF!</definedName>
    <definedName name="ID_Gas" localSheetId="0">'[3]DEBT CALC'!#REF!</definedName>
    <definedName name="ID_Gas" localSheetId="9">#REF!</definedName>
    <definedName name="ID_Gas">'[4]DEBT CALC'!#REF!</definedName>
    <definedName name="_xlnm.Print_Area" localSheetId="6">'ADJ SUMMARY'!$A$1:$F$43</definedName>
    <definedName name="_xlnm.Print_Area" localSheetId="7">'DEBT CALC'!$A$1:$I$57</definedName>
    <definedName name="_xlnm.Print_Area" localSheetId="0">'Exh. No. BGM-4 1-2'!$A$1:$AF$62</definedName>
    <definedName name="_xlnm.Print_Area" localSheetId="1">'Exh. No. BGM-4 3'!$A$1:$J$82</definedName>
    <definedName name="_xlnm.Print_Area" localSheetId="2">'Exh. No. BGM-4 4-5'!$A$1:$H$44,'Exh. No. BGM-4 4-5'!$I$1:$O$19</definedName>
    <definedName name="_xlnm.Print_Area" localSheetId="3">'Exh. No. BGM-4 6'!$A$1:$F$29</definedName>
    <definedName name="_xlnm.Print_Area" localSheetId="5">'Exh. No. BGM-4 7-11'!$A$2:$AN$84</definedName>
    <definedName name="_xlnm.Print_Area" localSheetId="9">'LEAD SHEETS-DO NOT ENTER'!$A$2:$AJ$82</definedName>
    <definedName name="_xlnm.Print_Area" localSheetId="10">'Recap Summary'!$A$1:$R$61</definedName>
    <definedName name="_xlnm.Print_Area" localSheetId="8">'ROO INPUT'!$A$3:$G$82</definedName>
    <definedName name="Print_for_CBReport" localSheetId="10">'Recap Summary'!$A$11:$I$51</definedName>
    <definedName name="Print_for_Checking" localSheetId="7">'[5]ADJ SUMMARY'!$A$1:'[5]ADJ SUMMARY'!#REF!</definedName>
    <definedName name="Print_for_Checking" localSheetId="0">'[3]ADJ SUMMARY'!#REF!:'[3]ADJ SUMMARY'!#REF!</definedName>
    <definedName name="Print_for_Checking" localSheetId="10">'Recap Summary'!$A$11:$I$51</definedName>
    <definedName name="Print_for_Checking">'[4]ADJ SUMMARY'!#REF!:'[4]ADJ SUMMARY'!#REF!</definedName>
    <definedName name="_xlnm.Print_Titles" localSheetId="0">'Exh. No. BGM-4 1-2'!$A:$G</definedName>
    <definedName name="_xlnm.Print_Titles" localSheetId="5">'Exh. No. BGM-4 7-11'!$A:$D,'Exh. No. BGM-4 7-11'!$2:$10</definedName>
    <definedName name="_xlnm.Print_Titles" localSheetId="9">'LEAD SHEETS-DO NOT ENTER'!$A:$D,'LEAD SHEETS-DO NOT ENTER'!$2:$11</definedName>
    <definedName name="RRC_Adjustment_Print" localSheetId="0">#REF!</definedName>
    <definedName name="RRC_Adjustment_Print">#REF!</definedName>
    <definedName name="RRC_Rate_Print" localSheetId="0">#REF!</definedName>
    <definedName name="RRC_Rate_Print">#REF!</definedName>
    <definedName name="Summary" localSheetId="7">#REF!</definedName>
    <definedName name="Summary" localSheetId="0">#REF!</definedName>
    <definedName name="Summary" localSheetId="9">#REF!</definedName>
    <definedName name="Summary">#REF!</definedName>
    <definedName name="WA_Elec" localSheetId="7">'DEBT CALC'!$A$1:$F$78</definedName>
    <definedName name="WA_Elec" localSheetId="1">[1]DebtCalc!#REF!</definedName>
    <definedName name="WA_Elec" localSheetId="2">[1]DebtCalc!#REF!</definedName>
    <definedName name="WA_Elec" localSheetId="3">[2]DebtCalc!#REF!</definedName>
    <definedName name="WA_Elec" localSheetId="9">#REF!</definedName>
    <definedName name="WA_Elec" localSheetId="10">#REF!</definedName>
    <definedName name="WA_Gas" localSheetId="7">'DEBT CALC'!#REF!</definedName>
    <definedName name="WA_Gas" localSheetId="0">'[3]DEBT CALC'!#REF!</definedName>
    <definedName name="WA_Gas" localSheetId="9">#REF!</definedName>
    <definedName name="WA_Gas">'[4]DEBT CALC'!#REF!</definedName>
    <definedName name="Z_5BE913A1_B14F_11D2_B0DC_0000832CDFF0_.wvu.Cols" localSheetId="5" hidden="1">'Exh. No. BGM-4 7-11'!$W:$AN</definedName>
    <definedName name="Z_5BE913A1_B14F_11D2_B0DC_0000832CDFF0_.wvu.Cols" localSheetId="9" hidden="1">'LEAD SHEETS-DO NOT ENTER'!$AA:$AC</definedName>
    <definedName name="Z_5BE913A1_B14F_11D2_B0DC_0000832CDFF0_.wvu.PrintArea" localSheetId="6" hidden="1">'ADJ SUMMARY'!$A$1:$F$43</definedName>
    <definedName name="Z_5BE913A1_B14F_11D2_B0DC_0000832CDFF0_.wvu.PrintArea" localSheetId="5" hidden="1">'Exh. No. BGM-4 7-11'!$E$11:$AN$82</definedName>
    <definedName name="Z_5BE913A1_B14F_11D2_B0DC_0000832CDFF0_.wvu.PrintArea" localSheetId="9" hidden="1">'LEAD SHEETS-DO NOT ENTER'!$E$12:$AC$83</definedName>
    <definedName name="Z_5BE913A1_B14F_11D2_B0DC_0000832CDFF0_.wvu.PrintArea" localSheetId="10" hidden="1">'Recap Summary'!$A$11:$I$51</definedName>
    <definedName name="Z_5BE913A1_B14F_11D2_B0DC_0000832CDFF0_.wvu.PrintArea" localSheetId="8" hidden="1">'ROO INPUT'!$A$3:$G$82</definedName>
    <definedName name="Z_5BE913A1_B14F_11D2_B0DC_0000832CDFF0_.wvu.PrintTitles" localSheetId="5" hidden="1">'Exh. No. BGM-4 7-11'!$A:$D,'Exh. No. BGM-4 7-11'!$2:$10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SUMMARY'!$29:$43,'ADJ SUMMARY'!#REF!</definedName>
    <definedName name="Z_5BE913A1_B14F_11D2_B0DC_0000832CDFF0_.wvu.Rows" localSheetId="10" hidden="1">'Recap Summary'!$32:$32,'Recap Summary'!$35:$51,'Recap Summary'!#REF!</definedName>
    <definedName name="Z_A15D1964_B049_11D2_8670_0000832CEEE8_.wvu.Cols" localSheetId="5" hidden="1">'Exh. No. BGM-4 7-11'!$W:$AN</definedName>
    <definedName name="Z_A15D1964_B049_11D2_8670_0000832CEEE8_.wvu.Cols" localSheetId="9" hidden="1">'LEAD SHEETS-DO NOT ENTER'!$AA:$AC</definedName>
    <definedName name="Z_A15D1964_B049_11D2_8670_0000832CEEE8_.wvu.PrintArea" localSheetId="6" hidden="1">'ADJ SUMMARY'!$A$1:$F$43</definedName>
    <definedName name="Z_A15D1964_B049_11D2_8670_0000832CEEE8_.wvu.PrintArea" localSheetId="5" hidden="1">'Exh. No. BGM-4 7-11'!$E$11:$AN$82</definedName>
    <definedName name="Z_A15D1964_B049_11D2_8670_0000832CEEE8_.wvu.PrintArea" localSheetId="9" hidden="1">'LEAD SHEETS-DO NOT ENTER'!$E$12:$AC$83</definedName>
    <definedName name="Z_A15D1964_B049_11D2_8670_0000832CEEE8_.wvu.PrintArea" localSheetId="10" hidden="1">'Recap Summary'!$A$11:$I$51</definedName>
    <definedName name="Z_A15D1964_B049_11D2_8670_0000832CEEE8_.wvu.PrintArea" localSheetId="8" hidden="1">'ROO INPUT'!$A$3:$G$82</definedName>
    <definedName name="Z_A15D1964_B049_11D2_8670_0000832CEEE8_.wvu.PrintTitles" localSheetId="5" hidden="1">'Exh. No. BGM-4 7-11'!$A:$D,'Exh. No. BGM-4 7-11'!$2:$10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SUMMARY'!$29:$43,'ADJ SUMMARY'!#REF!</definedName>
    <definedName name="Z_A15D1964_B049_11D2_8670_0000832CEEE8_.wvu.Rows" localSheetId="10" hidden="1">'Recap Summary'!$32:$32,'Recap Summary'!$35:$51,'Recap Summary'!#REF!</definedName>
  </definedNames>
  <calcPr calcId="171027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W27" i="79" l="1"/>
  <c r="W37" i="79" l="1"/>
  <c r="AA52" i="79" l="1"/>
  <c r="A1" i="54" l="1"/>
  <c r="J1" i="55"/>
  <c r="A1" i="55"/>
  <c r="C1" i="56"/>
  <c r="AK55" i="79" l="1"/>
  <c r="Y55" i="79"/>
  <c r="Y54" i="79"/>
  <c r="Y53" i="79"/>
  <c r="Y51" i="79"/>
  <c r="Y49" i="79"/>
  <c r="Y48" i="79"/>
  <c r="Y47" i="79"/>
  <c r="Y46" i="79"/>
  <c r="Y45" i="79"/>
  <c r="Y44" i="79"/>
  <c r="Y43" i="79"/>
  <c r="Y42" i="79"/>
  <c r="Y41" i="79"/>
  <c r="Y40" i="79"/>
  <c r="Y39" i="79"/>
  <c r="Y38" i="79"/>
  <c r="Y36" i="79"/>
  <c r="Y31" i="79"/>
  <c r="Y30" i="79"/>
  <c r="Y29" i="79"/>
  <c r="Y28" i="79"/>
  <c r="Y26" i="79"/>
  <c r="Y25" i="79"/>
  <c r="Y24" i="79"/>
  <c r="Y23" i="79"/>
  <c r="Y22" i="79"/>
  <c r="Y21" i="79"/>
  <c r="Y20" i="79"/>
  <c r="Y19" i="79"/>
  <c r="Y18" i="79"/>
  <c r="Y17" i="79"/>
  <c r="Y16" i="79"/>
  <c r="Y15" i="79"/>
  <c r="Y14" i="79"/>
  <c r="Y13" i="79"/>
  <c r="Y12" i="79"/>
  <c r="Y10" i="79"/>
  <c r="Y11" i="79"/>
  <c r="AE62" i="1"/>
  <c r="AE43" i="1"/>
  <c r="AC43" i="1"/>
  <c r="AA14" i="1"/>
  <c r="Y37" i="79" l="1"/>
  <c r="R37" i="79"/>
  <c r="R28" i="79" l="1"/>
  <c r="AI11" i="79" l="1"/>
  <c r="R40" i="79" l="1"/>
  <c r="Y27" i="79" l="1"/>
  <c r="U43" i="1"/>
  <c r="R27" i="79"/>
  <c r="R49" i="79"/>
  <c r="R51" i="79"/>
  <c r="R50" i="79"/>
  <c r="R26" i="79"/>
  <c r="R43" i="79"/>
  <c r="AJ64" i="1" l="1"/>
  <c r="Y52" i="79"/>
  <c r="R52" i="79"/>
  <c r="R41" i="79" l="1"/>
  <c r="R39" i="79"/>
  <c r="R17" i="79"/>
  <c r="R16" i="79"/>
  <c r="R15" i="79"/>
  <c r="R14" i="79"/>
  <c r="R12" i="79"/>
  <c r="R11" i="79"/>
  <c r="R10" i="79"/>
  <c r="F7" i="79"/>
  <c r="M13" i="55"/>
  <c r="M11" i="55"/>
  <c r="L13" i="55"/>
  <c r="L11" i="55"/>
  <c r="R54" i="79"/>
  <c r="R53" i="79"/>
  <c r="R48" i="79"/>
  <c r="R47" i="79"/>
  <c r="R46" i="79"/>
  <c r="R45" i="79"/>
  <c r="R44" i="79"/>
  <c r="R42" i="79"/>
  <c r="R38" i="79"/>
  <c r="R36" i="79"/>
  <c r="AA33" i="79"/>
  <c r="AA57" i="79" s="1"/>
  <c r="W33" i="79"/>
  <c r="R31" i="79"/>
  <c r="R30" i="79"/>
  <c r="R29" i="79"/>
  <c r="R25" i="79"/>
  <c r="R24" i="79"/>
  <c r="R23" i="79"/>
  <c r="R22" i="79"/>
  <c r="R21" i="79"/>
  <c r="R20" i="79"/>
  <c r="R19" i="79"/>
  <c r="R18" i="79"/>
  <c r="AI12" i="79"/>
  <c r="AK11" i="79"/>
  <c r="AK10" i="79"/>
  <c r="B10" i="79"/>
  <c r="AK12" i="79" l="1"/>
  <c r="B11" i="79"/>
  <c r="B12" i="79" s="1"/>
  <c r="P37" i="79" l="1"/>
  <c r="P28" i="79"/>
  <c r="P40" i="79"/>
  <c r="P27" i="79"/>
  <c r="P52" i="79"/>
  <c r="P49" i="79"/>
  <c r="P51" i="79"/>
  <c r="P43" i="79"/>
  <c r="P19" i="79"/>
  <c r="B13" i="79"/>
  <c r="P26" i="79" l="1"/>
  <c r="Y33" i="79"/>
  <c r="B14" i="79"/>
  <c r="B15" i="79" l="1"/>
  <c r="B16" i="79" l="1"/>
  <c r="B17" i="79" l="1"/>
  <c r="B18" i="79" l="1"/>
  <c r="B19" i="79" l="1"/>
  <c r="B20" i="79" s="1"/>
  <c r="B21" i="79" s="1"/>
  <c r="B22" i="79" s="1"/>
  <c r="B23" i="79" s="1"/>
  <c r="B24" i="79" s="1"/>
  <c r="B25" i="79" s="1"/>
  <c r="AF35" i="76" l="1"/>
  <c r="AJ70" i="1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J72" i="76" l="1"/>
  <c r="AK72" i="76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 s="1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AI4" i="79" s="1"/>
  <c r="L15" i="55"/>
  <c r="M37" i="79" l="1"/>
  <c r="AC37" i="79"/>
  <c r="T37" i="79"/>
  <c r="M28" i="79"/>
  <c r="T28" i="79"/>
  <c r="AC28" i="79"/>
  <c r="M45" i="79"/>
  <c r="M43" i="79"/>
  <c r="AC36" i="79"/>
  <c r="AC45" i="79"/>
  <c r="M48" i="79"/>
  <c r="M50" i="79"/>
  <c r="M44" i="79"/>
  <c r="M36" i="79"/>
  <c r="M49" i="79"/>
  <c r="M42" i="79"/>
  <c r="M39" i="79"/>
  <c r="M46" i="79"/>
  <c r="AC48" i="79"/>
  <c r="AC40" i="79"/>
  <c r="M41" i="79"/>
  <c r="M53" i="79"/>
  <c r="M40" i="79"/>
  <c r="M26" i="79"/>
  <c r="M51" i="79"/>
  <c r="M38" i="79"/>
  <c r="M27" i="79"/>
  <c r="M54" i="79"/>
  <c r="M19" i="79"/>
  <c r="AC47" i="79"/>
  <c r="M52" i="79"/>
  <c r="M47" i="79"/>
  <c r="AC13" i="79"/>
  <c r="AC54" i="79"/>
  <c r="AC38" i="79"/>
  <c r="AC17" i="79"/>
  <c r="AC41" i="79"/>
  <c r="AC19" i="79"/>
  <c r="AC25" i="79"/>
  <c r="T27" i="79"/>
  <c r="AC15" i="79"/>
  <c r="AC44" i="79"/>
  <c r="AC14" i="79"/>
  <c r="AC29" i="79"/>
  <c r="AC46" i="79"/>
  <c r="AC10" i="79"/>
  <c r="AC22" i="79"/>
  <c r="AC11" i="79"/>
  <c r="AC18" i="79"/>
  <c r="T49" i="79"/>
  <c r="T19" i="79"/>
  <c r="T51" i="79"/>
  <c r="AC51" i="79"/>
  <c r="AC21" i="79"/>
  <c r="T52" i="79"/>
  <c r="AC39" i="79"/>
  <c r="AC30" i="79"/>
  <c r="T40" i="79"/>
  <c r="AC42" i="79"/>
  <c r="AC31" i="79"/>
  <c r="AC53" i="79"/>
  <c r="AC23" i="79"/>
  <c r="AC27" i="79"/>
  <c r="AC26" i="79"/>
  <c r="AC20" i="79"/>
  <c r="T43" i="79"/>
  <c r="AC16" i="79"/>
  <c r="AC12" i="79"/>
  <c r="AC24" i="79"/>
  <c r="AC52" i="79"/>
  <c r="AC49" i="79"/>
  <c r="AC43" i="79"/>
  <c r="T26" i="79"/>
  <c r="N15" i="55"/>
  <c r="F13" i="55" s="1"/>
  <c r="P12" i="55"/>
  <c r="AC33" i="79" l="1"/>
  <c r="AF54" i="1"/>
  <c r="AF58" i="1" s="1"/>
  <c r="X54" i="1"/>
  <c r="X58" i="1" s="1"/>
  <c r="I54" i="1"/>
  <c r="I58" i="1" s="1"/>
  <c r="E86" i="1"/>
  <c r="O10" i="69"/>
  <c r="C27" i="3"/>
  <c r="B30" i="75" s="1"/>
  <c r="B27" i="3"/>
  <c r="P44" i="79" l="1"/>
  <c r="T44" i="79" s="1"/>
  <c r="M31" i="79"/>
  <c r="P31" i="79"/>
  <c r="T31" i="79" s="1"/>
  <c r="AF88" i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P46" i="79" l="1"/>
  <c r="T46" i="79" s="1"/>
  <c r="P42" i="79"/>
  <c r="T42" i="79" s="1"/>
  <c r="P39" i="79"/>
  <c r="T39" i="79" s="1"/>
  <c r="AL72" i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4" i="5" l="1"/>
  <c r="F46" i="5"/>
  <c r="AG53" i="1"/>
  <c r="AE54" i="76" s="1"/>
  <c r="F29" i="5"/>
  <c r="F23" i="5"/>
  <c r="F18" i="5"/>
  <c r="I42" i="69"/>
  <c r="L42" i="69" s="1"/>
  <c r="F45" i="5"/>
  <c r="E36" i="3"/>
  <c r="F37" i="75" s="1"/>
  <c r="G37" i="75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36" i="1"/>
  <c r="AJ30" i="1"/>
  <c r="AJ24" i="1"/>
  <c r="AJ17" i="1"/>
  <c r="X10" i="1" l="1"/>
  <c r="X11" i="76" s="1"/>
  <c r="AJ72" i="1"/>
  <c r="AJ74" i="1" s="1"/>
  <c r="AJ81" i="1" s="1"/>
  <c r="AJ54" i="1" s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K59" i="76" l="1"/>
  <c r="A33" i="69"/>
  <c r="A27" i="3"/>
  <c r="A30" i="75" s="1"/>
  <c r="AK53" i="1"/>
  <c r="AI54" i="76" s="1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4" i="1"/>
  <c r="A4" i="76" s="1"/>
  <c r="A5" i="1"/>
  <c r="A5" i="76" s="1"/>
  <c r="F10" i="1"/>
  <c r="F10" i="79" l="1"/>
  <c r="A1" i="3"/>
  <c r="A2" i="76"/>
  <c r="AB11" i="76"/>
  <c r="A4" i="3"/>
  <c r="A4" i="55"/>
  <c r="G10" i="1"/>
  <c r="G11" i="76" s="1"/>
  <c r="F11" i="76"/>
  <c r="F11" i="79" l="1"/>
  <c r="AC11" i="76"/>
  <c r="H10" i="1"/>
  <c r="F12" i="79" l="1"/>
  <c r="F22" i="79"/>
  <c r="F31" i="79"/>
  <c r="F18" i="79"/>
  <c r="F21" i="79"/>
  <c r="F16" i="79"/>
  <c r="F19" i="79"/>
  <c r="F20" i="79"/>
  <c r="H11" i="76"/>
  <c r="I10" i="1"/>
  <c r="F48" i="79" s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F39" i="79" l="1"/>
  <c r="F15" i="79"/>
  <c r="F14" i="79"/>
  <c r="F47" i="79"/>
  <c r="F23" i="79"/>
  <c r="F42" i="79"/>
  <c r="F45" i="79"/>
  <c r="F30" i="79"/>
  <c r="F17" i="79"/>
  <c r="F36" i="79"/>
  <c r="F25" i="79"/>
  <c r="F29" i="79"/>
  <c r="F41" i="79"/>
  <c r="F53" i="79"/>
  <c r="F54" i="79"/>
  <c r="F24" i="79"/>
  <c r="F46" i="79"/>
  <c r="F44" i="79"/>
  <c r="F38" i="79"/>
  <c r="A12" i="3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K7" i="79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R7" i="79" l="1"/>
  <c r="F53" i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G11" i="75"/>
  <c r="L24" i="69"/>
  <c r="L20" i="69"/>
  <c r="L11" i="69"/>
  <c r="E82" i="1" l="1"/>
  <c r="I7" i="79"/>
  <c r="E19" i="3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P7" i="79" l="1"/>
  <c r="T7" i="79" s="1"/>
  <c r="M7" i="79"/>
  <c r="F44" i="75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71" i="1"/>
  <c r="AN24" i="1"/>
  <c r="AN65" i="1"/>
  <c r="AN30" i="1"/>
  <c r="AN17" i="1"/>
  <c r="G22" i="54" l="1"/>
  <c r="AN72" i="1"/>
  <c r="AN74" i="1" s="1"/>
  <c r="AN81" i="1" s="1"/>
  <c r="F11" i="55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4" i="54"/>
  <c r="G72" i="54" l="1"/>
  <c r="G64" i="54"/>
  <c r="G66" i="54" s="1"/>
  <c r="J34" i="54"/>
  <c r="H37" i="54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73" i="54" l="1"/>
  <c r="G75" i="54" s="1"/>
  <c r="G81" i="54" s="1"/>
  <c r="J73" i="54"/>
  <c r="J75" i="54" s="1"/>
  <c r="J8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P53" i="79" l="1"/>
  <c r="T53" i="79" s="1"/>
  <c r="P36" i="79"/>
  <c r="T36" i="79" s="1"/>
  <c r="P54" i="79"/>
  <c r="T54" i="79" s="1"/>
  <c r="M20" i="79"/>
  <c r="P20" i="79"/>
  <c r="T20" i="79" s="1"/>
  <c r="M16" i="79"/>
  <c r="P16" i="79"/>
  <c r="T16" i="79" s="1"/>
  <c r="P10" i="79"/>
  <c r="M10" i="79"/>
  <c r="M22" i="79"/>
  <c r="P22" i="79"/>
  <c r="T22" i="79" s="1"/>
  <c r="I15" i="75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AE55" i="76"/>
  <c r="AE59" i="76" s="1"/>
  <c r="O37" i="69"/>
  <c r="S58" i="1"/>
  <c r="O88" i="1"/>
  <c r="G58" i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F48" i="75"/>
  <c r="I11" i="75"/>
  <c r="M58" i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O45" i="69"/>
  <c r="O32" i="69"/>
  <c r="O38" i="69"/>
  <c r="O42" i="69"/>
  <c r="O11" i="69"/>
  <c r="P11" i="69" s="1"/>
  <c r="O22" i="69"/>
  <c r="O28" i="69"/>
  <c r="K58" i="1"/>
  <c r="AI58" i="1"/>
  <c r="U58" i="1"/>
  <c r="T58" i="1"/>
  <c r="L55" i="76"/>
  <c r="L59" i="76" s="1"/>
  <c r="H58" i="1"/>
  <c r="AA55" i="76"/>
  <c r="AA59" i="76" s="1"/>
  <c r="Y54" i="1"/>
  <c r="AN54" i="1" s="1"/>
  <c r="H55" i="54" s="1"/>
  <c r="AD58" i="1"/>
  <c r="Q55" i="76"/>
  <c r="Q59" i="76" s="1"/>
  <c r="Q58" i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D33" i="3" l="1"/>
  <c r="H42" i="69"/>
  <c r="K42" i="69" s="1"/>
  <c r="N42" i="69" s="1"/>
  <c r="P38" i="79"/>
  <c r="T38" i="79" s="1"/>
  <c r="D38" i="3"/>
  <c r="D11" i="3"/>
  <c r="D16" i="3"/>
  <c r="H13" i="69"/>
  <c r="K13" i="69" s="1"/>
  <c r="N13" i="69" s="1"/>
  <c r="P13" i="69" s="1"/>
  <c r="D23" i="3"/>
  <c r="H19" i="69"/>
  <c r="K19" i="69" s="1"/>
  <c r="N19" i="69" s="1"/>
  <c r="M29" i="79"/>
  <c r="P29" i="79"/>
  <c r="T29" i="79" s="1"/>
  <c r="T10" i="79"/>
  <c r="D24" i="3"/>
  <c r="D22" i="3"/>
  <c r="D14" i="3"/>
  <c r="D17" i="3"/>
  <c r="H26" i="69"/>
  <c r="K26" i="69" s="1"/>
  <c r="N26" i="69" s="1"/>
  <c r="P26" i="69" s="1"/>
  <c r="I44" i="75"/>
  <c r="P47" i="69"/>
  <c r="P33" i="69"/>
  <c r="AC89" i="1"/>
  <c r="AC83" i="1" s="1"/>
  <c r="R89" i="1"/>
  <c r="R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P48" i="79" l="1"/>
  <c r="T48" i="79" s="1"/>
  <c r="P45" i="79"/>
  <c r="T45" i="79" s="1"/>
  <c r="P47" i="79"/>
  <c r="T47" i="79" s="1"/>
  <c r="P41" i="79"/>
  <c r="T41" i="79" s="1"/>
  <c r="M21" i="79"/>
  <c r="P21" i="79"/>
  <c r="T21" i="79" s="1"/>
  <c r="M25" i="79"/>
  <c r="P25" i="79"/>
  <c r="T25" i="79" s="1"/>
  <c r="M24" i="79"/>
  <c r="P24" i="79"/>
  <c r="T24" i="79" s="1"/>
  <c r="M18" i="79"/>
  <c r="P18" i="79"/>
  <c r="T18" i="79" s="1"/>
  <c r="M11" i="79"/>
  <c r="P11" i="79"/>
  <c r="M15" i="79"/>
  <c r="P15" i="79"/>
  <c r="T15" i="79" s="1"/>
  <c r="M17" i="79"/>
  <c r="P17" i="79"/>
  <c r="T17" i="79" s="1"/>
  <c r="M23" i="79"/>
  <c r="P23" i="79"/>
  <c r="T23" i="79" s="1"/>
  <c r="M14" i="79"/>
  <c r="P14" i="79"/>
  <c r="T14" i="79" s="1"/>
  <c r="M12" i="79"/>
  <c r="P12" i="79"/>
  <c r="T12" i="79" s="1"/>
  <c r="J58" i="75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T11" i="79" l="1"/>
  <c r="J55" i="54"/>
  <c r="G55" i="54"/>
  <c r="F57" i="75"/>
  <c r="G57" i="75" s="1"/>
  <c r="G54" i="75"/>
  <c r="W58" i="1"/>
  <c r="W54" i="76"/>
  <c r="W59" i="76" s="1"/>
  <c r="P12" i="69"/>
  <c r="N17" i="69"/>
  <c r="M30" i="79" l="1"/>
  <c r="P30" i="79"/>
  <c r="Y58" i="1"/>
  <c r="Y88" i="1" s="1"/>
  <c r="H32" i="69"/>
  <c r="D26" i="3"/>
  <c r="D28" i="3" s="1"/>
  <c r="W88" i="1"/>
  <c r="T30" i="79" l="1"/>
  <c r="F28" i="3"/>
  <c r="Y89" i="1"/>
  <c r="Y83" i="1" s="1"/>
  <c r="W89" i="1"/>
  <c r="W83" i="1" s="1"/>
  <c r="K32" i="69"/>
  <c r="H34" i="69"/>
  <c r="N32" i="69" l="1"/>
  <c r="K34" i="69"/>
  <c r="P32" i="69" l="1"/>
  <c r="N34" i="69"/>
  <c r="B26" i="79" l="1"/>
  <c r="B27" i="79" l="1"/>
  <c r="B28" i="79" s="1"/>
  <c r="B29" i="79" l="1"/>
  <c r="B30" i="79" s="1"/>
  <c r="B31" i="79" l="1"/>
  <c r="B33" i="79" l="1"/>
  <c r="B36" i="79" s="1"/>
  <c r="B37" i="79" s="1"/>
  <c r="B38" i="79" l="1"/>
  <c r="B39" i="79" s="1"/>
  <c r="B40" i="79" l="1"/>
  <c r="B41" i="79" s="1"/>
  <c r="B42" i="79" l="1"/>
  <c r="B43" i="79" s="1"/>
  <c r="B44" i="79" s="1"/>
  <c r="B45" i="79" s="1"/>
  <c r="B46" i="79" l="1"/>
  <c r="B47" i="79" s="1"/>
  <c r="B48" i="79" s="1"/>
  <c r="B49" i="79" s="1"/>
  <c r="B50" i="79" s="1"/>
  <c r="B51" i="79" s="1"/>
  <c r="B52" i="79" s="1"/>
  <c r="B53" i="79" s="1"/>
  <c r="B54" i="79" s="1"/>
  <c r="B57" i="79" s="1"/>
  <c r="D13" i="79" l="1"/>
  <c r="F13" i="79" l="1"/>
  <c r="M13" i="79" l="1"/>
  <c r="K33" i="79"/>
  <c r="R13" i="79"/>
  <c r="P13" i="79"/>
  <c r="P33" i="79" s="1"/>
  <c r="I33" i="79"/>
  <c r="I57" i="79" s="1"/>
  <c r="T13" i="79" l="1"/>
  <c r="T33" i="79" s="1"/>
  <c r="R33" i="79"/>
  <c r="R57" i="79" s="1"/>
  <c r="K57" i="79"/>
  <c r="AK17" i="79" s="1"/>
  <c r="AK19" i="79" s="1"/>
  <c r="M33" i="79"/>
  <c r="M57" i="79" s="1"/>
  <c r="M61" i="79" s="1"/>
  <c r="AK20" i="79" l="1"/>
  <c r="V59" i="79"/>
  <c r="W50" i="79" l="1"/>
  <c r="W57" i="79" s="1"/>
  <c r="AJ44" i="1" l="1"/>
  <c r="AJ47" i="1" s="1"/>
  <c r="AJ48" i="1" s="1"/>
  <c r="AJ50" i="1" s="1"/>
  <c r="Y50" i="79"/>
  <c r="P50" i="79" s="1"/>
  <c r="Y57" i="79"/>
  <c r="AC57" i="79" s="1"/>
  <c r="AC50" i="79"/>
  <c r="AH45" i="76" l="1"/>
  <c r="AH48" i="76" s="1"/>
  <c r="AH49" i="76" s="1"/>
  <c r="AH51" i="76" s="1"/>
  <c r="AN44" i="1"/>
  <c r="AJ53" i="1"/>
  <c r="AJ58" i="1" s="1"/>
  <c r="H45" i="54"/>
  <c r="AN47" i="1"/>
  <c r="AN48" i="1" s="1"/>
  <c r="AN50" i="1" s="1"/>
  <c r="T50" i="79"/>
  <c r="T57" i="79" s="1"/>
  <c r="P57" i="79"/>
  <c r="J45" i="54" l="1"/>
  <c r="H48" i="54"/>
  <c r="H49" i="54" s="1"/>
  <c r="H51" i="54" s="1"/>
  <c r="G45" i="54"/>
  <c r="G48" i="54" s="1"/>
  <c r="G49" i="54" s="1"/>
  <c r="G51" i="54" s="1"/>
  <c r="AK57" i="79"/>
  <c r="AJ88" i="1"/>
  <c r="AJ89" i="1" s="1"/>
  <c r="AJ83" i="1" s="1"/>
  <c r="D39" i="3"/>
  <c r="D43" i="3" s="1"/>
  <c r="F43" i="3" s="1"/>
  <c r="H45" i="69"/>
  <c r="AH54" i="76"/>
  <c r="AH59" i="76" s="1"/>
  <c r="AN53" i="1"/>
  <c r="H54" i="54" s="1"/>
  <c r="G54" i="54" s="1"/>
  <c r="G59" i="54" l="1"/>
  <c r="AN58" i="1"/>
  <c r="F17" i="55" s="1"/>
  <c r="F19" i="55" s="1"/>
  <c r="F23" i="55" s="1"/>
  <c r="H59" i="54"/>
  <c r="H82" i="54" s="1"/>
  <c r="K45" i="69"/>
  <c r="H50" i="69"/>
  <c r="AN88" i="1" l="1"/>
  <c r="AN89" i="1" s="1"/>
  <c r="AN83" i="1" s="1"/>
  <c r="T59" i="79"/>
  <c r="T61" i="79" s="1"/>
  <c r="O60" i="69"/>
  <c r="J12" i="56"/>
  <c r="O55" i="69"/>
  <c r="F31" i="55"/>
  <c r="F43" i="55"/>
  <c r="F36" i="55" s="1"/>
  <c r="F27" i="55"/>
  <c r="N45" i="69"/>
  <c r="K50" i="69"/>
  <c r="P45" i="69" l="1"/>
  <c r="N50" i="69"/>
  <c r="O51" i="69" s="1"/>
  <c r="O54" i="69" s="1"/>
  <c r="O56" i="69" s="1"/>
  <c r="P60" i="69" s="1"/>
  <c r="J17" i="56"/>
  <c r="I44" i="54" s="1"/>
  <c r="I15" i="54"/>
  <c r="J15" i="56"/>
  <c r="J19" i="56"/>
  <c r="I36" i="54" s="1"/>
  <c r="I48" i="54" l="1"/>
  <c r="J44" i="54"/>
  <c r="J48" i="54" s="1"/>
  <c r="J36" i="54"/>
  <c r="J37" i="54" s="1"/>
  <c r="I37" i="54"/>
  <c r="I39" i="54"/>
  <c r="J39" i="54" s="1"/>
  <c r="J21" i="56"/>
  <c r="J23" i="56" s="1"/>
  <c r="J25" i="56" s="1"/>
  <c r="J15" i="54"/>
  <c r="J18" i="54" s="1"/>
  <c r="I18" i="54"/>
  <c r="J49" i="54" l="1"/>
  <c r="J51" i="54" s="1"/>
  <c r="I49" i="54"/>
  <c r="I51" i="54" s="1"/>
  <c r="J27" i="56"/>
  <c r="J29" i="56" s="1"/>
  <c r="J30" i="56" s="1"/>
  <c r="I54" i="54"/>
  <c r="J54" i="54" s="1"/>
  <c r="J59" i="54" l="1"/>
  <c r="J82" i="54" s="1"/>
  <c r="I59" i="54"/>
  <c r="F35" i="55" l="1"/>
  <c r="F39" i="55" s="1"/>
  <c r="G39" i="55" l="1"/>
  <c r="H39" i="55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<sst xmlns="http://schemas.openxmlformats.org/spreadsheetml/2006/main" count="1050" uniqueCount="611">
  <si>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</si>
  <si>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</si>
  <si>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</si>
  <si>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</si>
  <si>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</si>
  <si>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</si>
  <si>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</si>
  <si>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</si>
  <si>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</si>
  <si>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</si>
  <si>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</si>
  <si>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</si>
  <si>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</si>
  <si>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</si>
  <si>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</si>
  <si>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</si>
  <si>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</si>
  <si>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</si>
  <si>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</si>
  <si>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</si>
  <si>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</si>
  <si>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</si>
  <si>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</si>
  <si>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</si>
  <si>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</si>
  <si>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</si>
  <si>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</si>
  <si>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</si>
  <si>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</si>
  <si>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</si>
  <si>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</si>
  <si>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</si>
  <si>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</si>
  <si>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</si>
  <si>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</si>
  <si>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</si>
  <si>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</si>
  <si>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</si>
  <si>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</si>
  <si>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</si>
  <si>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</si>
  <si>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</si>
  <si>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</si>
  <si>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</si>
  <si>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</si>
  <si>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</si>
  <si>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</si>
  <si>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</si>
  <si>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</si>
  <si>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</si>
  <si>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</si>
  <si>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</si>
  <si>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</si>
  <si>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</si>
  <si>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</si>
  <si>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</si>
  <si>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</si>
  <si>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</si>
  <si>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</si>
  <si>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</si>
  <si>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</si>
  <si>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</si>
  <si>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</si>
  <si>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</si>
  <si>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</si>
  <si>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</si>
  <si>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</si>
  <si>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</si>
  <si>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</si>
  <si>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</si>
  <si>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</si>
  <si>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</si>
  <si>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</si>
  <si>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</si>
  <si>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</si>
  <si>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</si>
  <si>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</si>
  <si>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</si>
  <si>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</si>
  <si>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</si>
  <si>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</si>
  <si>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</si>
  <si>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</si>
  <si>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</si>
  <si>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</si>
  <si>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</si>
  <si>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</si>
  <si>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</si>
  <si>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</si>
  <si>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</si>
  <si>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</si>
  <si>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</si>
  <si>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</si>
  <si>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</si>
  <si>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</si>
  <si>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</si>
  <si>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</si>
  <si>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</si>
  <si>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</si>
  <si>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</si>
  <si>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</si>
  <si>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</si>
  <si>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</si>
  <si>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</si>
  <si>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</si>
  <si>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</si>
  <si>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</si>
  <si>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</si>
  <si>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</si>
  <si>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</si>
  <si>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</si>
  <si>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</si>
  <si>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</si>
  <si>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</si>
  <si>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</si>
  <si>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</si>
  <si>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</si>
  <si>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</si>
  <si>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</si>
  <si>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</si>
  <si>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</si>
  <si>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</si>
  <si>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</si>
  <si>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</si>
  <si>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</si>
  <si>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</si>
  <si>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</si>
  <si>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</si>
  <si>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</si>
  <si>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</si>
  <si>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</si>
  <si>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</si>
  <si>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</si>
  <si>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</si>
  <si>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</si>
  <si>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</si>
  <si>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</si>
  <si>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</si>
  <si>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</si>
  <si>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</si>
  <si>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</si>
  <si>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</si>
  <si>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</si>
  <si>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</si>
  <si>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</si>
  <si>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</si>
  <si>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</si>
  <si>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</si>
  <si>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</si>
  <si>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</si>
  <si>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</si>
  <si>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</si>
  <si>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</si>
  <si>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</si>
  <si>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</si>
  <si>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</si>
  <si>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</si>
  <si>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</si>
  <si>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</si>
  <si>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</si>
  <si>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</si>
  <si>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</si>
  <si>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</si>
  <si>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</si>
  <si>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</si>
  <si>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</si>
  <si>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</si>
  <si>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</si>
  <si>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</si>
  <si>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</si>
  <si>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</si>
  <si>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</si>
  <si>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</si>
  <si>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</si>
  <si>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</si>
  <si>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</si>
  <si>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</si>
  <si>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</si>
  <si>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</si>
  <si>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</si>
  <si>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</si>
  <si>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</si>
  <si>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</si>
  <si>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</si>
  <si>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</si>
  <si>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</si>
  <si>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</si>
  <si>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</si>
  <si>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</si>
  <si>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</si>
  <si>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</si>
  <si>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</si>
  <si>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</si>
  <si>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</si>
  <si>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</si>
  <si>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</si>
  <si>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</si>
  <si>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</si>
  <si>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</si>
  <si>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</si>
  <si>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</si>
  <si>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</si>
  <si>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</si>
  <si>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</si>
  <si>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</si>
  <si>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</si>
  <si>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</si>
  <si>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</si>
  <si>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</si>
  <si>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</si>
  <si>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</si>
  <si>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</si>
  <si>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</si>
  <si>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</si>
  <si>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</si>
  <si>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</si>
  <si>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</si>
  <si>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</si>
  <si>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</si>
  <si>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</si>
  <si>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</si>
  <si>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</si>
  <si>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</si>
  <si>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</si>
  <si>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</si>
  <si>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</si>
  <si>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</si>
  <si>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</si>
  <si>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</si>
  <si>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</si>
  <si>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</si>
  <si>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</si>
  <si>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</si>
  <si>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</si>
  <si>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</si>
  <si>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</si>
  <si>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</si>
  <si>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</si>
  <si>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</si>
  <si>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</si>
  <si>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</si>
  <si>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</si>
  <si>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</si>
  <si>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</si>
  <si>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</si>
  <si>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</si>
  <si>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</si>
  <si>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</si>
  <si>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</si>
  <si>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</si>
  <si>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</si>
  <si>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</si>
  <si>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</si>
  <si>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</si>
  <si>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</si>
  <si>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</si>
  <si>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</si>
  <si>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</si>
  <si>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</si>
  <si>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</si>
  <si>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</si>
  <si>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</si>
  <si>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</si>
  <si>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</si>
  <si>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</si>
  <si>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</si>
  <si>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</si>
  <si>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</si>
  <si>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</si>
  <si>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</si>
  <si>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</si>
  <si>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</si>
  <si>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</si>
  <si>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</si>
  <si>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</si>
  <si>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</si>
  <si>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</si>
  <si>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</si>
  <si>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</si>
  <si>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</si>
  <si>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</si>
  <si>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</si>
  <si>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</si>
  <si>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</si>
  <si>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</si>
  <si>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</si>
  <si>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</si>
  <si>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</si>
  <si>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</si>
  <si>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</si>
  <si>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</si>
  <si>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</si>
  <si>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</si>
  <si>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</si>
  <si>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</si>
  <si>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</si>
  <si>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</si>
  <si>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</si>
  <si>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</si>
  <si>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</si>
  <si>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</si>
  <si>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</si>
  <si>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</si>
  <si>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</si>
  <si>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</si>
  <si>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</si>
  <si>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</si>
  <si>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</si>
  <si>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</si>
  <si>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</si>
  <si>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</si>
  <si>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</si>
  <si>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</si>
  <si>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</si>
  <si>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</si>
  <si>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</si>
  <si>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</si>
  <si>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</si>
  <si>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</si>
  <si>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</si>
  <si>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</si>
  <si>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</si>
  <si>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</si>
  <si>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</si>
  <si>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</si>
  <si>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</si>
  <si>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</si>
  <si>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</si>
  <si>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</si>
  <si>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</si>
  <si>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</si>
  <si>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</si>
  <si>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</si>
  <si>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</si>
  <si>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</si>
  <si>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</si>
  <si>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</si>
  <si>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</si>
  <si>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</si>
  <si>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</si>
  <si>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</si>
  <si>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</si>
  <si>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</si>
  <si>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</si>
  <si>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</si>
  <si>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</si>
  <si>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</si>
  <si>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</si>
  <si>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</si>
  <si>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</si>
  <si>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</si>
  <si>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</si>
  <si>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</si>
  <si>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</si>
  <si>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</si>
  <si>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</si>
  <si>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</si>
  <si>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</si>
  <si>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</si>
  <si>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</si>
  <si>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</si>
  <si>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</si>
  <si>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</si>
  <si>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</si>
  <si>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</si>
  <si>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</si>
  <si>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</si>
  <si>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</si>
  <si>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</si>
  <si>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</si>
  <si>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</si>
  <si>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</si>
  <si>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</si>
  <si>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</si>
  <si>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</si>
  <si>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</si>
  <si>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</si>
  <si>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</si>
  <si>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</si>
  <si>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</si>
  <si>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</si>
  <si>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</si>
  <si>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</si>
  <si>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</si>
  <si>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</si>
  <si>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</si>
  <si>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</si>
  <si>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</si>
  <si>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</si>
  <si>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</si>
  <si>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</si>
  <si>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</si>
  <si>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</si>
  <si>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</si>
  <si>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</si>
  <si>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</si>
  <si>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</si>
  <si>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</si>
  <si>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</si>
  <si>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</si>
  <si>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</si>
  <si>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</si>
  <si>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</si>
  <si>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</si>
  <si>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</si>
  <si>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</si>
  <si>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</si>
  <si>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</si>
  <si>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</si>
  <si>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</si>
  <si>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</si>
  <si>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</si>
  <si>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</si>
  <si>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</si>
  <si>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</si>
  <si>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</si>
  <si>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</si>
  <si>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</si>
  <si>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</si>
  <si>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</si>
  <si>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</si>
  <si>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</si>
  <si>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</si>
  <si>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</si>
  <si>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</si>
  <si>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</si>
  <si>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</si>
  <si>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</si>
  <si>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</si>
  <si>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</si>
  <si>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</si>
  <si>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</si>
  <si>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</si>
  <si>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</si>
  <si>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</si>
  <si>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</si>
  <si>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</si>
  <si>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</si>
  <si>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</si>
  <si>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</si>
  <si>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</si>
  <si>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</si>
  <si>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</si>
  <si>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</si>
  <si>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</si>
  <si>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</si>
  <si>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</si>
  <si>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</si>
  <si>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</si>
  <si>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</si>
  <si>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</si>
  <si>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</si>
  <si>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</si>
  <si>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</si>
  <si>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</si>
  <si>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</si>
  <si>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</si>
  <si>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</si>
  <si>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</si>
  <si>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</si>
  <si>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</si>
  <si>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</si>
  <si>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</si>
  <si>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</si>
  <si>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</si>
  <si>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</si>
  <si>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</si>
  <si>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</si>
  <si>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</si>
  <si>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</si>
  <si>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</si>
  <si>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</si>
  <si>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</si>
  <si>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</si>
  <si>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</si>
  <si>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</si>
  <si>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</si>
  <si>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</si>
  <si>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</si>
  <si>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</si>
  <si>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</si>
  <si>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</si>
  <si>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</si>
  <si>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</si>
  <si>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</si>
  <si>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</si>
  <si>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</si>
  <si>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</si>
  <si>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</si>
  <si>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</si>
  <si>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</si>
  <si>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</si>
  <si>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</si>
  <si>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</si>
  <si>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</si>
  <si>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</si>
  <si>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</si>
  <si>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</si>
  <si>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</si>
  <si>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</si>
  <si>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</si>
  <si>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</si>
  <si>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</si>
  <si>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</si>
  <si>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</si>
  <si>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</si>
  <si>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</si>
  <si>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</si>
  <si>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</si>
  <si>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</si>
  <si>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</si>
  <si>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</si>
  <si>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</si>
  <si>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</si>
  <si>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</si>
  <si>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</si>
  <si>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</si>
  <si>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</si>
  <si>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</si>
  <si>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</si>
  <si>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</si>
  <si>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</si>
  <si>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</si>
  <si>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</si>
  <si>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</si>
  <si>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</si>
  <si>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</si>
  <si>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</si>
  <si>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</si>
  <si>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</si>
  <si>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</si>
  <si>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</si>
  <si>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</si>
  <si>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</si>
  <si>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</si>
  <si>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</si>
  <si>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</si>
  <si>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</si>
  <si>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</si>
  <si>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</si>
  <si>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</si>
  <si>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</si>
  <si>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Incremental Revenue</t>
  </si>
  <si>
    <t>Incremental         % (Base)</t>
  </si>
  <si>
    <t>Incremental         % (Billed)</t>
  </si>
  <si>
    <t>*</t>
  </si>
  <si>
    <t>April 1, 2020</t>
  </si>
  <si>
    <t>04.2020</t>
  </si>
  <si>
    <t>04.01.2020</t>
  </si>
  <si>
    <t>WITH 04.01.2020 PROPOSED RATES</t>
  </si>
  <si>
    <t>Revenue Growth Rate %</t>
  </si>
  <si>
    <t xml:space="preserve"> Delivery Related Revenues 4/1/2020</t>
  </si>
  <si>
    <t>4/1/2020 Proposed Revenue Increase from line 7</t>
  </si>
  <si>
    <t>Current Delivery Related Revenues per Exh. EMA-x, pg x</t>
  </si>
  <si>
    <t>Rate Year 2: 4/1/2021 -3/31/2022</t>
  </si>
  <si>
    <t>Prior</t>
  </si>
  <si>
    <t>($92,722 + $12,935 = $105,657)</t>
  </si>
  <si>
    <t>Revenue Growth Rate and Revenue Adjustment for Rate Year 2 (4/1/2021)</t>
  </si>
  <si>
    <t>2019 Major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</si>
  <si>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</si>
  <si>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</si>
  <si>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</si>
  <si>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</si>
  <si>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</si>
  <si>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</si>
  <si>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</si>
  <si>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 xml:space="preserve">No. </t>
  </si>
  <si>
    <t>Income</t>
  </si>
  <si>
    <t>(Suf.)</t>
  </si>
  <si>
    <t>Tax Rate</t>
  </si>
  <si>
    <t>Cost of Capital</t>
  </si>
  <si>
    <t>Restating Adjustments:</t>
  </si>
  <si>
    <t>Neutral</t>
  </si>
  <si>
    <t>Total Debt</t>
  </si>
  <si>
    <t xml:space="preserve">Filed Return </t>
  </si>
  <si>
    <t>Filed Rate Base</t>
  </si>
  <si>
    <t>Cost of Capital Impact</t>
  </si>
  <si>
    <t>Restated Results</t>
  </si>
  <si>
    <t>Pro Forma Results (Traditional Rev. Req.)</t>
  </si>
  <si>
    <t>Filed Deficiency:</t>
  </si>
  <si>
    <t>Calculated:</t>
  </si>
  <si>
    <t>ROR Impact:</t>
  </si>
  <si>
    <t>AWEC Pro Forma Benefits Adj</t>
  </si>
  <si>
    <t>Oppose</t>
  </si>
  <si>
    <t>AWEC Proposed</t>
  </si>
  <si>
    <t>Production Factor</t>
  </si>
  <si>
    <t xml:space="preserve">Hydro One </t>
  </si>
  <si>
    <t>AvistaUtilities.com</t>
  </si>
  <si>
    <t>Retirements</t>
  </si>
  <si>
    <t>Corporate Aircraft</t>
  </si>
  <si>
    <t>Director Expenses</t>
  </si>
  <si>
    <t>AWEC Labor Escalation Adj.</t>
  </si>
  <si>
    <t>per Exh. BGM-10</t>
  </si>
  <si>
    <t>Information Technology Allocation</t>
  </si>
  <si>
    <t>2.12G.A3</t>
  </si>
  <si>
    <t>2.12G.A2</t>
  </si>
  <si>
    <t>2.12G.A1</t>
  </si>
  <si>
    <t>3.05G.A10</t>
  </si>
  <si>
    <t>3.10G.A11</t>
  </si>
  <si>
    <t>3.10G.A12</t>
  </si>
  <si>
    <t>3.10G.A13</t>
  </si>
  <si>
    <t>3.10G.A14</t>
  </si>
  <si>
    <t>3.01G.A7</t>
  </si>
  <si>
    <t>OPPOSE</t>
  </si>
  <si>
    <t>3.04G.A9</t>
  </si>
  <si>
    <t>COST OF CAPITAL</t>
  </si>
  <si>
    <t>AVISTA 2020 WASHINGTON GRC - AWEC REPLY</t>
  </si>
  <si>
    <t>Gas Revenue Requirement Summary ($000)</t>
  </si>
  <si>
    <t>Impact of AWEC Adjustments</t>
  </si>
  <si>
    <t>Company Filing (Rev. Req. at AWEC ROR)</t>
  </si>
  <si>
    <t>AWEC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</si>
</sst>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  <numFmt numFmtId="181" formatCode="_(&quot;$&quot;#,###.00_);_(&quot;$&quot;\ \(#,###.00\);_(* _);_(@_)"/>
    <numFmt numFmtId="182" formatCode="_(&quot;$&quot;* #,##0.000_);_(&quot;$&quot;* \(#,##0.000\);_(&quot;$&quot;* &quot;-&quot;??_);_(@_)"/>
    <numFmt numFmtId="183" formatCode="0.000"/>
    <numFmt numFmtId="184" formatCode="_(* #,##0.00_);_(* \(#,##0.00\);_(* &quot;-&quot;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  <font>
      <i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83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Alignment="1">
      <alignment horizontal="right"/>
    </xf>
    <xf numFmtId="10" fontId="10" fillId="0" borderId="10" xfId="20" applyNumberFormat="1" applyFont="1" applyFill="1" applyBorder="1" applyAlignment="1">
      <alignment horizontal="right"/>
    </xf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10" xfId="2" applyNumberFormat="1" applyFont="1" applyFill="1" applyBorder="1"/>
    <xf numFmtId="174" fontId="10" fillId="0" borderId="0" xfId="2" applyNumberFormat="1" applyFont="1" applyFill="1" applyBorder="1"/>
    <xf numFmtId="0" fontId="17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0" fontId="9" fillId="0" borderId="0" xfId="7" applyNumberFormat="1" applyFont="1" applyFill="1" applyAlignment="1">
      <alignment horizontal="center"/>
    </xf>
    <xf numFmtId="10" fontId="10" fillId="0" borderId="18" xfId="7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0" fontId="10" fillId="0" borderId="0" xfId="0" applyFont="1" applyAlignment="1">
      <alignment horizontal="right"/>
    </xf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5" fontId="10" fillId="0" borderId="15" xfId="0" applyNumberFormat="1" applyFont="1" applyFill="1" applyBorder="1" applyAlignment="1"/>
    <xf numFmtId="181" fontId="3" fillId="0" borderId="0" xfId="6" applyNumberFormat="1" applyFont="1" applyFill="1"/>
    <xf numFmtId="182" fontId="10" fillId="0" borderId="18" xfId="2" applyNumberFormat="1" applyFont="1" applyFill="1" applyBorder="1"/>
    <xf numFmtId="0" fontId="10" fillId="0" borderId="0" xfId="17" applyFont="1"/>
    <xf numFmtId="0" fontId="9" fillId="0" borderId="0" xfId="17" applyFont="1"/>
    <xf numFmtId="0" fontId="17" fillId="0" borderId="0" xfId="17" applyFont="1"/>
    <xf numFmtId="0" fontId="9" fillId="0" borderId="0" xfId="17" applyFont="1" applyAlignment="1">
      <alignment horizontal="center"/>
    </xf>
    <xf numFmtId="0" fontId="17" fillId="0" borderId="6" xfId="17" applyFont="1" applyBorder="1"/>
    <xf numFmtId="0" fontId="65" fillId="0" borderId="0" xfId="17" applyFont="1"/>
    <xf numFmtId="0" fontId="9" fillId="0" borderId="10" xfId="17" applyFont="1" applyBorder="1"/>
    <xf numFmtId="0" fontId="41" fillId="0" borderId="10" xfId="17" applyFont="1" applyBorder="1"/>
    <xf numFmtId="0" fontId="10" fillId="0" borderId="10" xfId="17" applyFont="1" applyBorder="1"/>
    <xf numFmtId="0" fontId="11" fillId="0" borderId="10" xfId="17" applyFont="1" applyBorder="1" applyAlignment="1">
      <alignment horizontal="center"/>
    </xf>
    <xf numFmtId="0" fontId="65" fillId="0" borderId="10" xfId="17" applyFont="1" applyBorder="1"/>
    <xf numFmtId="0" fontId="17" fillId="0" borderId="10" xfId="17" applyFont="1" applyBorder="1"/>
    <xf numFmtId="0" fontId="10" fillId="0" borderId="0" xfId="17" applyFont="1" applyAlignment="1">
      <alignment horizontal="center"/>
    </xf>
    <xf numFmtId="170" fontId="9" fillId="0" borderId="0" xfId="17" applyNumberFormat="1" applyFont="1"/>
    <xf numFmtId="0" fontId="10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9" fontId="9" fillId="0" borderId="0" xfId="17" applyNumberFormat="1" applyFont="1"/>
    <xf numFmtId="2" fontId="10" fillId="0" borderId="0" xfId="17" quotePrefix="1" applyNumberFormat="1" applyFont="1"/>
    <xf numFmtId="5" fontId="10" fillId="0" borderId="0" xfId="17" applyNumberFormat="1" applyFont="1"/>
    <xf numFmtId="41" fontId="10" fillId="0" borderId="0" xfId="17" applyNumberFormat="1" applyFont="1"/>
    <xf numFmtId="3" fontId="9" fillId="0" borderId="0" xfId="17" applyNumberFormat="1" applyFont="1"/>
    <xf numFmtId="10" fontId="9" fillId="0" borderId="0" xfId="17" applyNumberFormat="1" applyFont="1"/>
    <xf numFmtId="2" fontId="9" fillId="0" borderId="0" xfId="17" applyNumberFormat="1" applyFont="1"/>
    <xf numFmtId="41" fontId="9" fillId="0" borderId="0" xfId="17" applyNumberFormat="1" applyFont="1"/>
    <xf numFmtId="41" fontId="17" fillId="0" borderId="0" xfId="17" applyNumberFormat="1" applyFont="1"/>
    <xf numFmtId="183" fontId="9" fillId="0" borderId="0" xfId="17" applyNumberFormat="1" applyFont="1"/>
    <xf numFmtId="0" fontId="9" fillId="0" borderId="0" xfId="17" applyFont="1" applyAlignment="1">
      <alignment horizontal="right"/>
    </xf>
    <xf numFmtId="184" fontId="9" fillId="0" borderId="0" xfId="17" applyNumberFormat="1" applyFont="1"/>
    <xf numFmtId="41" fontId="10" fillId="0" borderId="3" xfId="17" applyNumberFormat="1" applyFont="1" applyBorder="1"/>
    <xf numFmtId="41" fontId="10" fillId="0" borderId="12" xfId="17" applyNumberFormat="1" applyFont="1" applyBorder="1"/>
    <xf numFmtId="5" fontId="10" fillId="0" borderId="12" xfId="17" applyNumberFormat="1" applyFont="1" applyBorder="1"/>
    <xf numFmtId="2" fontId="51" fillId="0" borderId="0" xfId="17" applyNumberFormat="1" applyFont="1"/>
    <xf numFmtId="0" fontId="51" fillId="0" borderId="0" xfId="17" applyFont="1"/>
    <xf numFmtId="41" fontId="51" fillId="0" borderId="0" xfId="17" applyNumberFormat="1" applyFont="1"/>
    <xf numFmtId="41" fontId="5" fillId="6" borderId="0" xfId="20" applyNumberFormat="1" applyFont="1" applyFill="1" applyBorder="1" applyAlignment="1">
      <alignment horizontal="center" vertical="center" wrapText="1"/>
    </xf>
    <xf numFmtId="41" fontId="3" fillId="6" borderId="0" xfId="4" applyNumberFormat="1" applyFont="1" applyFill="1"/>
    <xf numFmtId="42" fontId="3" fillId="6" borderId="0" xfId="4" applyNumberFormat="1" applyFont="1" applyFill="1"/>
    <xf numFmtId="42" fontId="5" fillId="0" borderId="0" xfId="4" quotePrefix="1" applyNumberFormat="1" applyFont="1" applyFill="1"/>
    <xf numFmtId="41" fontId="3" fillId="6" borderId="0" xfId="4" applyNumberFormat="1" applyFont="1" applyFill="1" applyBorder="1"/>
    <xf numFmtId="41" fontId="3" fillId="6" borderId="10" xfId="4" applyNumberFormat="1" applyFont="1" applyFill="1" applyBorder="1"/>
    <xf numFmtId="0" fontId="10" fillId="0" borderId="0" xfId="20" applyNumberFormat="1" applyFont="1" applyAlignment="1">
      <alignment horizontal="left"/>
    </xf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E-190334_Exh.%20No.%20BGM-3%20-%20Electric%20Rev%20R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E-190334_Exh.%20No.%20BGM-8%20-%20Rev%20Growth%20Adj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pub/3.10E.A12%20-%20Retiremen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_pub/3.10E.A14%20-%20Customer%20Advanc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UE-190334_Exh.%20No.%20BGM-10%20-%20Gas%20Rev%20Growth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_pub/2.12E.A2%20-%20Director%20F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Exh. No. BGM-3 1-2"/>
      <sheetName val="Exh. No. BGM-3 3"/>
      <sheetName val="Exh. No. BGM-3 4 "/>
      <sheetName val="Exh. No. BGM-3 5-6"/>
      <sheetName val="Exh. No. BGM-3 7-11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I10">
            <v>1.04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BGM-8"/>
      <sheetName val="WA Electric-Revenue"/>
      <sheetName val="Pres &amp; Prop Rev (e)"/>
      <sheetName val="WA Natural Gas"/>
      <sheetName val="Pres &amp; Prop Rev (G)"/>
    </sheetNames>
    <sheetDataSet>
      <sheetData sheetId="0">
        <row r="19">
          <cell r="AQ19">
            <v>8771993.2027167082</v>
          </cell>
        </row>
        <row r="35">
          <cell r="AQ35">
            <v>4339232.956493631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"/>
      <sheetName val="Allocation"/>
      <sheetName val="Pivot"/>
      <sheetName val="Data"/>
      <sheetName val="Wkpr-Stdy Bal (ex. trnsptn)"/>
    </sheetNames>
    <sheetDataSet>
      <sheetData sheetId="0">
        <row r="17">
          <cell r="I17">
            <v>-2071.1420127553351</v>
          </cell>
          <cell r="O17">
            <v>-360.78149353511645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"/>
      <sheetName val="Sheet1"/>
      <sheetName val="Page1"/>
    </sheetNames>
    <sheetDataSet>
      <sheetData sheetId="0">
        <row r="25">
          <cell r="V25">
            <v>-3166093.1198000647</v>
          </cell>
        </row>
        <row r="29">
          <cell r="V29">
            <v>-977365.91136245243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 Table"/>
      <sheetName val="Lead"/>
      <sheetName val="4.01"/>
      <sheetName val="4.02"/>
      <sheetName val="4.03 UG.Dep"/>
      <sheetName val="4.04"/>
      <sheetName val="4.05"/>
      <sheetName val="4.06 D.Dep"/>
      <sheetName val="4.07"/>
      <sheetName val="4.08"/>
      <sheetName val="4.09"/>
      <sheetName val="4.10"/>
      <sheetName val="4.11 A.Dep"/>
      <sheetName val="4.12"/>
      <sheetName val="4.13"/>
      <sheetName val="4.14"/>
      <sheetName val="4.15"/>
      <sheetName val="Cost Trends"/>
      <sheetName val="Riders and Gas Cost Revenue"/>
      <sheetName val="Reg Amort and Other RB"/>
    </sheetNames>
    <sheetDataSet>
      <sheetData sheetId="0">
        <row r="9">
          <cell r="E9">
            <v>1.2364749429330019E-2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2E.A2  Adjustment"/>
      <sheetName val="MR-BOD-1"/>
      <sheetName val="MR_BOD-2"/>
      <sheetName val="MR-BOD-3"/>
      <sheetName val="Acerno_Cache_XXXXX"/>
      <sheetName val="MR_BOD-4"/>
      <sheetName val="MR_BOD-5"/>
      <sheetName val="Transaction Detail"/>
      <sheetName val="Macro1"/>
    </sheetNames>
    <sheetDataSet>
      <sheetData sheetId="0">
        <row r="18">
          <cell r="C18">
            <v>98976.324123249797</v>
          </cell>
          <cell r="D18">
            <v>30554.954795999947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2"/>
  <sheetViews>
    <sheetView tabSelected="1" zoomScaleNormal="100" zoomScaleSheetLayoutView="115" workbookViewId="0"/>
  </sheetViews>
  <sheetFormatPr defaultRowHeight="12.75"/>
  <cols>
    <col min="1" max="1" width="1.42578125" style="760" customWidth="1"/>
    <col min="2" max="2" width="5.7109375" style="760" customWidth="1"/>
    <col min="3" max="3" width="1.42578125" style="760" customWidth="1"/>
    <col min="4" max="4" width="7.28515625" style="760" customWidth="1"/>
    <col min="5" max="5" width="1.42578125" style="760" customWidth="1"/>
    <col min="6" max="6" width="41.42578125" style="760" customWidth="1"/>
    <col min="7" max="8" width="1.42578125" style="761" customWidth="1"/>
    <col min="9" max="9" width="10.42578125" style="760" customWidth="1"/>
    <col min="10" max="10" width="1.42578125" style="760" customWidth="1"/>
    <col min="11" max="11" width="10.42578125" style="760" customWidth="1"/>
    <col min="12" max="12" width="1.42578125" style="760" customWidth="1"/>
    <col min="13" max="13" width="10.42578125" style="760" customWidth="1"/>
    <col min="14" max="14" width="1.42578125" style="761" customWidth="1"/>
    <col min="15" max="15" width="1.42578125" style="760" customWidth="1"/>
    <col min="16" max="16" width="10.42578125" style="760" customWidth="1"/>
    <col min="17" max="17" width="1.42578125" style="760" customWidth="1"/>
    <col min="18" max="18" width="10.42578125" style="760" customWidth="1"/>
    <col min="19" max="19" width="1.42578125" style="760" customWidth="1"/>
    <col min="20" max="20" width="10.42578125" style="760" customWidth="1"/>
    <col min="21" max="22" width="1.42578125" style="760" customWidth="1"/>
    <col min="23" max="23" width="10.42578125" style="761" customWidth="1"/>
    <col min="24" max="24" width="1.42578125" style="761" customWidth="1"/>
    <col min="25" max="25" width="10.42578125" style="761" customWidth="1"/>
    <col min="26" max="26" width="1.28515625" style="761" customWidth="1"/>
    <col min="27" max="27" width="10.42578125" style="761" customWidth="1"/>
    <col min="28" max="28" width="1.42578125" style="761" customWidth="1"/>
    <col min="29" max="29" width="10.42578125" style="761" customWidth="1"/>
    <col min="30" max="30" width="1.42578125" style="761" customWidth="1"/>
    <col min="31" max="31" width="20.85546875" style="761" customWidth="1"/>
    <col min="32" max="33" width="2.7109375" style="761" customWidth="1"/>
    <col min="34" max="34" width="21.140625" style="761" customWidth="1"/>
    <col min="35" max="37" width="11.85546875" style="760" customWidth="1"/>
    <col min="38" max="16384" width="9.140625" style="760"/>
  </cols>
  <sheetData>
    <row r="1" spans="1:49">
      <c r="A1" s="759" t="s">
        <v>607</v>
      </c>
      <c r="B1" s="759"/>
      <c r="C1" s="759"/>
      <c r="E1" s="759"/>
      <c r="F1" s="759"/>
      <c r="I1" s="761"/>
      <c r="J1" s="759"/>
      <c r="K1" s="759"/>
      <c r="L1" s="759"/>
      <c r="M1" s="759"/>
      <c r="O1" s="759"/>
      <c r="P1" s="759"/>
      <c r="Q1" s="759"/>
      <c r="R1" s="759"/>
      <c r="S1" s="759"/>
      <c r="T1" s="759"/>
      <c r="X1" s="762"/>
      <c r="AG1" s="763"/>
      <c r="AI1" s="761"/>
      <c r="AJ1" s="761"/>
      <c r="AK1" s="761"/>
      <c r="AL1" s="761"/>
      <c r="AM1" s="761"/>
    </row>
    <row r="2" spans="1:49">
      <c r="B2" s="759"/>
      <c r="C2" s="759"/>
      <c r="D2" s="759"/>
      <c r="E2" s="759"/>
      <c r="F2" s="759"/>
      <c r="H2" s="764"/>
      <c r="I2" s="765" t="s">
        <v>609</v>
      </c>
      <c r="J2" s="766"/>
      <c r="K2" s="766"/>
      <c r="L2" s="766"/>
      <c r="M2" s="766"/>
      <c r="O2" s="759"/>
      <c r="P2" s="765" t="s">
        <v>584</v>
      </c>
      <c r="Q2" s="767"/>
      <c r="R2" s="767"/>
      <c r="S2" s="767"/>
      <c r="T2" s="767"/>
      <c r="W2" s="765" t="s">
        <v>608</v>
      </c>
      <c r="X2" s="768"/>
      <c r="Y2" s="769"/>
      <c r="Z2" s="769"/>
      <c r="AA2" s="769"/>
      <c r="AB2" s="769"/>
      <c r="AC2" s="769"/>
      <c r="AD2" s="762"/>
      <c r="AE2" s="762"/>
      <c r="AG2" s="763"/>
      <c r="AH2" s="770" t="s">
        <v>559</v>
      </c>
      <c r="AI2" s="770"/>
      <c r="AJ2" s="770"/>
      <c r="AK2" s="770"/>
      <c r="AL2" s="761"/>
      <c r="AM2" s="761"/>
    </row>
    <row r="3" spans="1:49">
      <c r="B3" s="759"/>
      <c r="C3" s="759"/>
      <c r="D3" s="759"/>
      <c r="E3" s="759"/>
      <c r="F3" s="759"/>
      <c r="I3" s="762"/>
      <c r="J3" s="762"/>
      <c r="K3" s="762"/>
      <c r="L3" s="762"/>
      <c r="M3" s="762" t="s">
        <v>560</v>
      </c>
      <c r="P3" s="762"/>
      <c r="Q3" s="762"/>
      <c r="R3" s="762"/>
      <c r="S3" s="762"/>
      <c r="T3" s="762" t="s">
        <v>560</v>
      </c>
      <c r="W3" s="762" t="s">
        <v>561</v>
      </c>
      <c r="X3" s="762"/>
      <c r="Y3" s="762"/>
      <c r="Z3" s="762"/>
      <c r="AA3" s="762"/>
      <c r="AB3" s="762"/>
      <c r="AC3" s="762" t="s">
        <v>560</v>
      </c>
      <c r="AD3" s="762"/>
      <c r="AE3" s="762"/>
      <c r="AG3" s="763"/>
      <c r="AH3" s="760"/>
    </row>
    <row r="4" spans="1:49">
      <c r="B4" s="759"/>
      <c r="C4" s="759"/>
      <c r="D4" s="771" t="s">
        <v>562</v>
      </c>
      <c r="E4" s="759"/>
      <c r="F4" s="759"/>
      <c r="I4" s="762" t="s">
        <v>563</v>
      </c>
      <c r="J4" s="762"/>
      <c r="K4" s="762"/>
      <c r="L4" s="762"/>
      <c r="M4" s="762" t="s">
        <v>564</v>
      </c>
      <c r="P4" s="762" t="s">
        <v>563</v>
      </c>
      <c r="Q4" s="762"/>
      <c r="R4" s="762"/>
      <c r="S4" s="762"/>
      <c r="T4" s="762" t="s">
        <v>564</v>
      </c>
      <c r="W4" s="762" t="s">
        <v>563</v>
      </c>
      <c r="X4" s="762"/>
      <c r="Y4" s="762" t="s">
        <v>563</v>
      </c>
      <c r="Z4" s="762"/>
      <c r="AA4" s="762"/>
      <c r="AB4" s="762"/>
      <c r="AC4" s="762" t="s">
        <v>564</v>
      </c>
      <c r="AD4" s="762"/>
      <c r="AE4" s="762"/>
      <c r="AG4" s="763"/>
      <c r="AH4" s="760" t="s">
        <v>565</v>
      </c>
      <c r="AI4" s="772">
        <f>+'Exh. No. BGM-4 4-5'!F21</f>
        <v>0.75511799999999996</v>
      </c>
    </row>
    <row r="5" spans="1:49">
      <c r="B5" s="767" t="s">
        <v>7</v>
      </c>
      <c r="C5" s="759"/>
      <c r="D5" s="773" t="s">
        <v>566</v>
      </c>
      <c r="E5" s="759"/>
      <c r="F5" s="767" t="s">
        <v>71</v>
      </c>
      <c r="I5" s="774" t="s">
        <v>567</v>
      </c>
      <c r="J5" s="762"/>
      <c r="K5" s="774" t="s">
        <v>19</v>
      </c>
      <c r="L5" s="762"/>
      <c r="M5" s="774" t="s">
        <v>568</v>
      </c>
      <c r="P5" s="774" t="s">
        <v>567</v>
      </c>
      <c r="Q5" s="762"/>
      <c r="R5" s="774" t="s">
        <v>19</v>
      </c>
      <c r="S5" s="762"/>
      <c r="T5" s="774" t="s">
        <v>568</v>
      </c>
      <c r="W5" s="774" t="s">
        <v>567</v>
      </c>
      <c r="X5" s="762"/>
      <c r="Y5" s="774" t="s">
        <v>567</v>
      </c>
      <c r="Z5" s="762"/>
      <c r="AA5" s="774" t="s">
        <v>19</v>
      </c>
      <c r="AB5" s="762"/>
      <c r="AC5" s="774" t="s">
        <v>568</v>
      </c>
      <c r="AD5" s="762"/>
      <c r="AE5" s="774" t="s">
        <v>610</v>
      </c>
      <c r="AG5" s="763"/>
      <c r="AH5" s="760" t="s">
        <v>569</v>
      </c>
      <c r="AI5" s="775">
        <v>0.21</v>
      </c>
    </row>
    <row r="6" spans="1:49">
      <c r="AG6" s="763"/>
      <c r="AH6" s="760"/>
    </row>
    <row r="7" spans="1:49">
      <c r="B7" s="760">
        <v>1</v>
      </c>
      <c r="D7" s="776">
        <v>1</v>
      </c>
      <c r="E7" s="759"/>
      <c r="F7" s="759" t="str">
        <f>+TRIM(INDEX('Exh. No. BGM-4 7-11'!$7:$7&amp;" "&amp;'Exh. No. BGM-4 7-11'!$8:$8&amp;" "&amp;'Exh. No. BGM-4 7-11'!$9:$9,1,MATCH($D7,'Exh. No. BGM-4 7-11'!$10:$10,0)))</f>
        <v>Per Results Report</v>
      </c>
      <c r="I7" s="777">
        <f>+INDEX('Exh. No. BGM-4 7-11'!$58:$58,1,MATCH($D7,'Exh. No. BGM-4 7-11'!$10:$10,0))</f>
        <v>24614</v>
      </c>
      <c r="J7" s="778"/>
      <c r="K7" s="777">
        <f>+INDEX('Exh. No. BGM-4 7-11'!$81:$81,1,MATCH($D7,'Exh. No. BGM-4 7-11'!$10:$10,0))</f>
        <v>348658</v>
      </c>
      <c r="L7" s="778"/>
      <c r="M7" s="778">
        <f>+($K7*$AK$12-$I7)/$AI$4</f>
        <v>-737.10069154754376</v>
      </c>
      <c r="O7" s="759"/>
      <c r="P7" s="777">
        <f>+I7</f>
        <v>24614</v>
      </c>
      <c r="Q7" s="778"/>
      <c r="R7" s="778">
        <f>+K7</f>
        <v>348658</v>
      </c>
      <c r="S7" s="778"/>
      <c r="T7" s="778">
        <f>+($R7*$AK$12-$P7)/$AI$4</f>
        <v>-737.10069154754376</v>
      </c>
      <c r="AG7" s="763"/>
      <c r="AH7" s="760"/>
      <c r="AR7" s="779"/>
      <c r="AT7" s="779"/>
      <c r="AU7" s="780"/>
      <c r="AV7" s="780"/>
      <c r="AW7" s="780"/>
    </row>
    <row r="8" spans="1:49">
      <c r="D8" s="781"/>
      <c r="I8" s="782"/>
      <c r="J8" s="782"/>
      <c r="K8" s="782"/>
      <c r="L8" s="782"/>
      <c r="M8" s="782"/>
      <c r="P8" s="782"/>
      <c r="Q8" s="782"/>
      <c r="R8" s="782"/>
      <c r="S8" s="782"/>
      <c r="T8" s="782"/>
      <c r="AE8" s="760"/>
      <c r="AG8" s="763"/>
      <c r="AH8" s="760" t="s">
        <v>570</v>
      </c>
      <c r="AI8" s="760" t="s">
        <v>132</v>
      </c>
      <c r="AK8" s="760" t="s">
        <v>133</v>
      </c>
      <c r="AR8" s="779"/>
      <c r="AT8" s="779"/>
      <c r="AU8" s="780"/>
      <c r="AV8" s="780"/>
      <c r="AW8" s="780"/>
    </row>
    <row r="9" spans="1:49">
      <c r="B9" s="764" t="s">
        <v>571</v>
      </c>
      <c r="D9" s="781"/>
      <c r="I9" s="782"/>
      <c r="J9" s="782"/>
      <c r="K9" s="782"/>
      <c r="L9" s="782"/>
      <c r="M9" s="782"/>
      <c r="P9" s="782"/>
      <c r="Q9" s="782"/>
      <c r="R9" s="782"/>
      <c r="S9" s="782"/>
      <c r="T9" s="782"/>
      <c r="AE9" s="760"/>
      <c r="AG9" s="763"/>
      <c r="AH9" s="765" t="s">
        <v>134</v>
      </c>
      <c r="AI9" s="765" t="s">
        <v>135</v>
      </c>
      <c r="AJ9" s="765" t="s">
        <v>136</v>
      </c>
      <c r="AK9" s="765" t="s">
        <v>136</v>
      </c>
      <c r="AU9" s="780"/>
      <c r="AV9" s="780"/>
    </row>
    <row r="10" spans="1:49">
      <c r="B10" s="760">
        <f t="shared" ref="B10:B31" ca="1" si="0">+MAX(OFFSET($B$7,0,0,ROW($B10)-ROW($B$7),1))+1</f>
        <v>2</v>
      </c>
      <c r="D10" s="781">
        <v>1.01</v>
      </c>
      <c r="F10" s="760" t="str">
        <f>+TRIM(INDEX('Exh. No. BGM-4 7-11'!$7:$7&amp;" "&amp;'Exh. No. BGM-4 7-11'!$8:$8&amp;" "&amp;'Exh. No. BGM-4 7-11'!$9:$9,1,MATCH($D10,'Exh. No. BGM-4 7-11'!$10:$10,0)))</f>
        <v>Deferred FIT Rate Base</v>
      </c>
      <c r="I10" s="782">
        <v>-6.9919289999999998</v>
      </c>
      <c r="J10" s="782"/>
      <c r="K10" s="782">
        <v>-1247</v>
      </c>
      <c r="L10" s="782"/>
      <c r="M10" s="782">
        <f t="shared" ref="M10:M31" si="1">+($K10*$AK$12-$I10)/$AI$4</f>
        <v>-104.68704361437551</v>
      </c>
      <c r="P10" s="782">
        <f t="shared" ref="P10:P31" si="2">+I10+Y10</f>
        <v>-6.9919289999999998</v>
      </c>
      <c r="Q10" s="782"/>
      <c r="R10" s="782">
        <f t="shared" ref="R10:R31" si="3">+K10+AA10</f>
        <v>-1247</v>
      </c>
      <c r="S10" s="782"/>
      <c r="T10" s="782">
        <f t="shared" ref="T10:T31" si="4">+($R10*$AK$12-$P10)/$AI$4</f>
        <v>-104.68704361437551</v>
      </c>
      <c r="W10" s="782">
        <v>0</v>
      </c>
      <c r="X10" s="782"/>
      <c r="Y10" s="782">
        <f t="shared" ref="Y10" si="5">+W10*(1-$AI$5)+$AA10*$AK$10*$AI$5</f>
        <v>0</v>
      </c>
      <c r="Z10" s="782"/>
      <c r="AA10" s="782">
        <v>0</v>
      </c>
      <c r="AB10" s="783"/>
      <c r="AC10" s="782">
        <f t="shared" ref="AC10:AC31" si="6">+($AA10*$AK$12-$Y10)/$AI$4</f>
        <v>0</v>
      </c>
      <c r="AE10" s="760" t="s">
        <v>572</v>
      </c>
      <c r="AG10" s="763"/>
      <c r="AH10" s="760" t="s">
        <v>573</v>
      </c>
      <c r="AI10" s="760">
        <v>0.51900000000000002</v>
      </c>
      <c r="AJ10" s="780">
        <v>5.1470000000000002E-2</v>
      </c>
      <c r="AK10" s="135">
        <f>ROUND(AI10*AJ10,4)</f>
        <v>2.6700000000000002E-2</v>
      </c>
      <c r="AQ10" s="786"/>
    </row>
    <row r="11" spans="1:49">
      <c r="B11" s="760">
        <f t="shared" ca="1" si="0"/>
        <v>3</v>
      </c>
      <c r="D11" s="781">
        <v>1.02</v>
      </c>
      <c r="F11" s="760" t="str">
        <f>+TRIM(INDEX('Exh. No. BGM-4 7-11'!$7:$7&amp;" "&amp;'Exh. No. BGM-4 7-11'!$8:$8&amp;" "&amp;'Exh. No. BGM-4 7-11'!$9:$9,1,MATCH($D11,'Exh. No. BGM-4 7-11'!$10:$10,0)))</f>
        <v>Deferred Debits and Credits</v>
      </c>
      <c r="I11" s="782">
        <v>-7.9392490000000002</v>
      </c>
      <c r="J11" s="782"/>
      <c r="K11" s="782">
        <v>-7</v>
      </c>
      <c r="L11" s="782"/>
      <c r="M11" s="782">
        <f t="shared" si="1"/>
        <v>9.8742832246086056</v>
      </c>
      <c r="P11" s="782">
        <f t="shared" si="2"/>
        <v>-7.9392490000000002</v>
      </c>
      <c r="Q11" s="782"/>
      <c r="R11" s="782">
        <f t="shared" si="3"/>
        <v>-7</v>
      </c>
      <c r="S11" s="782"/>
      <c r="T11" s="782">
        <f t="shared" si="4"/>
        <v>9.8742832246086056</v>
      </c>
      <c r="W11" s="782">
        <v>0</v>
      </c>
      <c r="X11" s="782"/>
      <c r="Y11" s="782">
        <f>+W11*(1-$AI$5)+$AA11*$AK$10*$AI$5</f>
        <v>0</v>
      </c>
      <c r="Z11" s="782"/>
      <c r="AA11" s="782">
        <v>0</v>
      </c>
      <c r="AB11" s="783"/>
      <c r="AC11" s="782">
        <f t="shared" si="6"/>
        <v>0</v>
      </c>
      <c r="AE11" s="760" t="s">
        <v>572</v>
      </c>
      <c r="AG11" s="763"/>
      <c r="AH11" s="760" t="s">
        <v>502</v>
      </c>
      <c r="AI11" s="760">
        <f>1-AI10</f>
        <v>0.48099999999999998</v>
      </c>
      <c r="AJ11" s="780">
        <v>8.7999999999999995E-2</v>
      </c>
      <c r="AK11" s="299">
        <f>ROUND(AI11*AJ11,4)</f>
        <v>4.2299999999999997E-2</v>
      </c>
      <c r="AQ11" s="786"/>
    </row>
    <row r="12" spans="1:49">
      <c r="B12" s="760">
        <f t="shared" ca="1" si="0"/>
        <v>4</v>
      </c>
      <c r="D12" s="781">
        <v>1.03</v>
      </c>
      <c r="F12" s="760" t="str">
        <f>+TRIM(INDEX('Exh. No. BGM-4 7-11'!$7:$7&amp;" "&amp;'Exh. No. BGM-4 7-11'!$8:$8&amp;" "&amp;'Exh. No. BGM-4 7-11'!$9:$9,1,MATCH($D12,'Exh. No. BGM-4 7-11'!$10:$10,0)))</f>
        <v>Working Capital</v>
      </c>
      <c r="I12" s="782">
        <v>0</v>
      </c>
      <c r="J12" s="782"/>
      <c r="K12" s="782">
        <v>0</v>
      </c>
      <c r="L12" s="782"/>
      <c r="M12" s="782">
        <f t="shared" si="1"/>
        <v>0</v>
      </c>
      <c r="P12" s="782">
        <f t="shared" si="2"/>
        <v>0</v>
      </c>
      <c r="Q12" s="782"/>
      <c r="R12" s="782">
        <f t="shared" si="3"/>
        <v>0</v>
      </c>
      <c r="S12" s="782"/>
      <c r="T12" s="782">
        <f t="shared" si="4"/>
        <v>0</v>
      </c>
      <c r="W12" s="782">
        <v>0</v>
      </c>
      <c r="X12" s="782"/>
      <c r="Y12" s="782">
        <f t="shared" ref="Y12:Y31" si="7">+W12*(1-$AI$5)+$AA12*$AK$10*$AI$5</f>
        <v>0</v>
      </c>
      <c r="Z12" s="782"/>
      <c r="AA12" s="782">
        <v>0</v>
      </c>
      <c r="AB12" s="783"/>
      <c r="AC12" s="782">
        <f t="shared" si="6"/>
        <v>0</v>
      </c>
      <c r="AE12" s="760" t="s">
        <v>572</v>
      </c>
      <c r="AG12" s="763"/>
      <c r="AH12" s="760" t="s">
        <v>25</v>
      </c>
      <c r="AI12" s="784">
        <f>SUM(AI10:AI11)</f>
        <v>1</v>
      </c>
      <c r="AK12" s="135">
        <f>+ROUND(SUM(AK10:AK11),4)</f>
        <v>6.9000000000000006E-2</v>
      </c>
      <c r="AQ12" s="786"/>
    </row>
    <row r="13" spans="1:49">
      <c r="B13" s="760">
        <f t="shared" ca="1" si="0"/>
        <v>5</v>
      </c>
      <c r="D13" s="781">
        <f>+'[6]Exh. No. BGM-3 7-11'!I10</f>
        <v>1.04</v>
      </c>
      <c r="F13" s="760" t="str">
        <f>+TRIM(INDEX('Exh. No. BGM-4 7-11'!$7:$7&amp;" "&amp;'Exh. No. BGM-4 7-11'!$8:$8&amp;" "&amp;'Exh. No. BGM-4 7-11'!$9:$9,1,MATCH($D13,'Exh. No. BGM-4 7-11'!$10:$10,0)))</f>
        <v>Remove AMI Rate Base</v>
      </c>
      <c r="I13" s="782">
        <v>-33.855066000000001</v>
      </c>
      <c r="J13" s="782"/>
      <c r="K13" s="782">
        <v>-6038</v>
      </c>
      <c r="L13" s="782"/>
      <c r="M13" s="782">
        <f t="shared" si="1"/>
        <v>-506.89684790986314</v>
      </c>
      <c r="P13" s="782">
        <f t="shared" si="2"/>
        <v>-33.855066000000001</v>
      </c>
      <c r="Q13" s="782"/>
      <c r="R13" s="782">
        <f t="shared" si="3"/>
        <v>-6038</v>
      </c>
      <c r="S13" s="782"/>
      <c r="T13" s="782">
        <f t="shared" si="4"/>
        <v>-506.89684790986314</v>
      </c>
      <c r="W13" s="782">
        <v>0</v>
      </c>
      <c r="X13" s="782"/>
      <c r="Y13" s="782">
        <f t="shared" si="7"/>
        <v>0</v>
      </c>
      <c r="Z13" s="782"/>
      <c r="AA13" s="782">
        <v>0</v>
      </c>
      <c r="AB13" s="783"/>
      <c r="AC13" s="782">
        <f t="shared" si="6"/>
        <v>0</v>
      </c>
      <c r="AE13" s="760" t="s">
        <v>572</v>
      </c>
      <c r="AG13" s="763"/>
      <c r="AH13" s="760"/>
      <c r="AI13" s="784"/>
      <c r="AK13" s="135"/>
      <c r="AQ13" s="786"/>
    </row>
    <row r="14" spans="1:49">
      <c r="B14" s="760">
        <f t="shared" ca="1" si="0"/>
        <v>6</v>
      </c>
      <c r="D14" s="781">
        <v>2.0099999999999998</v>
      </c>
      <c r="F14" s="760" t="str">
        <f>+TRIM(INDEX('Exh. No. BGM-4 7-11'!$7:$7&amp;" "&amp;'Exh. No. BGM-4 7-11'!$8:$8&amp;" "&amp;'Exh. No. BGM-4 7-11'!$9:$9,1,MATCH($D14,'Exh. No. BGM-4 7-11'!$10:$10,0)))</f>
        <v>Eliminate B &amp; O Taxes</v>
      </c>
      <c r="I14" s="782">
        <v>-11.06</v>
      </c>
      <c r="J14" s="782"/>
      <c r="K14" s="782">
        <v>0</v>
      </c>
      <c r="L14" s="782"/>
      <c r="M14" s="782">
        <f t="shared" si="1"/>
        <v>14.646717466674085</v>
      </c>
      <c r="P14" s="782">
        <f t="shared" si="2"/>
        <v>-11.06</v>
      </c>
      <c r="Q14" s="782"/>
      <c r="R14" s="782">
        <f t="shared" si="3"/>
        <v>0</v>
      </c>
      <c r="S14" s="782"/>
      <c r="T14" s="782">
        <f t="shared" si="4"/>
        <v>14.646717466674085</v>
      </c>
      <c r="W14" s="782">
        <v>0</v>
      </c>
      <c r="X14" s="782"/>
      <c r="Y14" s="782">
        <f t="shared" si="7"/>
        <v>0</v>
      </c>
      <c r="Z14" s="782"/>
      <c r="AA14" s="782">
        <v>0</v>
      </c>
      <c r="AB14" s="783"/>
      <c r="AC14" s="782">
        <f t="shared" si="6"/>
        <v>0</v>
      </c>
      <c r="AE14" s="760" t="s">
        <v>572</v>
      </c>
      <c r="AG14" s="763"/>
      <c r="AK14" s="780"/>
      <c r="AQ14" s="786"/>
    </row>
    <row r="15" spans="1:49">
      <c r="B15" s="760">
        <f t="shared" ca="1" si="0"/>
        <v>7</v>
      </c>
      <c r="D15" s="781">
        <v>2.0199999999999996</v>
      </c>
      <c r="F15" s="760" t="str">
        <f>+TRIM(INDEX('Exh. No. BGM-4 7-11'!$7:$7&amp;" "&amp;'Exh. No. BGM-4 7-11'!$8:$8&amp;" "&amp;'Exh. No. BGM-4 7-11'!$9:$9,1,MATCH($D15,'Exh. No. BGM-4 7-11'!$10:$10,0)))</f>
        <v>Restate Property Tax</v>
      </c>
      <c r="I15" s="782">
        <v>-1.58</v>
      </c>
      <c r="J15" s="782"/>
      <c r="K15" s="782">
        <v>0</v>
      </c>
      <c r="L15" s="782"/>
      <c r="M15" s="782">
        <f t="shared" si="1"/>
        <v>2.0923882095248691</v>
      </c>
      <c r="P15" s="782">
        <f t="shared" si="2"/>
        <v>-1.58</v>
      </c>
      <c r="Q15" s="782"/>
      <c r="R15" s="782">
        <f t="shared" si="3"/>
        <v>0</v>
      </c>
      <c r="S15" s="782"/>
      <c r="T15" s="782">
        <f t="shared" si="4"/>
        <v>2.0923882095248691</v>
      </c>
      <c r="W15" s="782">
        <v>0</v>
      </c>
      <c r="X15" s="782"/>
      <c r="Y15" s="782">
        <f t="shared" si="7"/>
        <v>0</v>
      </c>
      <c r="Z15" s="782"/>
      <c r="AA15" s="782">
        <v>0</v>
      </c>
      <c r="AB15" s="783"/>
      <c r="AC15" s="782">
        <f t="shared" si="6"/>
        <v>0</v>
      </c>
      <c r="AE15" s="760" t="s">
        <v>572</v>
      </c>
      <c r="AG15" s="763"/>
      <c r="AJ15" s="785" t="s">
        <v>574</v>
      </c>
      <c r="AK15" s="780">
        <v>7.5200000000000003E-2</v>
      </c>
      <c r="AQ15" s="786"/>
    </row>
    <row r="16" spans="1:49">
      <c r="B16" s="760">
        <f t="shared" ca="1" si="0"/>
        <v>8</v>
      </c>
      <c r="D16" s="781">
        <v>2.0299999999999994</v>
      </c>
      <c r="F16" s="760" t="str">
        <f>+TRIM(INDEX('Exh. No. BGM-4 7-11'!$7:$7&amp;" "&amp;'Exh. No. BGM-4 7-11'!$8:$8&amp;" "&amp;'Exh. No. BGM-4 7-11'!$9:$9,1,MATCH($D16,'Exh. No. BGM-4 7-11'!$10:$10,0)))</f>
        <v>Uncollectible Expense</v>
      </c>
      <c r="I16" s="782">
        <v>252.8</v>
      </c>
      <c r="J16" s="782"/>
      <c r="K16" s="782">
        <v>0</v>
      </c>
      <c r="L16" s="782"/>
      <c r="M16" s="782">
        <f t="shared" si="1"/>
        <v>-334.78211352397909</v>
      </c>
      <c r="P16" s="782">
        <f t="shared" si="2"/>
        <v>252.8</v>
      </c>
      <c r="Q16" s="782"/>
      <c r="R16" s="782">
        <f t="shared" si="3"/>
        <v>0</v>
      </c>
      <c r="S16" s="782"/>
      <c r="T16" s="782">
        <f t="shared" si="4"/>
        <v>-334.78211352397909</v>
      </c>
      <c r="W16" s="782">
        <v>0</v>
      </c>
      <c r="X16" s="782"/>
      <c r="Y16" s="782">
        <f t="shared" si="7"/>
        <v>0</v>
      </c>
      <c r="Z16" s="782"/>
      <c r="AA16" s="782">
        <v>0</v>
      </c>
      <c r="AB16" s="783"/>
      <c r="AC16" s="782">
        <f t="shared" si="6"/>
        <v>0</v>
      </c>
      <c r="AE16" s="760" t="s">
        <v>572</v>
      </c>
      <c r="AG16" s="763"/>
      <c r="AJ16" s="785"/>
      <c r="AK16" s="780"/>
      <c r="AQ16" s="786"/>
    </row>
    <row r="17" spans="1:49">
      <c r="B17" s="760">
        <f t="shared" ca="1" si="0"/>
        <v>9</v>
      </c>
      <c r="D17" s="781">
        <v>2.0399999999999991</v>
      </c>
      <c r="F17" s="760" t="str">
        <f>+TRIM(INDEX('Exh. No. BGM-4 7-11'!$7:$7&amp;" "&amp;'Exh. No. BGM-4 7-11'!$8:$8&amp;" "&amp;'Exh. No. BGM-4 7-11'!$9:$9,1,MATCH($D17,'Exh. No. BGM-4 7-11'!$10:$10,0)))</f>
        <v>Regulatory Expense</v>
      </c>
      <c r="I17" s="782">
        <v>39.5</v>
      </c>
      <c r="J17" s="782"/>
      <c r="K17" s="782">
        <v>0</v>
      </c>
      <c r="L17" s="782"/>
      <c r="M17" s="782">
        <f t="shared" si="1"/>
        <v>-52.30970523812173</v>
      </c>
      <c r="P17" s="782">
        <f t="shared" si="2"/>
        <v>39.5</v>
      </c>
      <c r="Q17" s="782"/>
      <c r="R17" s="782">
        <f t="shared" si="3"/>
        <v>0</v>
      </c>
      <c r="S17" s="782"/>
      <c r="T17" s="782">
        <f t="shared" si="4"/>
        <v>-52.30970523812173</v>
      </c>
      <c r="W17" s="782">
        <v>0</v>
      </c>
      <c r="X17" s="782"/>
      <c r="Y17" s="782">
        <f t="shared" si="7"/>
        <v>0</v>
      </c>
      <c r="Z17" s="782"/>
      <c r="AA17" s="782">
        <v>0</v>
      </c>
      <c r="AB17" s="783"/>
      <c r="AC17" s="782">
        <f t="shared" si="6"/>
        <v>0</v>
      </c>
      <c r="AE17" s="760" t="s">
        <v>572</v>
      </c>
      <c r="AG17" s="763"/>
      <c r="AJ17" s="785" t="s">
        <v>575</v>
      </c>
      <c r="AK17" s="782">
        <f>+K57</f>
        <v>398990</v>
      </c>
      <c r="AQ17" s="786"/>
    </row>
    <row r="18" spans="1:49">
      <c r="B18" s="760">
        <f t="shared" ca="1" si="0"/>
        <v>10</v>
      </c>
      <c r="D18" s="781">
        <v>2.0499999999999989</v>
      </c>
      <c r="F18" s="760" t="str">
        <f>+TRIM(INDEX('Exh. No. BGM-4 7-11'!$7:$7&amp;" "&amp;'Exh. No. BGM-4 7-11'!$8:$8&amp;" "&amp;'Exh. No. BGM-4 7-11'!$9:$9,1,MATCH($D18,'Exh. No. BGM-4 7-11'!$10:$10,0)))</f>
        <v>Injuries &amp; Damages</v>
      </c>
      <c r="I18" s="782">
        <v>-42.66</v>
      </c>
      <c r="J18" s="782"/>
      <c r="K18" s="782">
        <v>0</v>
      </c>
      <c r="L18" s="782"/>
      <c r="M18" s="782">
        <f t="shared" si="1"/>
        <v>56.494481657171463</v>
      </c>
      <c r="P18" s="782">
        <f t="shared" si="2"/>
        <v>-42.66</v>
      </c>
      <c r="Q18" s="782"/>
      <c r="R18" s="782">
        <f t="shared" si="3"/>
        <v>0</v>
      </c>
      <c r="S18" s="782"/>
      <c r="T18" s="782">
        <f t="shared" si="4"/>
        <v>56.494481657171463</v>
      </c>
      <c r="W18" s="782">
        <v>0</v>
      </c>
      <c r="X18" s="782"/>
      <c r="Y18" s="782">
        <f t="shared" si="7"/>
        <v>0</v>
      </c>
      <c r="Z18" s="782"/>
      <c r="AA18" s="782">
        <v>0</v>
      </c>
      <c r="AB18" s="783"/>
      <c r="AC18" s="782">
        <f t="shared" si="6"/>
        <v>0</v>
      </c>
      <c r="AE18" s="760" t="s">
        <v>572</v>
      </c>
      <c r="AG18" s="763"/>
      <c r="AJ18" s="785"/>
      <c r="AQ18" s="786"/>
    </row>
    <row r="19" spans="1:49">
      <c r="B19" s="760">
        <f t="shared" ca="1" si="0"/>
        <v>11</v>
      </c>
      <c r="D19" s="781">
        <v>2.0599999999999987</v>
      </c>
      <c r="F19" s="760" t="str">
        <f>+TRIM(INDEX('Exh. No. BGM-4 7-11'!$7:$7&amp;" "&amp;'Exh. No. BGM-4 7-11'!$8:$8&amp;" "&amp;'Exh. No. BGM-4 7-11'!$9:$9,1,MATCH($D19,'Exh. No. BGM-4 7-11'!$10:$10,0)))</f>
        <v>FIT / DFIT Expense</v>
      </c>
      <c r="I19" s="782">
        <v>0</v>
      </c>
      <c r="J19" s="782"/>
      <c r="K19" s="782">
        <v>0</v>
      </c>
      <c r="L19" s="782"/>
      <c r="M19" s="782">
        <f t="shared" si="1"/>
        <v>0</v>
      </c>
      <c r="P19" s="782">
        <f t="shared" si="2"/>
        <v>0</v>
      </c>
      <c r="Q19" s="782"/>
      <c r="R19" s="782">
        <f t="shared" si="3"/>
        <v>0</v>
      </c>
      <c r="S19" s="782"/>
      <c r="T19" s="782">
        <f t="shared" si="4"/>
        <v>0</v>
      </c>
      <c r="W19" s="782">
        <v>0</v>
      </c>
      <c r="X19" s="782"/>
      <c r="Y19" s="782">
        <f t="shared" si="7"/>
        <v>0</v>
      </c>
      <c r="Z19" s="782"/>
      <c r="AA19" s="782">
        <v>0</v>
      </c>
      <c r="AB19" s="783"/>
      <c r="AC19" s="782">
        <f t="shared" si="6"/>
        <v>0</v>
      </c>
      <c r="AE19" s="760" t="s">
        <v>572</v>
      </c>
      <c r="AG19" s="763"/>
      <c r="AJ19" s="785" t="s">
        <v>576</v>
      </c>
      <c r="AK19" s="782">
        <f>-((AK17*AK15)-(AK17*AK12))/AI4</f>
        <v>-3275.9621675022995</v>
      </c>
      <c r="AQ19" s="786"/>
    </row>
    <row r="20" spans="1:49">
      <c r="B20" s="760">
        <f t="shared" ca="1" si="0"/>
        <v>12</v>
      </c>
      <c r="D20" s="781">
        <v>2.0699999999999985</v>
      </c>
      <c r="F20" s="760" t="str">
        <f>+TRIM(INDEX('Exh. No. BGM-4 7-11'!$7:$7&amp;" "&amp;'Exh. No. BGM-4 7-11'!$8:$8&amp;" "&amp;'Exh. No. BGM-4 7-11'!$9:$9,1,MATCH($D20,'Exh. No. BGM-4 7-11'!$10:$10,0)))</f>
        <v>Office Space Charges to Non-Utility</v>
      </c>
      <c r="I20" s="782">
        <v>13.43</v>
      </c>
      <c r="J20" s="782"/>
      <c r="K20" s="782">
        <v>0</v>
      </c>
      <c r="L20" s="782"/>
      <c r="M20" s="782">
        <f t="shared" si="1"/>
        <v>-17.785299780961388</v>
      </c>
      <c r="P20" s="782">
        <f t="shared" si="2"/>
        <v>13.43</v>
      </c>
      <c r="Q20" s="782"/>
      <c r="R20" s="782">
        <f t="shared" si="3"/>
        <v>0</v>
      </c>
      <c r="S20" s="782"/>
      <c r="T20" s="782">
        <f t="shared" si="4"/>
        <v>-17.785299780961388</v>
      </c>
      <c r="W20" s="782">
        <v>0</v>
      </c>
      <c r="X20" s="782"/>
      <c r="Y20" s="782">
        <f t="shared" si="7"/>
        <v>0</v>
      </c>
      <c r="Z20" s="782"/>
      <c r="AA20" s="782">
        <v>0</v>
      </c>
      <c r="AB20" s="783"/>
      <c r="AC20" s="782">
        <f t="shared" si="6"/>
        <v>0</v>
      </c>
      <c r="AE20" s="760" t="s">
        <v>572</v>
      </c>
      <c r="AG20" s="763"/>
      <c r="AJ20" s="785"/>
      <c r="AK20" s="786">
        <f>+AK19-M61</f>
        <v>110.21436914494871</v>
      </c>
      <c r="AQ20" s="786"/>
    </row>
    <row r="21" spans="1:49">
      <c r="B21" s="760">
        <f t="shared" ca="1" si="0"/>
        <v>13</v>
      </c>
      <c r="D21" s="781">
        <v>2.0799999999999983</v>
      </c>
      <c r="F21" s="760" t="str">
        <f>+TRIM(INDEX('Exh. No. BGM-4 7-11'!$7:$7&amp;" "&amp;'Exh. No. BGM-4 7-11'!$8:$8&amp;" "&amp;'Exh. No. BGM-4 7-11'!$9:$9,1,MATCH($D21,'Exh. No. BGM-4 7-11'!$10:$10,0)))</f>
        <v>Restate Excise Taxes</v>
      </c>
      <c r="I21" s="782">
        <v>0</v>
      </c>
      <c r="J21" s="782"/>
      <c r="K21" s="782">
        <v>0</v>
      </c>
      <c r="L21" s="782"/>
      <c r="M21" s="782">
        <f t="shared" si="1"/>
        <v>0</v>
      </c>
      <c r="P21" s="782">
        <f t="shared" si="2"/>
        <v>0</v>
      </c>
      <c r="Q21" s="782"/>
      <c r="R21" s="782">
        <f t="shared" si="3"/>
        <v>0</v>
      </c>
      <c r="S21" s="782"/>
      <c r="T21" s="782">
        <f t="shared" si="4"/>
        <v>0</v>
      </c>
      <c r="W21" s="782">
        <v>0</v>
      </c>
      <c r="X21" s="782"/>
      <c r="Y21" s="782">
        <f t="shared" si="7"/>
        <v>0</v>
      </c>
      <c r="Z21" s="782"/>
      <c r="AA21" s="782">
        <v>0</v>
      </c>
      <c r="AB21" s="783"/>
      <c r="AC21" s="782">
        <f t="shared" si="6"/>
        <v>0</v>
      </c>
      <c r="AE21" s="760" t="s">
        <v>572</v>
      </c>
      <c r="AG21" s="763"/>
      <c r="AJ21" s="785"/>
      <c r="AK21" s="782"/>
      <c r="AQ21" s="786"/>
    </row>
    <row r="22" spans="1:49">
      <c r="B22" s="760">
        <f t="shared" ca="1" si="0"/>
        <v>14</v>
      </c>
      <c r="D22" s="781">
        <v>2.0899999999999981</v>
      </c>
      <c r="F22" s="760" t="str">
        <f>+TRIM(INDEX('Exh. No. BGM-4 7-11'!$7:$7&amp;" "&amp;'Exh. No. BGM-4 7-11'!$8:$8&amp;" "&amp;'Exh. No. BGM-4 7-11'!$9:$9,1,MATCH($D22,'Exh. No. BGM-4 7-11'!$10:$10,0)))</f>
        <v>Net Gains &amp; Losses</v>
      </c>
      <c r="I22" s="782">
        <v>10.27</v>
      </c>
      <c r="J22" s="782"/>
      <c r="K22" s="782">
        <v>0</v>
      </c>
      <c r="L22" s="782"/>
      <c r="M22" s="782">
        <f t="shared" si="1"/>
        <v>-13.600523361911648</v>
      </c>
      <c r="P22" s="782">
        <f t="shared" si="2"/>
        <v>10.27</v>
      </c>
      <c r="Q22" s="782"/>
      <c r="R22" s="782">
        <f t="shared" si="3"/>
        <v>0</v>
      </c>
      <c r="S22" s="782"/>
      <c r="T22" s="782">
        <f t="shared" si="4"/>
        <v>-13.600523361911648</v>
      </c>
      <c r="W22" s="782">
        <v>0</v>
      </c>
      <c r="X22" s="782"/>
      <c r="Y22" s="782">
        <f t="shared" si="7"/>
        <v>0</v>
      </c>
      <c r="Z22" s="782"/>
      <c r="AA22" s="782">
        <v>0</v>
      </c>
      <c r="AB22" s="783"/>
      <c r="AC22" s="782">
        <f t="shared" si="6"/>
        <v>0</v>
      </c>
      <c r="AE22" s="760" t="s">
        <v>572</v>
      </c>
      <c r="AG22" s="763"/>
      <c r="AQ22" s="786"/>
    </row>
    <row r="23" spans="1:49">
      <c r="B23" s="760">
        <f t="shared" ca="1" si="0"/>
        <v>15</v>
      </c>
      <c r="D23" s="781">
        <v>2.0999999999999979</v>
      </c>
      <c r="F23" s="760" t="str">
        <f>+TRIM(INDEX('Exh. No. BGM-4 7-11'!$7:$7&amp;" "&amp;'Exh. No. BGM-4 7-11'!$8:$8&amp;" "&amp;'Exh. No. BGM-4 7-11'!$9:$9,1,MATCH($D23,'Exh. No. BGM-4 7-11'!$10:$10,0)))</f>
        <v>Weather Normalization / Gas Cost Adjust</v>
      </c>
      <c r="I23" s="782">
        <v>4.74</v>
      </c>
      <c r="J23" s="782"/>
      <c r="K23" s="782">
        <v>0</v>
      </c>
      <c r="L23" s="782"/>
      <c r="M23" s="782">
        <f t="shared" si="1"/>
        <v>-6.2771646285746074</v>
      </c>
      <c r="P23" s="782">
        <f t="shared" si="2"/>
        <v>4.74</v>
      </c>
      <c r="Q23" s="782"/>
      <c r="R23" s="782">
        <f t="shared" si="3"/>
        <v>0</v>
      </c>
      <c r="S23" s="782"/>
      <c r="T23" s="782">
        <f t="shared" si="4"/>
        <v>-6.2771646285746074</v>
      </c>
      <c r="W23" s="782">
        <v>0</v>
      </c>
      <c r="X23" s="782"/>
      <c r="Y23" s="782">
        <f t="shared" si="7"/>
        <v>0</v>
      </c>
      <c r="Z23" s="782"/>
      <c r="AA23" s="782">
        <v>0</v>
      </c>
      <c r="AB23" s="783"/>
      <c r="AC23" s="782">
        <f t="shared" si="6"/>
        <v>0</v>
      </c>
      <c r="AE23" s="760" t="s">
        <v>572</v>
      </c>
      <c r="AG23" s="763"/>
      <c r="AQ23" s="786"/>
    </row>
    <row r="24" spans="1:49">
      <c r="B24" s="760">
        <f t="shared" ca="1" si="0"/>
        <v>16</v>
      </c>
      <c r="D24" s="781">
        <v>2.1099999999999977</v>
      </c>
      <c r="F24" s="760" t="str">
        <f>+TRIM(INDEX('Exh. No. BGM-4 7-11'!$7:$7&amp;" "&amp;'Exh. No. BGM-4 7-11'!$8:$8&amp;" "&amp;'Exh. No. BGM-4 7-11'!$9:$9,1,MATCH($D24,'Exh. No. BGM-4 7-11'!$10:$10,0)))</f>
        <v>Eliminate Adder Schedules</v>
      </c>
      <c r="I24" s="782">
        <v>-9.0000000000031832E-2</v>
      </c>
      <c r="J24" s="782"/>
      <c r="K24" s="782">
        <v>0</v>
      </c>
      <c r="L24" s="782"/>
      <c r="M24" s="782">
        <f t="shared" si="1"/>
        <v>0.11918667016285116</v>
      </c>
      <c r="P24" s="782">
        <f t="shared" si="2"/>
        <v>-9.0000000000031832E-2</v>
      </c>
      <c r="Q24" s="782"/>
      <c r="R24" s="782">
        <f t="shared" si="3"/>
        <v>0</v>
      </c>
      <c r="S24" s="782"/>
      <c r="T24" s="782">
        <f t="shared" si="4"/>
        <v>0.11918667016285116</v>
      </c>
      <c r="W24" s="782">
        <v>0</v>
      </c>
      <c r="X24" s="782"/>
      <c r="Y24" s="782">
        <f t="shared" si="7"/>
        <v>0</v>
      </c>
      <c r="Z24" s="782"/>
      <c r="AA24" s="782">
        <v>0</v>
      </c>
      <c r="AB24" s="783"/>
      <c r="AC24" s="782">
        <f t="shared" si="6"/>
        <v>0</v>
      </c>
      <c r="AE24" s="760" t="s">
        <v>572</v>
      </c>
      <c r="AG24" s="763"/>
      <c r="AQ24" s="786"/>
    </row>
    <row r="25" spans="1:49">
      <c r="B25" s="760">
        <f t="shared" ca="1" si="0"/>
        <v>17</v>
      </c>
      <c r="D25" s="781">
        <v>2.1199999999999974</v>
      </c>
      <c r="F25" s="760" t="str">
        <f>+TRIM(INDEX('Exh. No. BGM-4 7-11'!$7:$7&amp;" "&amp;'Exh. No. BGM-4 7-11'!$8:$8&amp;" "&amp;'Exh. No. BGM-4 7-11'!$9:$9,1,MATCH($D25,'Exh. No. BGM-4 7-11'!$10:$10,0)))</f>
        <v>Misc. Restating Non-Util / Non- Recurring Expense</v>
      </c>
      <c r="I25" s="782">
        <v>390.26</v>
      </c>
      <c r="J25" s="782"/>
      <c r="K25" s="782">
        <v>0</v>
      </c>
      <c r="L25" s="782"/>
      <c r="M25" s="782">
        <f t="shared" si="1"/>
        <v>-516.81988775264267</v>
      </c>
      <c r="P25" s="782">
        <f t="shared" si="2"/>
        <v>390.26</v>
      </c>
      <c r="Q25" s="782"/>
      <c r="R25" s="782">
        <f t="shared" si="3"/>
        <v>0</v>
      </c>
      <c r="S25" s="782"/>
      <c r="T25" s="782">
        <f t="shared" si="4"/>
        <v>-516.81988775264267</v>
      </c>
      <c r="W25" s="782">
        <v>0</v>
      </c>
      <c r="X25" s="782"/>
      <c r="Y25" s="782">
        <f t="shared" si="7"/>
        <v>0</v>
      </c>
      <c r="Z25" s="782"/>
      <c r="AA25" s="782">
        <v>0</v>
      </c>
      <c r="AB25" s="783"/>
      <c r="AC25" s="782">
        <f t="shared" si="6"/>
        <v>0</v>
      </c>
      <c r="AE25" s="760" t="s">
        <v>583</v>
      </c>
      <c r="AG25" s="763"/>
      <c r="AQ25" s="786"/>
    </row>
    <row r="26" spans="1:49" s="761" customFormat="1">
      <c r="A26" s="760"/>
      <c r="B26" s="760">
        <f ca="1">+MAX(OFFSET($B$7,0,0,ROW($B26)-ROW($B$7),1))+1</f>
        <v>18</v>
      </c>
      <c r="C26" s="760"/>
      <c r="D26" s="790" t="s">
        <v>596</v>
      </c>
      <c r="E26" s="791"/>
      <c r="F26" s="791" t="s">
        <v>586</v>
      </c>
      <c r="I26" s="782">
        <v>0</v>
      </c>
      <c r="J26" s="782"/>
      <c r="K26" s="782">
        <v>0</v>
      </c>
      <c r="L26" s="778"/>
      <c r="M26" s="782">
        <f>+($K26*$AK$12-$I26)/$AI$4</f>
        <v>0</v>
      </c>
      <c r="O26" s="760"/>
      <c r="P26" s="782">
        <f>+I26+Y26</f>
        <v>110.92515090878597</v>
      </c>
      <c r="Q26" s="782"/>
      <c r="R26" s="782">
        <f>+K26+AA26</f>
        <v>0</v>
      </c>
      <c r="S26" s="782"/>
      <c r="T26" s="782">
        <f>+($R26*$AK$12-$P26)/$AI$4</f>
        <v>-146.89777082361428</v>
      </c>
      <c r="U26" s="760"/>
      <c r="V26" s="760"/>
      <c r="W26" s="792">
        <v>140.41158342884299</v>
      </c>
      <c r="X26" s="782"/>
      <c r="Y26" s="782">
        <f t="shared" si="7"/>
        <v>110.92515090878597</v>
      </c>
      <c r="Z26" s="782"/>
      <c r="AA26" s="782">
        <v>0</v>
      </c>
      <c r="AB26" s="783"/>
      <c r="AC26" s="782">
        <f>+($AA26*$AK$12-$Y26)/$AI$4</f>
        <v>-146.89777082361428</v>
      </c>
      <c r="AE26" s="760" t="s">
        <v>584</v>
      </c>
      <c r="AG26" s="763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</row>
    <row r="27" spans="1:49">
      <c r="B27" s="760">
        <f t="shared" ca="1" si="0"/>
        <v>19</v>
      </c>
      <c r="D27" s="790" t="s">
        <v>595</v>
      </c>
      <c r="E27" s="791"/>
      <c r="F27" s="791" t="s">
        <v>590</v>
      </c>
      <c r="I27" s="782">
        <v>0</v>
      </c>
      <c r="J27" s="782"/>
      <c r="K27" s="782">
        <v>0</v>
      </c>
      <c r="L27" s="778"/>
      <c r="M27" s="782">
        <f t="shared" si="1"/>
        <v>0</v>
      </c>
      <c r="P27" s="782">
        <f t="shared" si="2"/>
        <v>24.138414288839961</v>
      </c>
      <c r="Q27" s="782"/>
      <c r="R27" s="782">
        <f t="shared" si="3"/>
        <v>0</v>
      </c>
      <c r="S27" s="782"/>
      <c r="T27" s="782">
        <f t="shared" si="4"/>
        <v>-31.966413578857825</v>
      </c>
      <c r="W27" s="792">
        <f>+'[11]2.12E.A2  Adjustment'!$D$18/1000</f>
        <v>30.554954795999947</v>
      </c>
      <c r="X27" s="782"/>
      <c r="Y27" s="782">
        <f t="shared" si="7"/>
        <v>24.138414288839961</v>
      </c>
      <c r="Z27" s="782"/>
      <c r="AA27" s="782">
        <v>0</v>
      </c>
      <c r="AB27" s="783"/>
      <c r="AC27" s="782">
        <f t="shared" si="6"/>
        <v>-31.966413578857825</v>
      </c>
      <c r="AE27" s="760" t="s">
        <v>584</v>
      </c>
      <c r="AG27" s="763"/>
      <c r="AQ27" s="786"/>
    </row>
    <row r="28" spans="1:49">
      <c r="B28" s="760">
        <f t="shared" ca="1" si="0"/>
        <v>20</v>
      </c>
      <c r="D28" s="790" t="s">
        <v>594</v>
      </c>
      <c r="E28" s="791"/>
      <c r="F28" s="791" t="s">
        <v>593</v>
      </c>
      <c r="I28" s="782">
        <v>0</v>
      </c>
      <c r="J28" s="782"/>
      <c r="K28" s="782">
        <v>0</v>
      </c>
      <c r="L28" s="778"/>
      <c r="M28" s="782">
        <f t="shared" si="1"/>
        <v>0</v>
      </c>
      <c r="P28" s="782">
        <f t="shared" ref="P28" si="8">+I28+Y28</f>
        <v>242.03467000000001</v>
      </c>
      <c r="Q28" s="782"/>
      <c r="R28" s="782">
        <f t="shared" ref="R28" si="9">+K28+AA28</f>
        <v>0</v>
      </c>
      <c r="S28" s="782"/>
      <c r="T28" s="782">
        <f t="shared" si="4"/>
        <v>-320.52562645838134</v>
      </c>
      <c r="W28" s="792">
        <v>306.37299999999999</v>
      </c>
      <c r="X28" s="782"/>
      <c r="Y28" s="782">
        <f t="shared" si="7"/>
        <v>242.03467000000001</v>
      </c>
      <c r="Z28" s="782"/>
      <c r="AA28" s="782">
        <v>0</v>
      </c>
      <c r="AB28" s="783"/>
      <c r="AC28" s="782">
        <f t="shared" si="6"/>
        <v>-320.52562645838134</v>
      </c>
      <c r="AE28" s="760"/>
      <c r="AG28" s="763"/>
      <c r="AQ28" s="786"/>
    </row>
    <row r="29" spans="1:49">
      <c r="B29" s="760">
        <f t="shared" ca="1" si="0"/>
        <v>21</v>
      </c>
      <c r="D29" s="781">
        <v>2.1299999999999972</v>
      </c>
      <c r="F29" s="760" t="str">
        <f>+TRIM(INDEX('Exh. No. BGM-4 7-11'!$7:$7&amp;" "&amp;'Exh. No. BGM-4 7-11'!$8:$8&amp;" "&amp;'Exh. No. BGM-4 7-11'!$9:$9,1,MATCH($D29,'Exh. No. BGM-4 7-11'!$10:$10,0)))</f>
        <v>Restating Incentives Expense</v>
      </c>
      <c r="I29" s="782">
        <v>56.88</v>
      </c>
      <c r="J29" s="782"/>
      <c r="K29" s="782">
        <v>0</v>
      </c>
      <c r="L29" s="782"/>
      <c r="M29" s="782">
        <f t="shared" si="1"/>
        <v>-75.325975542895293</v>
      </c>
      <c r="P29" s="782">
        <f t="shared" si="2"/>
        <v>56.88</v>
      </c>
      <c r="Q29" s="782"/>
      <c r="R29" s="782">
        <f t="shared" si="3"/>
        <v>0</v>
      </c>
      <c r="S29" s="782"/>
      <c r="T29" s="782">
        <f t="shared" si="4"/>
        <v>-75.325975542895293</v>
      </c>
      <c r="W29" s="782">
        <v>0</v>
      </c>
      <c r="X29" s="782"/>
      <c r="Y29" s="782">
        <f t="shared" si="7"/>
        <v>0</v>
      </c>
      <c r="Z29" s="782"/>
      <c r="AA29" s="782">
        <v>0</v>
      </c>
      <c r="AB29" s="783"/>
      <c r="AC29" s="782">
        <f t="shared" si="6"/>
        <v>0</v>
      </c>
      <c r="AE29" s="760" t="s">
        <v>572</v>
      </c>
      <c r="AG29" s="763"/>
      <c r="AQ29" s="786"/>
    </row>
    <row r="30" spans="1:49">
      <c r="B30" s="760">
        <f t="shared" ca="1" si="0"/>
        <v>22</v>
      </c>
      <c r="D30" s="781">
        <v>2.139999999999997</v>
      </c>
      <c r="F30" s="760" t="str">
        <f>+TRIM(INDEX('Exh. No. BGM-4 7-11'!$7:$7&amp;" "&amp;'Exh. No. BGM-4 7-11'!$8:$8&amp;" "&amp;'Exh. No. BGM-4 7-11'!$9:$9,1,MATCH($D30,'Exh. No. BGM-4 7-11'!$10:$10,0)))</f>
        <v>Restate Debt Interest</v>
      </c>
      <c r="I30" s="782">
        <v>-176</v>
      </c>
      <c r="J30" s="782"/>
      <c r="K30" s="782">
        <v>0</v>
      </c>
      <c r="L30" s="782"/>
      <c r="M30" s="782">
        <f t="shared" si="1"/>
        <v>233.0761549850487</v>
      </c>
      <c r="P30" s="782">
        <f t="shared" si="2"/>
        <v>-176</v>
      </c>
      <c r="Q30" s="782"/>
      <c r="R30" s="782">
        <f t="shared" si="3"/>
        <v>0</v>
      </c>
      <c r="S30" s="782"/>
      <c r="T30" s="782">
        <f t="shared" si="4"/>
        <v>233.0761549850487</v>
      </c>
      <c r="W30" s="782">
        <v>0</v>
      </c>
      <c r="X30" s="782"/>
      <c r="Y30" s="782">
        <f t="shared" si="7"/>
        <v>0</v>
      </c>
      <c r="Z30" s="782"/>
      <c r="AA30" s="782">
        <v>0</v>
      </c>
      <c r="AB30" s="783"/>
      <c r="AC30" s="782">
        <f t="shared" si="6"/>
        <v>0</v>
      </c>
      <c r="AE30" s="760" t="s">
        <v>572</v>
      </c>
      <c r="AG30" s="763"/>
      <c r="AQ30" s="786"/>
    </row>
    <row r="31" spans="1:49">
      <c r="B31" s="760">
        <f t="shared" ca="1" si="0"/>
        <v>23</v>
      </c>
      <c r="D31" s="781">
        <v>2.1499999999999968</v>
      </c>
      <c r="F31" s="760" t="str">
        <f>+TRIM(INDEX('Exh. No. BGM-4 7-11'!$7:$7&amp;" "&amp;'Exh. No. BGM-4 7-11'!$8:$8&amp;" "&amp;'Exh. No. BGM-4 7-11'!$9:$9,1,MATCH($D31,'Exh. No. BGM-4 7-11'!$10:$10,0)))</f>
        <v>Restate 2018 AMA Rate Base to EOP</v>
      </c>
      <c r="I31" s="782">
        <v>-1060.1465029999999</v>
      </c>
      <c r="J31" s="782"/>
      <c r="K31" s="782">
        <v>32271</v>
      </c>
      <c r="L31" s="782"/>
      <c r="M31" s="782">
        <f t="shared" si="1"/>
        <v>4352.7574538019226</v>
      </c>
      <c r="P31" s="782">
        <f t="shared" si="2"/>
        <v>-1060.1465029999999</v>
      </c>
      <c r="Q31" s="782"/>
      <c r="R31" s="782">
        <f t="shared" si="3"/>
        <v>32271</v>
      </c>
      <c r="S31" s="782"/>
      <c r="T31" s="782">
        <f t="shared" si="4"/>
        <v>4352.7574538019226</v>
      </c>
      <c r="W31" s="782">
        <v>0</v>
      </c>
      <c r="X31" s="782"/>
      <c r="Y31" s="782">
        <f t="shared" si="7"/>
        <v>0</v>
      </c>
      <c r="Z31" s="782"/>
      <c r="AA31" s="782">
        <v>0</v>
      </c>
      <c r="AB31" s="783"/>
      <c r="AC31" s="782">
        <f t="shared" si="6"/>
        <v>0</v>
      </c>
      <c r="AE31" s="760" t="s">
        <v>572</v>
      </c>
      <c r="AG31" s="763"/>
      <c r="AQ31" s="786"/>
    </row>
    <row r="32" spans="1:49" s="761" customFormat="1">
      <c r="A32" s="760"/>
      <c r="B32" s="760"/>
      <c r="C32" s="759"/>
      <c r="D32" s="759"/>
      <c r="E32" s="759"/>
      <c r="F32" s="778"/>
      <c r="I32" s="787"/>
      <c r="J32" s="778"/>
      <c r="K32" s="787"/>
      <c r="L32" s="778"/>
      <c r="M32" s="787"/>
      <c r="O32" s="759"/>
      <c r="P32" s="787"/>
      <c r="Q32" s="778"/>
      <c r="R32" s="787"/>
      <c r="S32" s="778"/>
      <c r="T32" s="787"/>
      <c r="U32" s="760"/>
      <c r="V32" s="760"/>
      <c r="W32" s="787"/>
      <c r="X32" s="760"/>
      <c r="Y32" s="787"/>
      <c r="Z32" s="778"/>
      <c r="AA32" s="787"/>
      <c r="AB32" s="778"/>
      <c r="AC32" s="787"/>
      <c r="AE32" s="760"/>
      <c r="AG32" s="763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</row>
    <row r="33" spans="1:49" s="761" customFormat="1">
      <c r="A33" s="760"/>
      <c r="B33" s="760">
        <f ca="1">+MAX(OFFSET($B$7,0,0,ROW($B33)-ROW($B$7),1))+1</f>
        <v>24</v>
      </c>
      <c r="C33" s="759"/>
      <c r="D33" s="759"/>
      <c r="E33" s="759"/>
      <c r="F33" s="759" t="s">
        <v>577</v>
      </c>
      <c r="I33" s="778">
        <f>+SUM(I$7:I$32)</f>
        <v>24041.557252999999</v>
      </c>
      <c r="J33" s="778"/>
      <c r="K33" s="778">
        <f>+SUM(K$7:K$32)</f>
        <v>373637</v>
      </c>
      <c r="L33" s="778"/>
      <c r="M33" s="778">
        <f>+($K33*$AK$12-$I33)/$AI$4</f>
        <v>2303.4754131142449</v>
      </c>
      <c r="O33" s="759"/>
      <c r="P33" s="778">
        <f>+SUM(P$7:P$32)</f>
        <v>24418.655488197623</v>
      </c>
      <c r="Q33" s="778"/>
      <c r="R33" s="778">
        <f>+SUM(R$7:R$32)</f>
        <v>373637</v>
      </c>
      <c r="S33" s="778"/>
      <c r="T33" s="778">
        <f>+SUM(T$7:T$32)</f>
        <v>1804.0856022533908</v>
      </c>
      <c r="U33" s="760"/>
      <c r="V33" s="760"/>
      <c r="W33" s="778">
        <f>+SUM(W$7:W$32)</f>
        <v>477.33953822484295</v>
      </c>
      <c r="X33" s="778"/>
      <c r="Y33" s="778">
        <f>+SUM(Y$7:Y$32)</f>
        <v>377.09823519762597</v>
      </c>
      <c r="Z33" s="778"/>
      <c r="AA33" s="778">
        <f>+SUM(AA$7:AA$32)</f>
        <v>0</v>
      </c>
      <c r="AB33" s="778"/>
      <c r="AC33" s="778">
        <f>+SUM(AC$7:AC$32)</f>
        <v>-499.38981086085346</v>
      </c>
      <c r="AE33" s="760"/>
      <c r="AG33" s="763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</row>
    <row r="34" spans="1:49" s="761" customFormat="1">
      <c r="A34" s="760"/>
      <c r="B34" s="760"/>
      <c r="C34" s="760"/>
      <c r="D34" s="760"/>
      <c r="E34" s="760"/>
      <c r="F34" s="760"/>
      <c r="I34" s="760"/>
      <c r="J34" s="760"/>
      <c r="K34" s="760"/>
      <c r="L34" s="760"/>
      <c r="M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E34" s="760"/>
      <c r="AG34" s="763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</row>
    <row r="35" spans="1:49" s="761" customFormat="1">
      <c r="A35" s="760"/>
      <c r="B35" s="764" t="s">
        <v>432</v>
      </c>
      <c r="C35" s="760"/>
      <c r="D35" s="781"/>
      <c r="E35" s="760"/>
      <c r="F35" s="760"/>
      <c r="I35" s="760"/>
      <c r="J35" s="760"/>
      <c r="K35" s="760"/>
      <c r="L35" s="760"/>
      <c r="M35" s="760"/>
      <c r="O35" s="760"/>
      <c r="P35" s="760"/>
      <c r="Q35" s="760"/>
      <c r="R35" s="760"/>
      <c r="S35" s="760"/>
      <c r="T35" s="760"/>
      <c r="U35" s="760"/>
      <c r="V35" s="760"/>
      <c r="W35" s="782"/>
      <c r="X35" s="782"/>
      <c r="Y35" s="782"/>
      <c r="Z35" s="782"/>
      <c r="AA35" s="782"/>
      <c r="AB35" s="783"/>
      <c r="AC35" s="783"/>
      <c r="AE35" s="760"/>
      <c r="AG35" s="763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</row>
    <row r="36" spans="1:49" s="761" customFormat="1">
      <c r="A36" s="760"/>
      <c r="B36" s="760">
        <f t="shared" ref="B36:B54" ca="1" si="10">+MAX(OFFSET($B$7,0,0,ROW($B36)-ROW($B$7),1))+1</f>
        <v>25</v>
      </c>
      <c r="C36" s="760"/>
      <c r="D36" s="781">
        <v>3.01</v>
      </c>
      <c r="E36" s="760"/>
      <c r="F36" s="760" t="str">
        <f>+TRIM(INDEX('Exh. No. BGM-4 7-11'!$7:$7&amp;" "&amp;'Exh. No. BGM-4 7-11'!$8:$8&amp;" "&amp;'Exh. No. BGM-4 7-11'!$9:$9,1,MATCH($D36,'Exh. No. BGM-4 7-11'!$10:$10,0)))</f>
        <v>Pro Forma Revenue Normalization</v>
      </c>
      <c r="I36" s="782">
        <v>403.69</v>
      </c>
      <c r="J36" s="782"/>
      <c r="K36" s="782">
        <v>0</v>
      </c>
      <c r="L36" s="778"/>
      <c r="M36" s="782">
        <f t="shared" ref="M36:M54" si="11">+($K36*$AK$12-$I36)/$AI$4</f>
        <v>-534.60518753360407</v>
      </c>
      <c r="O36" s="760"/>
      <c r="P36" s="782">
        <f t="shared" ref="P36:P54" si="12">+I36+Y36</f>
        <v>403.69</v>
      </c>
      <c r="Q36" s="782"/>
      <c r="R36" s="782">
        <f t="shared" ref="R36:R54" si="13">+K36+AA36</f>
        <v>0</v>
      </c>
      <c r="S36" s="782"/>
      <c r="T36" s="782">
        <f t="shared" ref="T36:T54" si="14">+($R36*$AK$12-$P36)/$AI$4</f>
        <v>-534.60518753360407</v>
      </c>
      <c r="U36" s="760"/>
      <c r="V36" s="760"/>
      <c r="W36" s="782">
        <v>0</v>
      </c>
      <c r="X36" s="782"/>
      <c r="Y36" s="782">
        <f t="shared" ref="Y36:Y55" si="15">+W36*(1-$AI$5)+$AA36*$AK$10*$AI$5</f>
        <v>0</v>
      </c>
      <c r="Z36" s="782"/>
      <c r="AA36" s="782">
        <v>0</v>
      </c>
      <c r="AB36" s="783"/>
      <c r="AC36" s="782">
        <f t="shared" ref="AC36:AC54" si="16">+($AA36*$AK$12-$Y36)/$AI$4</f>
        <v>0</v>
      </c>
      <c r="AE36" s="760" t="s">
        <v>572</v>
      </c>
      <c r="AG36" s="763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</row>
    <row r="37" spans="1:49" s="761" customFormat="1">
      <c r="A37" s="760"/>
      <c r="B37" s="760">
        <f t="shared" ca="1" si="10"/>
        <v>26</v>
      </c>
      <c r="C37" s="760"/>
      <c r="D37" s="790" t="s">
        <v>602</v>
      </c>
      <c r="E37" s="791"/>
      <c r="F37" s="791" t="s">
        <v>585</v>
      </c>
      <c r="I37" s="782">
        <v>0</v>
      </c>
      <c r="J37" s="782"/>
      <c r="K37" s="782">
        <v>0</v>
      </c>
      <c r="L37" s="778"/>
      <c r="M37" s="782">
        <f t="shared" si="11"/>
        <v>0</v>
      </c>
      <c r="O37" s="760"/>
      <c r="P37" s="782">
        <f t="shared" ref="P37" si="17">+I37+Y37</f>
        <v>3276.6309589867274</v>
      </c>
      <c r="Q37" s="782"/>
      <c r="R37" s="782">
        <f t="shared" ref="R37" si="18">+K37+AA37</f>
        <v>0</v>
      </c>
      <c r="S37" s="782"/>
      <c r="T37" s="782">
        <f t="shared" si="14"/>
        <v>-4339.2303705999957</v>
      </c>
      <c r="U37" s="760"/>
      <c r="V37" s="760"/>
      <c r="W37" s="792">
        <f>+'[7]Exh. BGM-8'!$AQ$35/1000*'Exh. No. BGM-4 6'!E23</f>
        <v>4147.6341252996544</v>
      </c>
      <c r="X37" s="782"/>
      <c r="Y37" s="782">
        <f t="shared" si="15"/>
        <v>3276.6309589867274</v>
      </c>
      <c r="Z37" s="782"/>
      <c r="AA37" s="782">
        <v>0</v>
      </c>
      <c r="AB37" s="783"/>
      <c r="AC37" s="782">
        <f t="shared" si="16"/>
        <v>-4339.2303705999957</v>
      </c>
      <c r="AE37" s="760" t="s">
        <v>584</v>
      </c>
      <c r="AG37" s="763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</row>
    <row r="38" spans="1:49" s="761" customFormat="1">
      <c r="A38" s="760"/>
      <c r="B38" s="760">
        <f t="shared" ca="1" si="10"/>
        <v>27</v>
      </c>
      <c r="C38" s="760"/>
      <c r="D38" s="781">
        <v>3.0199999999999996</v>
      </c>
      <c r="E38" s="760"/>
      <c r="F38" s="760" t="str">
        <f>+TRIM(INDEX('Exh. No. BGM-4 7-11'!$7:$7&amp;" "&amp;'Exh. No. BGM-4 7-11'!$8:$8&amp;" "&amp;'Exh. No. BGM-4 7-11'!$9:$9,1,MATCH($D38,'Exh. No. BGM-4 7-11'!$10:$10,0)))</f>
        <v>Pro Forma LEAP Deferral Amortization</v>
      </c>
      <c r="I38" s="782">
        <v>-1378.017335</v>
      </c>
      <c r="J38" s="782"/>
      <c r="K38" s="782">
        <v>95</v>
      </c>
      <c r="L38" s="778"/>
      <c r="M38" s="782">
        <f t="shared" si="11"/>
        <v>1833.5840689799477</v>
      </c>
      <c r="O38" s="760"/>
      <c r="P38" s="782">
        <f t="shared" si="12"/>
        <v>-1378.017335</v>
      </c>
      <c r="Q38" s="782"/>
      <c r="R38" s="782">
        <f t="shared" si="13"/>
        <v>95</v>
      </c>
      <c r="S38" s="782"/>
      <c r="T38" s="782">
        <f t="shared" si="14"/>
        <v>1833.5840689799477</v>
      </c>
      <c r="U38" s="760"/>
      <c r="V38" s="760"/>
      <c r="W38" s="782">
        <v>0</v>
      </c>
      <c r="X38" s="782"/>
      <c r="Y38" s="782">
        <f t="shared" si="15"/>
        <v>0</v>
      </c>
      <c r="Z38" s="782"/>
      <c r="AA38" s="782">
        <v>0</v>
      </c>
      <c r="AB38" s="783"/>
      <c r="AC38" s="782">
        <f t="shared" si="16"/>
        <v>0</v>
      </c>
      <c r="AE38" s="760" t="s">
        <v>572</v>
      </c>
      <c r="AG38" s="763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</row>
    <row r="39" spans="1:49" s="761" customFormat="1">
      <c r="A39" s="760"/>
      <c r="B39" s="760">
        <f t="shared" ca="1" si="10"/>
        <v>28</v>
      </c>
      <c r="C39" s="760"/>
      <c r="D39" s="781">
        <v>3.0299999999999994</v>
      </c>
      <c r="E39" s="760"/>
      <c r="F39" s="760" t="str">
        <f>+TRIM(INDEX('Exh. No. BGM-4 7-11'!$7:$7&amp;" "&amp;'Exh. No. BGM-4 7-11'!$8:$8&amp;" "&amp;'Exh. No. BGM-4 7-11'!$9:$9,1,MATCH($D39,'Exh. No. BGM-4 7-11'!$10:$10,0)))</f>
        <v>Pro Forma Labor Non-Exec</v>
      </c>
      <c r="I39" s="782">
        <v>-576.70000000000005</v>
      </c>
      <c r="J39" s="782"/>
      <c r="K39" s="782">
        <v>0</v>
      </c>
      <c r="L39" s="778"/>
      <c r="M39" s="782">
        <f t="shared" si="11"/>
        <v>763.72169647657722</v>
      </c>
      <c r="O39" s="760"/>
      <c r="P39" s="782">
        <f t="shared" si="12"/>
        <v>-576.70000000000005</v>
      </c>
      <c r="Q39" s="782"/>
      <c r="R39" s="782">
        <f t="shared" si="13"/>
        <v>0</v>
      </c>
      <c r="S39" s="782"/>
      <c r="T39" s="782">
        <f t="shared" si="14"/>
        <v>763.72169647657722</v>
      </c>
      <c r="U39" s="760"/>
      <c r="V39" s="760"/>
      <c r="W39" s="782">
        <v>0</v>
      </c>
      <c r="X39" s="782"/>
      <c r="Y39" s="782">
        <f t="shared" si="15"/>
        <v>0</v>
      </c>
      <c r="Z39" s="782"/>
      <c r="AA39" s="782">
        <v>0</v>
      </c>
      <c r="AB39" s="783"/>
      <c r="AC39" s="782">
        <f t="shared" si="16"/>
        <v>0</v>
      </c>
      <c r="AE39" s="760" t="s">
        <v>583</v>
      </c>
      <c r="AG39" s="763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</row>
    <row r="40" spans="1:49" s="761" customFormat="1">
      <c r="A40" s="760"/>
      <c r="B40" s="760">
        <f t="shared" ca="1" si="10"/>
        <v>29</v>
      </c>
      <c r="C40" s="760"/>
      <c r="D40" s="790" t="s">
        <v>604</v>
      </c>
      <c r="E40" s="791"/>
      <c r="F40" s="791" t="s">
        <v>591</v>
      </c>
      <c r="I40" s="782">
        <v>0</v>
      </c>
      <c r="J40" s="782"/>
      <c r="K40" s="782">
        <v>0</v>
      </c>
      <c r="L40" s="778"/>
      <c r="M40" s="782">
        <f>+($K40*$AK$12-$I40)/$AI$4</f>
        <v>0</v>
      </c>
      <c r="O40" s="760"/>
      <c r="P40" s="782">
        <f>+I40+Y40</f>
        <v>24.984540000000003</v>
      </c>
      <c r="Q40" s="782"/>
      <c r="R40" s="782">
        <f>+K40+AA40</f>
        <v>0</v>
      </c>
      <c r="S40" s="782"/>
      <c r="T40" s="782">
        <f>+($R40*$AK$12-$P40)/$AI$4</f>
        <v>-33.08693475721676</v>
      </c>
      <c r="U40" s="760"/>
      <c r="V40" s="760"/>
      <c r="W40" s="792">
        <v>31.626000000000001</v>
      </c>
      <c r="X40" s="782"/>
      <c r="Y40" s="782">
        <f t="shared" si="15"/>
        <v>24.984540000000003</v>
      </c>
      <c r="Z40" s="782"/>
      <c r="AA40" s="782">
        <v>0</v>
      </c>
      <c r="AB40" s="783"/>
      <c r="AC40" s="782">
        <f>+($AA40*$AK$12-$Y40)/$AI$4</f>
        <v>-33.08693475721676</v>
      </c>
      <c r="AE40" s="760" t="s">
        <v>584</v>
      </c>
      <c r="AG40" s="763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</row>
    <row r="41" spans="1:49" s="761" customFormat="1">
      <c r="A41" s="760"/>
      <c r="B41" s="760">
        <f t="shared" ca="1" si="10"/>
        <v>30</v>
      </c>
      <c r="C41" s="760"/>
      <c r="D41" s="781">
        <v>3.0399999999999991</v>
      </c>
      <c r="E41" s="760"/>
      <c r="F41" s="760" t="str">
        <f>+TRIM(INDEX('Exh. No. BGM-4 7-11'!$7:$7&amp;" "&amp;'Exh. No. BGM-4 7-11'!$8:$8&amp;" "&amp;'Exh. No. BGM-4 7-11'!$9:$9,1,MATCH($D41,'Exh. No. BGM-4 7-11'!$10:$10,0)))</f>
        <v>Pro Forma Labor Exec</v>
      </c>
      <c r="I41" s="782">
        <v>-80.58</v>
      </c>
      <c r="J41" s="782"/>
      <c r="K41" s="782">
        <v>0</v>
      </c>
      <c r="L41" s="778"/>
      <c r="M41" s="782">
        <f t="shared" si="11"/>
        <v>106.71179868576831</v>
      </c>
      <c r="O41" s="760"/>
      <c r="P41" s="782">
        <f t="shared" si="12"/>
        <v>-80.58</v>
      </c>
      <c r="Q41" s="782"/>
      <c r="R41" s="782">
        <f t="shared" si="13"/>
        <v>0</v>
      </c>
      <c r="S41" s="782"/>
      <c r="T41" s="782">
        <f t="shared" si="14"/>
        <v>106.71179868576831</v>
      </c>
      <c r="U41" s="760"/>
      <c r="V41" s="760"/>
      <c r="W41" s="782">
        <v>0</v>
      </c>
      <c r="X41" s="782"/>
      <c r="Y41" s="782">
        <f t="shared" si="15"/>
        <v>0</v>
      </c>
      <c r="Z41" s="782"/>
      <c r="AA41" s="782">
        <v>0</v>
      </c>
      <c r="AB41" s="783"/>
      <c r="AC41" s="782">
        <f t="shared" si="16"/>
        <v>0</v>
      </c>
      <c r="AE41" s="760" t="s">
        <v>572</v>
      </c>
      <c r="AG41" s="763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</row>
    <row r="42" spans="1:49" s="761" customFormat="1">
      <c r="A42" s="760"/>
      <c r="B42" s="760">
        <f t="shared" ca="1" si="10"/>
        <v>31</v>
      </c>
      <c r="C42" s="760"/>
      <c r="D42" s="781">
        <v>3.0499999999999989</v>
      </c>
      <c r="E42" s="760"/>
      <c r="F42" s="760" t="str">
        <f>+TRIM(INDEX('Exh. No. BGM-4 7-11'!$7:$7&amp;" "&amp;'Exh. No. BGM-4 7-11'!$8:$8&amp;" "&amp;'Exh. No. BGM-4 7-11'!$9:$9,1,MATCH($D42,'Exh. No. BGM-4 7-11'!$10:$10,0)))</f>
        <v>Pro Forma Employee Benefits</v>
      </c>
      <c r="I42" s="782">
        <v>-632</v>
      </c>
      <c r="J42" s="782"/>
      <c r="K42" s="782">
        <v>0</v>
      </c>
      <c r="L42" s="778"/>
      <c r="M42" s="782">
        <f t="shared" si="11"/>
        <v>836.95528380994767</v>
      </c>
      <c r="O42" s="760"/>
      <c r="P42" s="782">
        <f t="shared" si="12"/>
        <v>-632</v>
      </c>
      <c r="Q42" s="782"/>
      <c r="R42" s="782">
        <f t="shared" si="13"/>
        <v>0</v>
      </c>
      <c r="S42" s="782"/>
      <c r="T42" s="782">
        <f t="shared" si="14"/>
        <v>836.95528380994767</v>
      </c>
      <c r="U42" s="760"/>
      <c r="V42" s="760"/>
      <c r="W42" s="782">
        <v>0</v>
      </c>
      <c r="X42" s="782"/>
      <c r="Y42" s="782">
        <f t="shared" si="15"/>
        <v>0</v>
      </c>
      <c r="Z42" s="782"/>
      <c r="AA42" s="782">
        <v>0</v>
      </c>
      <c r="AB42" s="783"/>
      <c r="AC42" s="782">
        <f t="shared" si="16"/>
        <v>0</v>
      </c>
      <c r="AE42" s="760" t="s">
        <v>583</v>
      </c>
      <c r="AG42" s="763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</row>
    <row r="43" spans="1:49" s="761" customFormat="1">
      <c r="A43" s="760"/>
      <c r="B43" s="760">
        <f t="shared" ca="1" si="10"/>
        <v>32</v>
      </c>
      <c r="C43" s="760"/>
      <c r="D43" s="790" t="s">
        <v>597</v>
      </c>
      <c r="E43" s="791"/>
      <c r="F43" s="791" t="s">
        <v>582</v>
      </c>
      <c r="I43" s="782">
        <v>0</v>
      </c>
      <c r="J43" s="782"/>
      <c r="K43" s="782">
        <v>0</v>
      </c>
      <c r="L43" s="778"/>
      <c r="M43" s="782">
        <f t="shared" si="11"/>
        <v>0</v>
      </c>
      <c r="O43" s="760"/>
      <c r="P43" s="782">
        <f t="shared" ref="P43" si="19">+I43+Y43</f>
        <v>496.93113015246109</v>
      </c>
      <c r="Q43" s="782"/>
      <c r="R43" s="782">
        <f t="shared" ref="R43" si="20">+K43+AA43</f>
        <v>-335.029</v>
      </c>
      <c r="S43" s="782"/>
      <c r="T43" s="782">
        <f t="shared" si="14"/>
        <v>-688.69783418281793</v>
      </c>
      <c r="U43" s="760"/>
      <c r="V43" s="760"/>
      <c r="W43" s="792">
        <v>631.40460475374823</v>
      </c>
      <c r="X43" s="782"/>
      <c r="Y43" s="782">
        <f t="shared" si="15"/>
        <v>496.93113015246109</v>
      </c>
      <c r="Z43" s="782"/>
      <c r="AA43" s="792">
        <v>-335.029</v>
      </c>
      <c r="AB43" s="783"/>
      <c r="AC43" s="782">
        <f t="shared" si="16"/>
        <v>-688.69783418281793</v>
      </c>
      <c r="AE43" s="760" t="s">
        <v>584</v>
      </c>
      <c r="AG43" s="763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</row>
    <row r="44" spans="1:49" s="761" customFormat="1">
      <c r="A44" s="760"/>
      <c r="B44" s="760">
        <f t="shared" ca="1" si="10"/>
        <v>33</v>
      </c>
      <c r="C44" s="760"/>
      <c r="D44" s="781">
        <v>3.0599999999999987</v>
      </c>
      <c r="E44" s="760"/>
      <c r="F44" s="760" t="str">
        <f>+TRIM(INDEX('Exh. No. BGM-4 7-11'!$7:$7&amp;" "&amp;'Exh. No. BGM-4 7-11'!$8:$8&amp;" "&amp;'Exh. No. BGM-4 7-11'!$9:$9,1,MATCH($D44,'Exh. No. BGM-4 7-11'!$10:$10,0)))</f>
        <v>Pro Forma Insurance Expense</v>
      </c>
      <c r="I44" s="782">
        <v>-8.69</v>
      </c>
      <c r="J44" s="782"/>
      <c r="K44" s="782">
        <v>0</v>
      </c>
      <c r="L44" s="778"/>
      <c r="M44" s="782">
        <f t="shared" si="11"/>
        <v>11.50813515238678</v>
      </c>
      <c r="O44" s="760"/>
      <c r="P44" s="782">
        <f t="shared" si="12"/>
        <v>-8.69</v>
      </c>
      <c r="Q44" s="782"/>
      <c r="R44" s="782">
        <f t="shared" si="13"/>
        <v>0</v>
      </c>
      <c r="S44" s="782"/>
      <c r="T44" s="782">
        <f t="shared" si="14"/>
        <v>11.50813515238678</v>
      </c>
      <c r="U44" s="760"/>
      <c r="V44" s="760"/>
      <c r="W44" s="782">
        <v>0</v>
      </c>
      <c r="X44" s="782"/>
      <c r="Y44" s="782">
        <f t="shared" si="15"/>
        <v>0</v>
      </c>
      <c r="Z44" s="782"/>
      <c r="AA44" s="782">
        <v>0</v>
      </c>
      <c r="AB44" s="783"/>
      <c r="AC44" s="782">
        <f t="shared" si="16"/>
        <v>0</v>
      </c>
      <c r="AE44" s="760" t="s">
        <v>572</v>
      </c>
      <c r="AG44" s="763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</row>
    <row r="45" spans="1:49" s="761" customFormat="1">
      <c r="A45" s="760"/>
      <c r="B45" s="760">
        <f t="shared" ca="1" si="10"/>
        <v>34</v>
      </c>
      <c r="C45" s="760"/>
      <c r="D45" s="781">
        <v>3.0699999999999985</v>
      </c>
      <c r="E45" s="760"/>
      <c r="F45" s="760" t="str">
        <f>+TRIM(INDEX('Exh. No. BGM-4 7-11'!$7:$7&amp;" "&amp;'Exh. No. BGM-4 7-11'!$8:$8&amp;" "&amp;'Exh. No. BGM-4 7-11'!$9:$9,1,MATCH($D45,'Exh. No. BGM-4 7-11'!$10:$10,0)))</f>
        <v>Pro Forma IS/IT Expense</v>
      </c>
      <c r="I45" s="782">
        <v>-459.78</v>
      </c>
      <c r="J45" s="782"/>
      <c r="K45" s="782">
        <v>0</v>
      </c>
      <c r="L45" s="778"/>
      <c r="M45" s="782">
        <f t="shared" si="11"/>
        <v>608.88496897173684</v>
      </c>
      <c r="O45" s="760"/>
      <c r="P45" s="782">
        <f t="shared" si="12"/>
        <v>-459.78</v>
      </c>
      <c r="Q45" s="782"/>
      <c r="R45" s="782">
        <f t="shared" si="13"/>
        <v>0</v>
      </c>
      <c r="S45" s="782"/>
      <c r="T45" s="782">
        <f t="shared" si="14"/>
        <v>608.88496897173684</v>
      </c>
      <c r="U45" s="760"/>
      <c r="V45" s="760"/>
      <c r="W45" s="782">
        <v>0</v>
      </c>
      <c r="X45" s="782"/>
      <c r="Y45" s="782">
        <f t="shared" si="15"/>
        <v>0</v>
      </c>
      <c r="Z45" s="782"/>
      <c r="AA45" s="782">
        <v>0</v>
      </c>
      <c r="AB45" s="783"/>
      <c r="AC45" s="782">
        <f t="shared" si="16"/>
        <v>0</v>
      </c>
      <c r="AE45" s="760" t="s">
        <v>572</v>
      </c>
      <c r="AG45" s="763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</row>
    <row r="46" spans="1:49" s="761" customFormat="1">
      <c r="A46" s="760"/>
      <c r="B46" s="760">
        <f t="shared" ca="1" si="10"/>
        <v>35</v>
      </c>
      <c r="C46" s="760"/>
      <c r="D46" s="781">
        <v>3.0799999999999983</v>
      </c>
      <c r="E46" s="760"/>
      <c r="F46" s="760" t="str">
        <f>+TRIM(INDEX('Exh. No. BGM-4 7-11'!$7:$7&amp;" "&amp;'Exh. No. BGM-4 7-11'!$8:$8&amp;" "&amp;'Exh. No. BGM-4 7-11'!$9:$9,1,MATCH($D46,'Exh. No. BGM-4 7-11'!$10:$10,0)))</f>
        <v>Pro Forma Property Tax</v>
      </c>
      <c r="I46" s="782">
        <v>-376.04</v>
      </c>
      <c r="J46" s="782"/>
      <c r="K46" s="782">
        <v>0</v>
      </c>
      <c r="L46" s="778"/>
      <c r="M46" s="782">
        <f t="shared" si="11"/>
        <v>497.98839386691884</v>
      </c>
      <c r="O46" s="760"/>
      <c r="P46" s="782">
        <f t="shared" si="12"/>
        <v>-376.04</v>
      </c>
      <c r="Q46" s="782"/>
      <c r="R46" s="782">
        <f t="shared" si="13"/>
        <v>0</v>
      </c>
      <c r="S46" s="782"/>
      <c r="T46" s="782">
        <f t="shared" si="14"/>
        <v>497.98839386691884</v>
      </c>
      <c r="U46" s="760"/>
      <c r="V46" s="760"/>
      <c r="W46" s="782">
        <v>0</v>
      </c>
      <c r="X46" s="782"/>
      <c r="Y46" s="782">
        <f t="shared" si="15"/>
        <v>0</v>
      </c>
      <c r="Z46" s="782"/>
      <c r="AA46" s="782">
        <v>0</v>
      </c>
      <c r="AB46" s="783"/>
      <c r="AC46" s="782">
        <f t="shared" si="16"/>
        <v>0</v>
      </c>
      <c r="AE46" s="760" t="s">
        <v>572</v>
      </c>
      <c r="AG46" s="763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</row>
    <row r="47" spans="1:49" s="761" customFormat="1">
      <c r="A47" s="760"/>
      <c r="B47" s="760">
        <f t="shared" ca="1" si="10"/>
        <v>36</v>
      </c>
      <c r="C47" s="760"/>
      <c r="D47" s="781">
        <v>3.0899999999999981</v>
      </c>
      <c r="E47" s="760"/>
      <c r="F47" s="760" t="str">
        <f>+TRIM(INDEX('Exh. No. BGM-4 7-11'!$7:$7&amp;" "&amp;'Exh. No. BGM-4 7-11'!$8:$8&amp;" "&amp;'Exh. No. BGM-4 7-11'!$9:$9,1,MATCH($D47,'Exh. No. BGM-4 7-11'!$10:$10,0)))</f>
        <v>Pro Forma Depreciation Expense</v>
      </c>
      <c r="I47" s="782">
        <v>1199.22</v>
      </c>
      <c r="J47" s="782"/>
      <c r="K47" s="782">
        <v>0</v>
      </c>
      <c r="L47" s="778"/>
      <c r="M47" s="782">
        <f t="shared" si="11"/>
        <v>-1588.1226510293757</v>
      </c>
      <c r="O47" s="760"/>
      <c r="P47" s="782">
        <f t="shared" si="12"/>
        <v>1199.22</v>
      </c>
      <c r="Q47" s="782"/>
      <c r="R47" s="782">
        <f t="shared" si="13"/>
        <v>0</v>
      </c>
      <c r="S47" s="782"/>
      <c r="T47" s="782">
        <f t="shared" si="14"/>
        <v>-1588.1226510293757</v>
      </c>
      <c r="U47" s="760"/>
      <c r="V47" s="760"/>
      <c r="W47" s="782">
        <v>0</v>
      </c>
      <c r="X47" s="782"/>
      <c r="Y47" s="782">
        <f t="shared" si="15"/>
        <v>0</v>
      </c>
      <c r="Z47" s="782"/>
      <c r="AA47" s="782">
        <v>0</v>
      </c>
      <c r="AB47" s="783"/>
      <c r="AC47" s="782">
        <f t="shared" si="16"/>
        <v>0</v>
      </c>
      <c r="AE47" s="760" t="s">
        <v>572</v>
      </c>
      <c r="AG47" s="763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</row>
    <row r="48" spans="1:49" s="761" customFormat="1">
      <c r="A48" s="760"/>
      <c r="B48" s="760">
        <f t="shared" ca="1" si="10"/>
        <v>37</v>
      </c>
      <c r="C48" s="760"/>
      <c r="D48" s="781">
        <v>3.0999999999999979</v>
      </c>
      <c r="E48" s="760"/>
      <c r="F48" s="760" t="str">
        <f>+TRIM(INDEX('Exh. No. BGM-4 7-11'!$7:$7&amp;" "&amp;'Exh. No. BGM-4 7-11'!$8:$8&amp;" "&amp;'Exh. No. BGM-4 7-11'!$9:$9,1,MATCH($D48,'Exh. No. BGM-4 7-11'!$10:$10,0)))</f>
        <v>Pro Forma 2019 Major Capital Adds</v>
      </c>
      <c r="I48" s="782">
        <v>-1138.968394</v>
      </c>
      <c r="J48" s="782"/>
      <c r="K48" s="782">
        <v>25258</v>
      </c>
      <c r="L48" s="778"/>
      <c r="M48" s="782">
        <f t="shared" si="11"/>
        <v>3816.317971495846</v>
      </c>
      <c r="O48" s="760"/>
      <c r="P48" s="782">
        <f t="shared" si="12"/>
        <v>-1138.968394</v>
      </c>
      <c r="Q48" s="782"/>
      <c r="R48" s="782">
        <f t="shared" si="13"/>
        <v>25258</v>
      </c>
      <c r="S48" s="782"/>
      <c r="T48" s="782">
        <f t="shared" si="14"/>
        <v>3816.317971495846</v>
      </c>
      <c r="U48" s="760"/>
      <c r="V48" s="760"/>
      <c r="W48" s="782">
        <v>0</v>
      </c>
      <c r="X48" s="782"/>
      <c r="Y48" s="782">
        <f t="shared" si="15"/>
        <v>0</v>
      </c>
      <c r="Z48" s="782"/>
      <c r="AA48" s="782">
        <v>0</v>
      </c>
      <c r="AB48" s="783"/>
      <c r="AC48" s="782">
        <f t="shared" si="16"/>
        <v>0</v>
      </c>
      <c r="AE48" s="760" t="s">
        <v>572</v>
      </c>
      <c r="AG48" s="763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</row>
    <row r="49" spans="1:49" s="761" customFormat="1">
      <c r="A49" s="760"/>
      <c r="B49" s="760">
        <f t="shared" ca="1" si="10"/>
        <v>38</v>
      </c>
      <c r="C49" s="760"/>
      <c r="D49" s="790" t="s">
        <v>598</v>
      </c>
      <c r="E49" s="760"/>
      <c r="F49" s="791" t="s">
        <v>587</v>
      </c>
      <c r="I49" s="782">
        <v>0</v>
      </c>
      <c r="J49" s="782"/>
      <c r="K49" s="782">
        <v>0</v>
      </c>
      <c r="L49" s="778"/>
      <c r="M49" s="782">
        <f t="shared" si="11"/>
        <v>0</v>
      </c>
      <c r="O49" s="760"/>
      <c r="P49" s="782">
        <f t="shared" ref="P49:P51" si="21">+I49+Y49</f>
        <v>309.32855899607887</v>
      </c>
      <c r="Q49" s="782"/>
      <c r="R49" s="782">
        <f t="shared" ref="R49:R51" si="22">+K49+AA49</f>
        <v>-2029.8081867020064</v>
      </c>
      <c r="S49" s="782"/>
      <c r="T49" s="782">
        <f t="shared" si="14"/>
        <v>-595.11933747906596</v>
      </c>
      <c r="U49" s="760"/>
      <c r="V49" s="760"/>
      <c r="W49" s="792">
        <v>405.9616373404013</v>
      </c>
      <c r="X49" s="782"/>
      <c r="Y49" s="782">
        <f t="shared" si="15"/>
        <v>309.32855899607887</v>
      </c>
      <c r="Z49" s="782"/>
      <c r="AA49" s="792">
        <v>-2029.8081867020064</v>
      </c>
      <c r="AB49" s="783"/>
      <c r="AC49" s="782">
        <f t="shared" si="16"/>
        <v>-595.11933747906596</v>
      </c>
      <c r="AE49" s="760" t="s">
        <v>584</v>
      </c>
      <c r="AG49" s="763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</row>
    <row r="50" spans="1:49" s="761" customFormat="1">
      <c r="A50" s="760"/>
      <c r="B50" s="760">
        <f t="shared" ca="1" si="10"/>
        <v>39</v>
      </c>
      <c r="C50" s="760"/>
      <c r="D50" s="790" t="s">
        <v>599</v>
      </c>
      <c r="E50" s="760"/>
      <c r="F50" s="791" t="s">
        <v>588</v>
      </c>
      <c r="I50" s="782">
        <v>0</v>
      </c>
      <c r="J50" s="782"/>
      <c r="K50" s="782">
        <v>0</v>
      </c>
      <c r="L50" s="778"/>
      <c r="M50" s="782">
        <f t="shared" si="11"/>
        <v>0</v>
      </c>
      <c r="O50" s="760"/>
      <c r="P50" s="782">
        <f t="shared" si="21"/>
        <v>285.01737989274199</v>
      </c>
      <c r="Q50" s="782"/>
      <c r="R50" s="782">
        <f t="shared" si="22"/>
        <v>0</v>
      </c>
      <c r="S50" s="782"/>
      <c r="T50" s="782">
        <f t="shared" si="14"/>
        <v>-377.44747164382522</v>
      </c>
      <c r="U50" s="760"/>
      <c r="V50" s="760"/>
      <c r="W50" s="792">
        <f>-'[8]Table 4'!$O$17</f>
        <v>360.78149353511645</v>
      </c>
      <c r="X50" s="782"/>
      <c r="Y50" s="782">
        <f t="shared" si="15"/>
        <v>285.01737989274199</v>
      </c>
      <c r="Z50" s="782"/>
      <c r="AA50" s="792"/>
      <c r="AB50" s="783"/>
      <c r="AC50" s="782">
        <f t="shared" si="16"/>
        <v>-377.44747164382522</v>
      </c>
      <c r="AE50" s="760" t="s">
        <v>584</v>
      </c>
      <c r="AG50" s="763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</row>
    <row r="51" spans="1:49" s="761" customFormat="1">
      <c r="A51" s="760"/>
      <c r="B51" s="760">
        <f t="shared" ca="1" si="10"/>
        <v>40</v>
      </c>
      <c r="C51" s="760"/>
      <c r="D51" s="790" t="s">
        <v>600</v>
      </c>
      <c r="E51" s="760"/>
      <c r="F51" s="791" t="s">
        <v>589</v>
      </c>
      <c r="I51" s="782">
        <v>0</v>
      </c>
      <c r="J51" s="782"/>
      <c r="K51" s="782">
        <v>0</v>
      </c>
      <c r="L51" s="778"/>
      <c r="M51" s="782">
        <f t="shared" si="11"/>
        <v>0</v>
      </c>
      <c r="O51" s="760"/>
      <c r="P51" s="782">
        <f t="shared" si="21"/>
        <v>23.79006</v>
      </c>
      <c r="Q51" s="782"/>
      <c r="R51" s="782">
        <f t="shared" si="22"/>
        <v>0</v>
      </c>
      <c r="S51" s="782"/>
      <c r="T51" s="782">
        <f t="shared" si="14"/>
        <v>-31.505089270815954</v>
      </c>
      <c r="U51" s="760"/>
      <c r="V51" s="760"/>
      <c r="W51" s="792">
        <v>30.114000000000001</v>
      </c>
      <c r="X51" s="782"/>
      <c r="Y51" s="782">
        <f t="shared" si="15"/>
        <v>23.79006</v>
      </c>
      <c r="Z51" s="782"/>
      <c r="AA51" s="792">
        <v>0</v>
      </c>
      <c r="AB51" s="783"/>
      <c r="AC51" s="782">
        <f t="shared" si="16"/>
        <v>-31.505089270815954</v>
      </c>
      <c r="AE51" s="760" t="s">
        <v>584</v>
      </c>
      <c r="AG51" s="763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</row>
    <row r="52" spans="1:49" s="761" customFormat="1">
      <c r="A52" s="760"/>
      <c r="B52" s="760">
        <f t="shared" ca="1" si="10"/>
        <v>41</v>
      </c>
      <c r="C52" s="760"/>
      <c r="D52" s="790" t="s">
        <v>601</v>
      </c>
      <c r="E52" s="760"/>
      <c r="F52" s="791" t="s">
        <v>404</v>
      </c>
      <c r="I52" s="782">
        <v>0</v>
      </c>
      <c r="J52" s="782"/>
      <c r="K52" s="782">
        <v>0</v>
      </c>
      <c r="L52" s="778"/>
      <c r="M52" s="782">
        <f t="shared" si="11"/>
        <v>0</v>
      </c>
      <c r="O52" s="760"/>
      <c r="P52" s="782">
        <f t="shared" ref="P52" si="23">+I52+Y52</f>
        <v>-5.4800906650092713</v>
      </c>
      <c r="Q52" s="782"/>
      <c r="R52" s="782">
        <f t="shared" ref="R52" si="24">+K52+AA52</f>
        <v>-977.36591136245238</v>
      </c>
      <c r="S52" s="782"/>
      <c r="T52" s="782">
        <f t="shared" si="14"/>
        <v>-82.050960537293435</v>
      </c>
      <c r="U52" s="760"/>
      <c r="V52" s="760"/>
      <c r="W52" s="792">
        <v>0</v>
      </c>
      <c r="X52" s="782"/>
      <c r="Y52" s="782">
        <f t="shared" si="15"/>
        <v>-5.4800906650092713</v>
      </c>
      <c r="Z52" s="782"/>
      <c r="AA52" s="792">
        <f>+'[9]Table 5'!$V$29/1000</f>
        <v>-977.36591136245238</v>
      </c>
      <c r="AB52" s="783"/>
      <c r="AC52" s="782">
        <f t="shared" si="16"/>
        <v>-82.050960537293435</v>
      </c>
      <c r="AE52" s="760" t="s">
        <v>584</v>
      </c>
      <c r="AG52" s="763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</row>
    <row r="53" spans="1:49" s="761" customFormat="1">
      <c r="A53" s="760"/>
      <c r="B53" s="760">
        <f t="shared" ca="1" si="10"/>
        <v>42</v>
      </c>
      <c r="C53" s="760"/>
      <c r="D53" s="781">
        <v>3.1099999999999977</v>
      </c>
      <c r="E53" s="760"/>
      <c r="F53" s="760" t="str">
        <f>+TRIM(INDEX('Exh. No. BGM-4 7-11'!$7:$7&amp;" "&amp;'Exh. No. BGM-4 7-11'!$8:$8&amp;" "&amp;'Exh. No. BGM-4 7-11'!$9:$9,1,MATCH($D53,'Exh. No. BGM-4 7-11'!$10:$10,0)))</f>
        <v>Pro Forma O&amp;M Offsets</v>
      </c>
      <c r="I53" s="782">
        <v>11.06</v>
      </c>
      <c r="J53" s="782"/>
      <c r="K53" s="782">
        <v>0</v>
      </c>
      <c r="L53" s="778"/>
      <c r="M53" s="782">
        <f t="shared" si="11"/>
        <v>-14.646717466674085</v>
      </c>
      <c r="O53" s="760"/>
      <c r="P53" s="782">
        <f t="shared" si="12"/>
        <v>11.06</v>
      </c>
      <c r="Q53" s="782"/>
      <c r="R53" s="782">
        <f t="shared" si="13"/>
        <v>0</v>
      </c>
      <c r="S53" s="782"/>
      <c r="T53" s="782">
        <f t="shared" si="14"/>
        <v>-14.646717466674085</v>
      </c>
      <c r="U53" s="760"/>
      <c r="V53" s="760"/>
      <c r="W53" s="782">
        <v>0</v>
      </c>
      <c r="X53" s="782"/>
      <c r="Y53" s="782">
        <f t="shared" si="15"/>
        <v>0</v>
      </c>
      <c r="Z53" s="782"/>
      <c r="AA53" s="782">
        <v>0</v>
      </c>
      <c r="AB53" s="783"/>
      <c r="AC53" s="782">
        <f t="shared" si="16"/>
        <v>0</v>
      </c>
      <c r="AE53" s="760" t="s">
        <v>572</v>
      </c>
      <c r="AG53" s="763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</row>
    <row r="54" spans="1:49" s="761" customFormat="1">
      <c r="A54" s="760"/>
      <c r="B54" s="760">
        <f t="shared" ca="1" si="10"/>
        <v>43</v>
      </c>
      <c r="C54" s="760"/>
      <c r="D54" s="781">
        <v>3.1199999999999974</v>
      </c>
      <c r="E54" s="760"/>
      <c r="F54" s="760" t="str">
        <f>+TRIM(INDEX('Exh. No. BGM-4 7-11'!$7:$7&amp;" "&amp;'Exh. No. BGM-4 7-11'!$8:$8&amp;" "&amp;'Exh. No. BGM-4 7-11'!$9:$9,1,MATCH($D54,'Exh. No. BGM-4 7-11'!$10:$10,0)))</f>
        <v>Pro Forma Fee Free Amortization</v>
      </c>
      <c r="I54" s="782">
        <v>-684.93000000000006</v>
      </c>
      <c r="J54" s="782"/>
      <c r="K54" s="782">
        <v>0</v>
      </c>
      <c r="L54" s="778"/>
      <c r="M54" s="782">
        <f t="shared" si="11"/>
        <v>907.05028882903082</v>
      </c>
      <c r="O54" s="760"/>
      <c r="P54" s="782">
        <f t="shared" si="12"/>
        <v>-684.93000000000006</v>
      </c>
      <c r="Q54" s="782"/>
      <c r="R54" s="782">
        <f t="shared" si="13"/>
        <v>0</v>
      </c>
      <c r="S54" s="782"/>
      <c r="T54" s="782">
        <f t="shared" si="14"/>
        <v>907.05028882903082</v>
      </c>
      <c r="U54" s="760"/>
      <c r="V54" s="760"/>
      <c r="W54" s="782">
        <v>0</v>
      </c>
      <c r="X54" s="782"/>
      <c r="Y54" s="782">
        <f t="shared" si="15"/>
        <v>0</v>
      </c>
      <c r="Z54" s="782"/>
      <c r="AA54" s="782">
        <v>0</v>
      </c>
      <c r="AB54" s="783"/>
      <c r="AC54" s="782">
        <f t="shared" si="16"/>
        <v>0</v>
      </c>
      <c r="AE54" s="760" t="s">
        <v>572</v>
      </c>
      <c r="AG54" s="763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</row>
    <row r="55" spans="1:49">
      <c r="Y55" s="782">
        <f t="shared" si="15"/>
        <v>0</v>
      </c>
      <c r="AG55" s="763"/>
      <c r="AK55" s="760">
        <f>+AC55*1000</f>
        <v>0</v>
      </c>
    </row>
    <row r="56" spans="1:49">
      <c r="D56" s="781"/>
      <c r="I56" s="787"/>
      <c r="J56" s="778"/>
      <c r="K56" s="787"/>
      <c r="L56" s="778"/>
      <c r="M56" s="787"/>
      <c r="O56" s="759"/>
      <c r="P56" s="787"/>
      <c r="Q56" s="778"/>
      <c r="R56" s="787"/>
      <c r="S56" s="778"/>
      <c r="T56" s="787"/>
      <c r="W56" s="787"/>
      <c r="X56" s="760"/>
      <c r="Y56" s="787"/>
      <c r="Z56" s="778"/>
      <c r="AA56" s="787"/>
      <c r="AB56" s="778"/>
      <c r="AC56" s="787"/>
      <c r="AG56" s="763"/>
    </row>
    <row r="57" spans="1:49" ht="13.5" thickBot="1">
      <c r="B57" s="760">
        <f ca="1">+MAX(OFFSET($B$7,0,0,ROW($B57)-ROW($B$7),1))+1</f>
        <v>44</v>
      </c>
      <c r="D57" s="781"/>
      <c r="F57" s="759" t="s">
        <v>578</v>
      </c>
      <c r="I57" s="788">
        <f>+SUM(I$33:I$56)</f>
        <v>20319.821523999999</v>
      </c>
      <c r="J57" s="782"/>
      <c r="K57" s="788">
        <f>+SUM(K$33:K$56)</f>
        <v>398990</v>
      </c>
      <c r="L57" s="782"/>
      <c r="M57" s="788">
        <f>+SUM(M$33:M$56)</f>
        <v>9548.8234633527518</v>
      </c>
      <c r="P57" s="788">
        <f>+SUM(P$33:P$56)</f>
        <v>25108.122296560625</v>
      </c>
      <c r="Q57" s="782"/>
      <c r="R57" s="788">
        <f>+SUM(R$33:R$56)</f>
        <v>395647.79690193554</v>
      </c>
      <c r="S57" s="782"/>
      <c r="T57" s="788">
        <f>+SUM(T$33:T$56)</f>
        <v>2902.2956540208661</v>
      </c>
      <c r="W57" s="788">
        <f>+SUM(W$33:W$56)</f>
        <v>6084.8613991537632</v>
      </c>
      <c r="X57" s="783"/>
      <c r="Y57" s="788">
        <f>+SUM(Y$33:Y$56)</f>
        <v>4788.3007725606258</v>
      </c>
      <c r="Z57" s="782"/>
      <c r="AA57" s="788">
        <f>+SUM(AA$33:AA$56)</f>
        <v>-3342.2030980644586</v>
      </c>
      <c r="AB57" s="782"/>
      <c r="AC57" s="788">
        <f>+($AA57*$AK$12-$Y57)/$AI$4</f>
        <v>-6646.5278093318839</v>
      </c>
      <c r="AG57" s="763"/>
      <c r="AK57" s="782">
        <f>+T57*1000</f>
        <v>2902295.6540208659</v>
      </c>
    </row>
    <row r="58" spans="1:49" s="761" customFormat="1" ht="13.5" thickTop="1">
      <c r="A58" s="760"/>
      <c r="B58" s="760"/>
      <c r="C58" s="760"/>
      <c r="D58" s="760"/>
      <c r="E58" s="760"/>
      <c r="F58" s="760"/>
      <c r="I58" s="760"/>
      <c r="J58" s="760"/>
      <c r="K58" s="760"/>
      <c r="L58" s="760"/>
      <c r="M58" s="760"/>
      <c r="O58" s="760"/>
      <c r="P58" s="760"/>
      <c r="Q58" s="760"/>
      <c r="R58" s="760"/>
      <c r="S58" s="760"/>
      <c r="T58" s="760"/>
      <c r="U58" s="760"/>
      <c r="V58" s="760"/>
      <c r="W58" s="783"/>
      <c r="X58" s="783"/>
      <c r="Y58" s="783"/>
      <c r="Z58" s="783"/>
      <c r="AA58" s="783"/>
      <c r="AB58" s="783"/>
      <c r="AC58" s="783"/>
      <c r="AI58" s="760"/>
      <c r="AJ58" s="760"/>
      <c r="AK58" s="760"/>
      <c r="AL58" s="760"/>
      <c r="AM58" s="760"/>
    </row>
    <row r="59" spans="1:49" s="761" customFormat="1" ht="13.5" thickBot="1">
      <c r="A59" s="760"/>
      <c r="B59" s="760"/>
      <c r="C59" s="760"/>
      <c r="D59" s="760"/>
      <c r="E59" s="760"/>
      <c r="F59" s="760"/>
      <c r="I59" s="760"/>
      <c r="J59" s="760"/>
      <c r="K59" s="785" t="s">
        <v>579</v>
      </c>
      <c r="L59" s="785"/>
      <c r="M59" s="789">
        <v>12935</v>
      </c>
      <c r="O59" s="760"/>
      <c r="P59" s="760"/>
      <c r="Q59" s="760"/>
      <c r="R59" s="785" t="s">
        <v>580</v>
      </c>
      <c r="S59" s="760"/>
      <c r="T59" s="789">
        <f>+'Exh. No. BGM-4 4-5'!F23</f>
        <v>2902</v>
      </c>
      <c r="U59" s="760"/>
      <c r="V59" s="782">
        <f>+M59+M61</f>
        <v>9548.8234633527518</v>
      </c>
      <c r="AC59" s="783"/>
      <c r="AI59" s="760"/>
      <c r="AJ59" s="760"/>
      <c r="AK59" s="760"/>
      <c r="AL59" s="760"/>
      <c r="AM59" s="760"/>
    </row>
    <row r="60" spans="1:49" s="761" customFormat="1" ht="13.5" thickTop="1">
      <c r="A60" s="760"/>
      <c r="B60" s="760"/>
      <c r="C60" s="760"/>
      <c r="D60" s="760"/>
      <c r="E60" s="760"/>
      <c r="F60" s="760"/>
      <c r="I60" s="760"/>
      <c r="J60" s="760"/>
      <c r="K60" s="760"/>
      <c r="L60" s="760"/>
      <c r="M60" s="760"/>
      <c r="O60" s="760"/>
      <c r="P60" s="760"/>
      <c r="Q60" s="760"/>
      <c r="R60" s="760"/>
      <c r="S60" s="760"/>
      <c r="T60" s="782"/>
      <c r="U60" s="760"/>
      <c r="V60" s="760"/>
      <c r="AI60" s="760"/>
      <c r="AJ60" s="760"/>
      <c r="AK60" s="760"/>
      <c r="AL60" s="760"/>
      <c r="AM60" s="760"/>
    </row>
    <row r="61" spans="1:49" ht="13.5" thickBot="1">
      <c r="K61" s="760" t="s">
        <v>581</v>
      </c>
      <c r="M61" s="788">
        <f>+M57-M59</f>
        <v>-3386.1765366472482</v>
      </c>
      <c r="R61" s="785" t="s">
        <v>83</v>
      </c>
      <c r="T61" s="788">
        <f>+T57-T59</f>
        <v>0.29565402086609538</v>
      </c>
    </row>
    <row r="62" spans="1:49" ht="13.5" thickTop="1"/>
  </sheetData>
  <pageMargins left="0.25" right="0.25" top="1.5" bottom="0.75" header="0.8" footer="0.3"/>
  <pageSetup scale="75" orientation="portrait" r:id="rId1"/>
  <colBreaks count="1" manualBreakCount="1">
    <brk id="2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Normal="100" workbookViewId="0"/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1" t="str">
        <f>+'Exh. No. BGM-4 7-11'!A2</f>
        <v>AVISTA 2020 WASHINGTON GRC - AWEC REPLY</v>
      </c>
      <c r="D1" s="73"/>
      <c r="F1" s="500"/>
      <c r="G1" s="500"/>
    </row>
    <row r="2" spans="1:43" ht="15" customHeight="1">
      <c r="A2" s="521" t="str">
        <f>'Exh. No. BGM-4 7-11'!A3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59" customFormat="1" ht="15" customHeight="1">
      <c r="A3" s="521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2"/>
      <c r="K3" s="462"/>
      <c r="L3" s="462"/>
      <c r="M3" s="462"/>
      <c r="N3" s="462"/>
    </row>
    <row r="4" spans="1:43" ht="15">
      <c r="A4" s="521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800" t="s">
        <v>546</v>
      </c>
      <c r="G6" s="801"/>
      <c r="H6" s="801"/>
      <c r="I6" s="801"/>
      <c r="J6" s="802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549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4" t="s">
        <v>547</v>
      </c>
      <c r="I8" s="42" t="s">
        <v>144</v>
      </c>
      <c r="J8" s="494" t="s">
        <v>548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444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'Exh. No. BGM-4 7-11'!E14</f>
        <v>140625</v>
      </c>
      <c r="G15" s="70">
        <f>H15-F15</f>
        <v>-47533.767043506377</v>
      </c>
      <c r="H15" s="70">
        <f>'Exh. No. BGM-4 7-11'!AN14</f>
        <v>93091.232956493623</v>
      </c>
      <c r="I15" s="757">
        <f>'Exh. No. BGM-4 6'!J12</f>
        <v>2902</v>
      </c>
      <c r="J15" s="70">
        <f>H15+I15</f>
        <v>95993.232956493623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'Exh. No. BGM-4 7-11'!E15</f>
        <v>5088</v>
      </c>
      <c r="G16" s="304">
        <f>H16-F16</f>
        <v>-133</v>
      </c>
      <c r="H16" s="304">
        <f>'Exh. No. BGM-4 7-11'!AN15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'Exh. No. BGM-4 7-11'!E16</f>
        <v>50681</v>
      </c>
      <c r="G17" s="306">
        <f>H17-F17</f>
        <v>-50348</v>
      </c>
      <c r="H17" s="306">
        <f>'Exh. No. BGM-4 7-11'!AN16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-98014.767043506377</v>
      </c>
      <c r="H18" s="304">
        <f t="shared" si="0"/>
        <v>98379.232956493623</v>
      </c>
      <c r="I18" s="304">
        <f t="shared" si="0"/>
        <v>2902</v>
      </c>
      <c r="J18" s="304">
        <f t="shared" si="0"/>
        <v>101281.23295649362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'Exh. No. BGM-4 7-11'!E21</f>
        <v>90669</v>
      </c>
      <c r="G22" s="304">
        <f>H22-F22</f>
        <v>-90669</v>
      </c>
      <c r="H22" s="304">
        <f>'Exh. No. BGM-4 7-11'!AN21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'Exh. No. BGM-4 7-11'!E22</f>
        <v>955</v>
      </c>
      <c r="G23" s="304">
        <f>H23-F23</f>
        <v>44</v>
      </c>
      <c r="H23" s="304">
        <f>'Exh. No. BGM-4 7-11'!AN22</f>
        <v>999</v>
      </c>
      <c r="I23" s="304"/>
      <c r="J23" s="304">
        <f>H23+I23</f>
        <v>999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'Exh. No. BGM-4 7-11'!E23</f>
        <v>-292</v>
      </c>
      <c r="G24" s="306">
        <f>H24-F24</f>
        <v>292</v>
      </c>
      <c r="H24" s="306">
        <f>'Exh. No. BGM-4 7-11'!AN23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-90333</v>
      </c>
      <c r="H25" s="304">
        <f t="shared" si="1"/>
        <v>999</v>
      </c>
      <c r="I25" s="304">
        <f t="shared" si="1"/>
        <v>0</v>
      </c>
      <c r="J25" s="304">
        <f t="shared" si="1"/>
        <v>999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'Exh. No. BGM-4 7-11'!E27</f>
        <v>1532</v>
      </c>
      <c r="G28" s="304">
        <f>H28-F28</f>
        <v>0</v>
      </c>
      <c r="H28" s="304">
        <f>'Exh. No. BGM-4 7-11'!AN27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'Exh. No. BGM-4 7-11'!E28</f>
        <v>627</v>
      </c>
      <c r="G29" s="304">
        <f>H29-F29</f>
        <v>-201</v>
      </c>
      <c r="H29" s="304">
        <f>'Exh. No. BGM-4 7-11'!AN28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'Exh. No. BGM-4 7-11'!E29</f>
        <v>302</v>
      </c>
      <c r="G30" s="306">
        <f>H30-F30</f>
        <v>-49</v>
      </c>
      <c r="H30" s="306">
        <f>'Exh. No. BGM-4 7-11'!AN29</f>
        <v>253</v>
      </c>
      <c r="I30" s="306"/>
      <c r="J30" s="306">
        <f>H30+I30</f>
        <v>253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-250</v>
      </c>
      <c r="H31" s="304">
        <f>SUM(H28:H30)</f>
        <v>2211</v>
      </c>
      <c r="I31" s="304">
        <f>SUM(I28:I30)</f>
        <v>0</v>
      </c>
      <c r="J31" s="304">
        <f>SUM(J28:J30)</f>
        <v>2211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'Exh. No. BGM-4 7-11'!E33</f>
        <v>12316</v>
      </c>
      <c r="G34" s="304">
        <f>H34-F34</f>
        <v>682</v>
      </c>
      <c r="H34" s="304">
        <f>'Exh. No. BGM-4 7-11'!AN33</f>
        <v>12998</v>
      </c>
      <c r="I34" s="304"/>
      <c r="J34" s="304">
        <f>H34+I34</f>
        <v>12998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'Exh. No. BGM-4 7-11'!E34</f>
        <v>11642</v>
      </c>
      <c r="G35" s="304">
        <f>H35-F35</f>
        <v>170</v>
      </c>
      <c r="H35" s="304">
        <f>'Exh. No. BGM-4 7-11'!AN34</f>
        <v>11812</v>
      </c>
      <c r="I35" s="304"/>
      <c r="J35" s="304">
        <f>H35+I35</f>
        <v>11812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'Exh. No. BGM-4 7-11'!E35</f>
        <v>14128</v>
      </c>
      <c r="G36" s="306">
        <f>H36-F36</f>
        <v>-6287</v>
      </c>
      <c r="H36" s="306">
        <f>'Exh. No. BGM-4 7-11'!AN35</f>
        <v>7841</v>
      </c>
      <c r="I36" s="306">
        <f>'Exh. No. BGM-4 6'!J19</f>
        <v>111</v>
      </c>
      <c r="J36" s="306">
        <f>H36+I36</f>
        <v>7952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-5435</v>
      </c>
      <c r="H37" s="304">
        <f t="shared" si="2"/>
        <v>32651</v>
      </c>
      <c r="I37" s="304">
        <f t="shared" si="2"/>
        <v>111</v>
      </c>
      <c r="J37" s="304">
        <f t="shared" si="2"/>
        <v>32762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'Exh. No. BGM-4 7-11'!E38</f>
        <v>7234</v>
      </c>
      <c r="G39" s="304">
        <f>H39-F39</f>
        <v>-120</v>
      </c>
      <c r="H39" s="304">
        <f>'Exh. No. BGM-4 7-11'!AN38</f>
        <v>7114</v>
      </c>
      <c r="I39" s="304">
        <f>'Exh. No. BGM-4 6'!J15</f>
        <v>11</v>
      </c>
      <c r="J39" s="304">
        <f>H39+I39</f>
        <v>7125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'Exh. No. BGM-4 7-11'!E39</f>
        <v>8093</v>
      </c>
      <c r="G40" s="304">
        <f>H40-F40</f>
        <v>-6834</v>
      </c>
      <c r="H40" s="304">
        <f>'Exh. No. BGM-4 7-11'!AN39</f>
        <v>1259</v>
      </c>
      <c r="I40" s="304"/>
      <c r="J40" s="304">
        <f>H40+I40</f>
        <v>1259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'Exh. No. BGM-4 7-11'!E40</f>
        <v>0</v>
      </c>
      <c r="G41" s="304">
        <f>H41-F41</f>
        <v>0</v>
      </c>
      <c r="H41" s="304">
        <f>'Exh. No. BGM-4 7-11'!AN40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'Exh. No. BGM-4 7-11'!E43</f>
        <v>15045</v>
      </c>
      <c r="G44" s="304">
        <f>H44-F44</f>
        <v>-546.37014297859241</v>
      </c>
      <c r="H44" s="304">
        <f>'Exh. No. BGM-4 7-11'!AN43</f>
        <v>14498.629857021408</v>
      </c>
      <c r="I44" s="304">
        <f>'Exh. No. BGM-4 6'!J17</f>
        <v>6</v>
      </c>
      <c r="J44" s="304">
        <f>H44+I44</f>
        <v>14504.629857021408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'Exh. No. BGM-4 7-11'!E44</f>
        <v>8492</v>
      </c>
      <c r="G45" s="304">
        <f>H45-F45</f>
        <v>895.14286912448188</v>
      </c>
      <c r="H45" s="304">
        <f>'Exh. No. BGM-4 7-11'!AN44</f>
        <v>9387.1428691244819</v>
      </c>
      <c r="I45" s="304"/>
      <c r="J45" s="304">
        <f>H45+I45</f>
        <v>9387.1428691244819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'Exh. No. BGM-4 7-11'!E45</f>
        <v>-1559</v>
      </c>
      <c r="G46" s="304">
        <f>H46-F46</f>
        <v>3664</v>
      </c>
      <c r="H46" s="304">
        <f>'Exh. No. BGM-4 7-11'!AN45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'Exh. No. BGM-4 7-11'!E46</f>
        <v>0</v>
      </c>
      <c r="G47" s="306">
        <f>H47-F47</f>
        <v>0</v>
      </c>
      <c r="H47" s="304">
        <f>'Exh. No. BGM-4 7-11'!AN46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4012.7727261458895</v>
      </c>
      <c r="H48" s="309">
        <f t="shared" si="3"/>
        <v>25990.772726145889</v>
      </c>
      <c r="I48" s="309">
        <f t="shared" si="3"/>
        <v>6</v>
      </c>
      <c r="J48" s="309">
        <f t="shared" si="3"/>
        <v>25996.772726145889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-98959.227273854107</v>
      </c>
      <c r="H49" s="306">
        <f>H48+H37+H31+H25+H39+H40+H41</f>
        <v>70224.772726145893</v>
      </c>
      <c r="I49" s="306">
        <f>I48+I37+I31+I25+I39+I40+I41</f>
        <v>128</v>
      </c>
      <c r="J49" s="306">
        <f>J48+J37+J31+J25+J39+J40+J41</f>
        <v>70352.772726145893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944.46023034772952</v>
      </c>
      <c r="H51" s="304">
        <f>H18-H49</f>
        <v>28154.46023034773</v>
      </c>
      <c r="I51" s="304">
        <f>I18-I49</f>
        <v>2774</v>
      </c>
      <c r="J51" s="304">
        <f>J18-J49</f>
        <v>30928.46023034773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'Exh. No. BGM-4 7-11'!E53</f>
        <v>2557</v>
      </c>
      <c r="G54" s="304">
        <f>H54-F54</f>
        <v>374.33664837302513</v>
      </c>
      <c r="H54" s="304">
        <f>'Exh. No. BGM-4 7-11'!AN53</f>
        <v>2931.3366483730251</v>
      </c>
      <c r="I54" s="304">
        <f>'Exh. No. BGM-4 6'!J25</f>
        <v>583</v>
      </c>
      <c r="J54" s="304">
        <f>H54+I54</f>
        <v>3514.3366483730251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'Exh. No. BGM-4 7-11'!E54</f>
        <v>0</v>
      </c>
      <c r="G55" s="304">
        <f>H55-F55</f>
        <v>-263.47179122915259</v>
      </c>
      <c r="H55" s="304">
        <f>'Exh. No. BGM-4 7-11'!AN54</f>
        <v>-263.47179122915259</v>
      </c>
      <c r="I55" s="304">
        <f>'Exh. No. BGM-4 6'!J26</f>
        <v>0</v>
      </c>
      <c r="J55" s="304">
        <f>H55+I55</f>
        <v>-263.47179122915259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'Exh. No. BGM-4 7-11'!E55</f>
        <v>54</v>
      </c>
      <c r="G56" s="304">
        <f>H56-F56</f>
        <v>339</v>
      </c>
      <c r="H56" s="304">
        <f>'Exh. No. BGM-4 7-11'!AN55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'Exh. No. BGM-4 7-11'!E56</f>
        <v>-15</v>
      </c>
      <c r="G57" s="306">
        <f>H57-F57</f>
        <v>0</v>
      </c>
      <c r="H57" s="306">
        <f>'Exh. No. BGM-4 7-11'!AN56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494.59537320385698</v>
      </c>
      <c r="H59" s="311">
        <f>H51-SUM(H54:H57)</f>
        <v>25108.595373203858</v>
      </c>
      <c r="I59" s="311">
        <f>I51-SUM(I54:I57)</f>
        <v>2191</v>
      </c>
      <c r="J59" s="311">
        <f>J51-SUM(J54:J57)</f>
        <v>27299.595373203858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'Exh. No. BGM-4 7-11'!E62</f>
        <v>28442</v>
      </c>
      <c r="G63" s="304">
        <f>H63-F63</f>
        <v>264.97100000000137</v>
      </c>
      <c r="H63" s="304">
        <f>'Exh. No. BGM-4 7-11'!AN62</f>
        <v>28706.971000000001</v>
      </c>
      <c r="I63" s="304"/>
      <c r="J63" s="304">
        <f>H63+I63</f>
        <v>28706.971000000001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'Exh. No. BGM-4 7-11'!E63</f>
        <v>462636</v>
      </c>
      <c r="G64" s="304">
        <f>H64-F64</f>
        <v>31960</v>
      </c>
      <c r="H64" s="304">
        <f>'Exh. No. BGM-4 7-11'!AN63</f>
        <v>494596</v>
      </c>
      <c r="I64" s="304"/>
      <c r="J64" s="304">
        <f>H64+I64</f>
        <v>494596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'Exh. No. BGM-4 7-11'!E64</f>
        <v>114053</v>
      </c>
      <c r="G65" s="306">
        <f>H65-F65</f>
        <v>21853.825901935546</v>
      </c>
      <c r="H65" s="306">
        <f>'Exh. No. BGM-4 7-11'!AN64</f>
        <v>135906.82590193555</v>
      </c>
      <c r="I65" s="306"/>
      <c r="J65" s="306">
        <f>H65+I65</f>
        <v>135906.82590193555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54078.796901935551</v>
      </c>
      <c r="H66" s="312">
        <f t="shared" si="4"/>
        <v>659209.7969019356</v>
      </c>
      <c r="I66" s="312">
        <f t="shared" si="4"/>
        <v>0</v>
      </c>
      <c r="J66" s="312">
        <f t="shared" si="4"/>
        <v>659209.7969019356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'Exh. No. BGM-4 7-11'!E68</f>
        <v>-11051</v>
      </c>
      <c r="G69" s="304">
        <f t="shared" ref="G69:G79" si="5">H69-F69</f>
        <v>-431</v>
      </c>
      <c r="H69" s="304">
        <f>'Exh. No. BGM-4 7-11'!AN68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'Exh. No. BGM-4 7-11'!E69</f>
        <v>-145402</v>
      </c>
      <c r="G70" s="304">
        <f t="shared" si="5"/>
        <v>-2931</v>
      </c>
      <c r="H70" s="304">
        <f>'Exh. No. BGM-4 7-11'!AN69</f>
        <v>-148333</v>
      </c>
      <c r="I70" s="304"/>
      <c r="J70" s="304">
        <f t="shared" si="6"/>
        <v>-148333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'Exh. No. BGM-4 7-11'!E70</f>
        <v>-32354</v>
      </c>
      <c r="G71" s="306">
        <f t="shared" si="5"/>
        <v>-2835</v>
      </c>
      <c r="H71" s="304">
        <f>'Exh. No. BGM-4 7-11'!AN70</f>
        <v>-35189</v>
      </c>
      <c r="I71" s="306"/>
      <c r="J71" s="306">
        <f t="shared" si="6"/>
        <v>-35189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-6197</v>
      </c>
      <c r="H72" s="309">
        <f t="shared" si="7"/>
        <v>-195004</v>
      </c>
      <c r="I72" s="309">
        <f t="shared" si="7"/>
        <v>0</v>
      </c>
      <c r="J72" s="309">
        <f t="shared" si="7"/>
        <v>-195004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47881.796901935551</v>
      </c>
      <c r="H73" s="312">
        <f t="shared" si="8"/>
        <v>464205.7969019356</v>
      </c>
      <c r="I73" s="312">
        <f t="shared" si="8"/>
        <v>0</v>
      </c>
      <c r="J73" s="312">
        <f t="shared" si="8"/>
        <v>464205.7969019356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'Exh. No. BGM-4 7-11'!E73</f>
        <v>-88908</v>
      </c>
      <c r="G74" s="306">
        <f t="shared" si="5"/>
        <v>-980</v>
      </c>
      <c r="H74" s="306">
        <f>'Exh. No. BGM-4 7-11'!AN73</f>
        <v>-89888</v>
      </c>
      <c r="I74" s="306"/>
      <c r="J74" s="306">
        <f>H74+I74</f>
        <v>-89888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46901.796901935551</v>
      </c>
      <c r="H75" s="304">
        <f>H73+H74</f>
        <v>374317.7969019356</v>
      </c>
      <c r="I75" s="304">
        <f t="shared" si="9"/>
        <v>0</v>
      </c>
      <c r="J75" s="304">
        <f t="shared" si="9"/>
        <v>374317.7969019356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'Exh. No. BGM-4 7-11'!E75</f>
        <v>8355</v>
      </c>
      <c r="G76" s="354">
        <f t="shared" si="5"/>
        <v>0</v>
      </c>
      <c r="H76" s="304">
        <f>'Exh. No. BGM-4 7-11'!AN75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'Exh. No. BGM-4 7-11'!E76</f>
        <v>0</v>
      </c>
      <c r="G77" s="354">
        <f>H77-F77</f>
        <v>0</v>
      </c>
      <c r="H77" s="304">
        <f>'Exh. No. BGM-4 7-11'!AN76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'Exh. No. BGM-4 7-11'!E77</f>
        <v>5338</v>
      </c>
      <c r="G78" s="354">
        <f t="shared" ref="G78" si="11">H78-F78</f>
        <v>88</v>
      </c>
      <c r="H78" s="304">
        <f>'Exh. No. BGM-4 7-11'!AN77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495</v>
      </c>
      <c r="C79" s="353"/>
      <c r="D79" s="353"/>
      <c r="E79" s="353"/>
      <c r="F79" s="307">
        <f>'Exh. No. BGM-4 7-11'!E78</f>
        <v>7549</v>
      </c>
      <c r="G79" s="307">
        <f t="shared" si="5"/>
        <v>0</v>
      </c>
      <c r="H79" s="306">
        <f>'Exh. No. BGM-4 7-11'!AN78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46901.796901935551</v>
      </c>
      <c r="H81" s="99">
        <f>H79+H77+H76+H75+H78</f>
        <v>395647.7969019356</v>
      </c>
      <c r="I81" s="99">
        <f>I79+I77+I76+I75</f>
        <v>0</v>
      </c>
      <c r="J81" s="99">
        <f>J79+J77+J76+J75+J78</f>
        <v>395647.7969019356</v>
      </c>
      <c r="AE81" s="361"/>
      <c r="AF81" s="362"/>
    </row>
    <row r="82" spans="1:36" ht="13.5" thickTop="1">
      <c r="A82" s="2">
        <v>48</v>
      </c>
      <c r="B82" s="1" t="s">
        <v>459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6.3500000000000001E-2</v>
      </c>
      <c r="I82" s="7"/>
      <c r="J82" s="408">
        <f>ROUND(J59/J81,4)</f>
        <v>6.9000000000000006E-2</v>
      </c>
      <c r="AE82" s="361"/>
      <c r="AF82" s="362"/>
    </row>
    <row r="83" spans="1:36" ht="7.5" customHeight="1">
      <c r="A83" s="505"/>
      <c r="B83" s="505"/>
      <c r="C83" s="505"/>
      <c r="D83" s="505"/>
      <c r="E83" s="505"/>
      <c r="F83" s="505"/>
      <c r="G83" s="505"/>
      <c r="H83" s="505"/>
      <c r="I83" s="505"/>
      <c r="J83" s="505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zoomScaleNormal="100" workbookViewId="0">
      <selection sqref="A1:F1"/>
    </sheetView>
  </sheetViews>
  <sheetFormatPr defaultColWidth="9.140625" defaultRowHeight="15.75"/>
  <cols>
    <col min="1" max="1" width="7.28515625" style="524" customWidth="1"/>
    <col min="2" max="2" width="1.42578125" style="524" customWidth="1"/>
    <col min="3" max="3" width="49.42578125" style="524" customWidth="1"/>
    <col min="4" max="4" width="1.140625" style="524" customWidth="1"/>
    <col min="5" max="5" width="0.5703125" style="524" customWidth="1"/>
    <col min="6" max="6" width="22.42578125" style="524" customWidth="1"/>
    <col min="7" max="7" width="13.28515625" style="524" customWidth="1"/>
    <col min="8" max="8" width="10.42578125" style="524" bestFit="1" customWidth="1"/>
    <col min="9" max="9" width="4.85546875" style="524" customWidth="1"/>
    <col min="10" max="10" width="6.85546875" style="524" customWidth="1"/>
    <col min="11" max="11" width="14.140625" style="524" customWidth="1"/>
    <col min="12" max="12" width="12.85546875" style="524" customWidth="1"/>
    <col min="13" max="13" width="15.140625" style="580" customWidth="1"/>
    <col min="14" max="14" width="14.140625" style="524" customWidth="1"/>
    <col min="15" max="15" width="6.140625" style="524" customWidth="1"/>
    <col min="16" max="16" width="14" style="524" customWidth="1"/>
    <col min="17" max="17" width="9.28515625" style="525" customWidth="1"/>
    <col min="18" max="16384" width="9.140625" style="525"/>
  </cols>
  <sheetData>
    <row r="1" spans="1:35">
      <c r="A1" s="803" t="str">
        <f>+'Exh. No. BGM-4 7-11'!A2</f>
        <v>AVISTA 2020 WASHINGTON GRC - AWEC REPLY</v>
      </c>
      <c r="B1" s="803"/>
      <c r="C1" s="803"/>
      <c r="D1" s="803"/>
      <c r="E1" s="803"/>
      <c r="F1" s="803"/>
      <c r="G1" s="522"/>
      <c r="H1" s="522"/>
      <c r="I1" s="522"/>
      <c r="J1" s="804" t="str">
        <f>+'Exh. No. BGM-4 7-11'!A2</f>
        <v>AVISTA 2020 WASHINGTON GRC - AWEC REPLY</v>
      </c>
      <c r="K1" s="805"/>
      <c r="L1" s="805"/>
      <c r="M1" s="805"/>
      <c r="N1" s="806"/>
      <c r="O1" s="526"/>
      <c r="P1" s="522"/>
      <c r="Q1" s="524"/>
    </row>
    <row r="2" spans="1:35">
      <c r="A2" s="803" t="s">
        <v>501</v>
      </c>
      <c r="B2" s="803"/>
      <c r="C2" s="803"/>
      <c r="D2" s="803"/>
      <c r="E2" s="803"/>
      <c r="F2" s="803"/>
      <c r="G2" s="522"/>
      <c r="H2" s="522"/>
      <c r="I2" s="522"/>
      <c r="J2" s="807" t="s">
        <v>605</v>
      </c>
      <c r="K2" s="808"/>
      <c r="L2" s="808"/>
      <c r="M2" s="808"/>
      <c r="N2" s="809"/>
      <c r="O2" s="527"/>
      <c r="P2" s="526"/>
      <c r="Q2" s="524"/>
    </row>
    <row r="3" spans="1:35">
      <c r="A3" s="803" t="s">
        <v>445</v>
      </c>
      <c r="B3" s="803"/>
      <c r="C3" s="803"/>
      <c r="D3" s="803"/>
      <c r="E3" s="803"/>
      <c r="F3" s="803"/>
      <c r="G3" s="527"/>
      <c r="H3" s="527"/>
      <c r="I3" s="527"/>
      <c r="J3" s="807" t="s">
        <v>445</v>
      </c>
      <c r="K3" s="808"/>
      <c r="L3" s="808"/>
      <c r="M3" s="808"/>
      <c r="N3" s="809"/>
      <c r="O3" s="527"/>
      <c r="P3" s="522"/>
      <c r="Q3" s="524"/>
    </row>
    <row r="4" spans="1:35">
      <c r="A4" s="820" t="str">
        <f>'Exh. No. BGM-4 3'!A3</f>
        <v>TWELVE MONTHS ENDED DECEMBER 31, 2018</v>
      </c>
      <c r="B4" s="820"/>
      <c r="C4" s="820"/>
      <c r="D4" s="820"/>
      <c r="E4" s="820"/>
      <c r="F4" s="820"/>
      <c r="G4" s="528"/>
      <c r="H4" s="528"/>
      <c r="I4" s="528"/>
      <c r="J4" s="813"/>
      <c r="K4" s="814"/>
      <c r="L4" s="814"/>
      <c r="M4" s="814"/>
      <c r="N4" s="815"/>
      <c r="O4" s="533"/>
      <c r="P4" s="634"/>
    </row>
    <row r="5" spans="1:35" ht="16.5" thickBot="1">
      <c r="A5" s="526"/>
      <c r="B5" s="526"/>
      <c r="C5" s="526"/>
      <c r="D5" s="526"/>
      <c r="E5" s="526"/>
      <c r="F5" s="529" t="s">
        <v>497</v>
      </c>
      <c r="G5" s="529"/>
      <c r="H5" s="529"/>
      <c r="I5" s="529"/>
      <c r="J5" s="556"/>
      <c r="K5" s="144"/>
      <c r="L5" s="144"/>
      <c r="M5" s="144"/>
      <c r="N5" s="449"/>
      <c r="O5" s="533"/>
      <c r="P5" s="143"/>
      <c r="S5" s="530"/>
      <c r="T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</row>
    <row r="6" spans="1:35">
      <c r="C6" s="531"/>
      <c r="D6" s="531"/>
      <c r="F6" s="529" t="s">
        <v>498</v>
      </c>
      <c r="G6" s="529"/>
      <c r="H6" s="529"/>
      <c r="I6" s="529"/>
      <c r="J6" s="496" t="s">
        <v>503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2" t="s">
        <v>131</v>
      </c>
      <c r="B8" s="527"/>
      <c r="C8" s="816" t="s">
        <v>71</v>
      </c>
      <c r="D8" s="817"/>
      <c r="E8" s="533"/>
      <c r="F8" s="529" t="s">
        <v>499</v>
      </c>
      <c r="G8" s="534"/>
      <c r="H8" s="534"/>
      <c r="I8" s="534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5" t="s">
        <v>16</v>
      </c>
      <c r="B9" s="527"/>
      <c r="C9" s="818"/>
      <c r="D9" s="819"/>
      <c r="E9" s="533"/>
      <c r="F9" s="680" t="s">
        <v>500</v>
      </c>
      <c r="G9" s="534"/>
      <c r="H9" s="534"/>
      <c r="I9" s="534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6"/>
      <c r="G10" s="143"/>
      <c r="H10" s="143"/>
      <c r="I10" s="143"/>
      <c r="J10" s="559"/>
      <c r="K10" s="560"/>
      <c r="L10" s="560"/>
      <c r="M10" s="562"/>
      <c r="N10" s="568"/>
      <c r="P10" s="811" t="s">
        <v>520</v>
      </c>
    </row>
    <row r="11" spans="1:35">
      <c r="A11" s="537">
        <v>1</v>
      </c>
      <c r="C11" s="524" t="s">
        <v>148</v>
      </c>
      <c r="F11" s="538">
        <f>'Exh. No. BGM-4 7-11'!AN81</f>
        <v>395647.7969019356</v>
      </c>
      <c r="G11" s="538"/>
      <c r="H11" s="538"/>
      <c r="I11" s="538"/>
      <c r="J11" s="559"/>
      <c r="K11" s="564" t="s">
        <v>13</v>
      </c>
      <c r="L11" s="569">
        <f>+'Exh. No. BGM-4 1-2'!AI10</f>
        <v>0.51900000000000002</v>
      </c>
      <c r="M11" s="212">
        <f>+'Exh. No. BGM-4 1-2'!AJ10</f>
        <v>5.1470000000000002E-2</v>
      </c>
      <c r="N11" s="570">
        <f>ROUND(L11*M11,4)</f>
        <v>2.6700000000000002E-2</v>
      </c>
      <c r="P11" s="812"/>
      <c r="Q11" s="530"/>
    </row>
    <row r="12" spans="1:35" ht="16.5" thickBot="1">
      <c r="A12" s="537"/>
      <c r="F12" s="539"/>
      <c r="G12" s="539"/>
      <c r="H12" s="539"/>
      <c r="I12" s="539"/>
      <c r="J12" s="559"/>
      <c r="K12" s="564"/>
      <c r="L12" s="569"/>
      <c r="M12" s="571"/>
      <c r="N12" s="570"/>
      <c r="P12" s="744">
        <f>N11+N12</f>
        <v>2.6700000000000002E-2</v>
      </c>
    </row>
    <row r="13" spans="1:35">
      <c r="A13" s="537">
        <v>2</v>
      </c>
      <c r="C13" s="524" t="s">
        <v>137</v>
      </c>
      <c r="F13" s="540">
        <f>N15</f>
        <v>6.9000000000000006E-2</v>
      </c>
      <c r="G13" s="541"/>
      <c r="H13" s="541"/>
      <c r="I13" s="541"/>
      <c r="J13" s="559"/>
      <c r="K13" s="564" t="s">
        <v>502</v>
      </c>
      <c r="L13" s="569">
        <f>+'Exh. No. BGM-4 1-2'!AI11</f>
        <v>0.48099999999999998</v>
      </c>
      <c r="M13" s="571">
        <f>+'Exh. No. BGM-4 1-2'!AJ11</f>
        <v>8.7999999999999995E-2</v>
      </c>
      <c r="N13" s="570">
        <f>ROUND(L13*M13,4)</f>
        <v>4.2299999999999997E-2</v>
      </c>
    </row>
    <row r="14" spans="1:35">
      <c r="A14" s="537"/>
      <c r="F14" s="542"/>
      <c r="G14" s="542"/>
      <c r="H14" s="542"/>
      <c r="I14" s="542"/>
      <c r="J14" s="559"/>
      <c r="K14" s="564"/>
      <c r="L14" s="571"/>
      <c r="M14" s="572"/>
      <c r="N14" s="570"/>
      <c r="P14" s="214"/>
      <c r="Q14" s="530"/>
    </row>
    <row r="15" spans="1:35" ht="16.5" thickBot="1">
      <c r="A15" s="537">
        <v>3</v>
      </c>
      <c r="C15" s="524" t="s">
        <v>138</v>
      </c>
      <c r="F15" s="539">
        <f>ROUND(F11*F13,0)</f>
        <v>27300</v>
      </c>
      <c r="G15" s="539"/>
      <c r="H15" s="539"/>
      <c r="I15" s="539"/>
      <c r="J15" s="559"/>
      <c r="K15" s="564" t="s">
        <v>25</v>
      </c>
      <c r="L15" s="573">
        <f>SUM(L11:L13)</f>
        <v>1</v>
      </c>
      <c r="M15" s="572"/>
      <c r="N15" s="574">
        <f>SUM(N11:N13)</f>
        <v>6.9000000000000006E-2</v>
      </c>
      <c r="O15" s="213"/>
      <c r="P15" s="214"/>
    </row>
    <row r="16" spans="1:35" ht="17.25" thickTop="1" thickBot="1">
      <c r="A16" s="537"/>
      <c r="F16" s="539"/>
      <c r="G16" s="539"/>
      <c r="H16" s="539"/>
      <c r="I16" s="539"/>
      <c r="J16" s="575"/>
      <c r="K16" s="576"/>
      <c r="L16" s="577"/>
      <c r="M16" s="578"/>
      <c r="N16" s="579"/>
      <c r="O16" s="567"/>
      <c r="P16" s="214"/>
    </row>
    <row r="17" spans="1:17">
      <c r="A17" s="537">
        <v>4</v>
      </c>
      <c r="C17" s="524" t="s">
        <v>139</v>
      </c>
      <c r="F17" s="543">
        <f>'Exh. No. BGM-4 7-11'!AN58</f>
        <v>25108.595373203858</v>
      </c>
      <c r="G17" s="544"/>
      <c r="H17" s="544"/>
      <c r="I17" s="544"/>
      <c r="J17" s="545"/>
      <c r="O17" s="567"/>
      <c r="P17" s="214"/>
    </row>
    <row r="18" spans="1:17">
      <c r="A18" s="537"/>
      <c r="L18" s="523"/>
      <c r="M18" s="523"/>
      <c r="O18" s="567"/>
      <c r="P18" s="214"/>
    </row>
    <row r="19" spans="1:17">
      <c r="A19" s="537">
        <v>5</v>
      </c>
      <c r="C19" s="524" t="s">
        <v>140</v>
      </c>
      <c r="F19" s="539">
        <f>F15-F17</f>
        <v>2191.4046267961421</v>
      </c>
      <c r="G19" s="539"/>
      <c r="H19" s="539"/>
      <c r="I19" s="539"/>
      <c r="O19" s="567"/>
      <c r="P19" s="213"/>
    </row>
    <row r="20" spans="1:17">
      <c r="A20" s="537"/>
      <c r="O20" s="536"/>
      <c r="P20" s="213"/>
    </row>
    <row r="21" spans="1:17">
      <c r="A21" s="537">
        <v>6</v>
      </c>
      <c r="C21" s="524" t="s">
        <v>141</v>
      </c>
      <c r="F21" s="546">
        <f>'Exh. No. BGM-4 6'!E27</f>
        <v>0.75511799999999996</v>
      </c>
      <c r="G21" s="546"/>
      <c r="H21" s="546"/>
      <c r="I21" s="546"/>
      <c r="J21" s="213"/>
      <c r="K21" s="213"/>
      <c r="L21" s="536"/>
      <c r="M21" s="581"/>
      <c r="N21" s="536"/>
      <c r="O21" s="536"/>
      <c r="P21" s="214"/>
      <c r="Q21" s="530"/>
    </row>
    <row r="22" spans="1:17" ht="16.5" thickBot="1">
      <c r="A22" s="537"/>
      <c r="J22" s="213"/>
      <c r="K22" s="582"/>
      <c r="L22" s="213"/>
      <c r="M22" s="583"/>
      <c r="N22" s="213"/>
      <c r="O22" s="213"/>
      <c r="P22" s="214"/>
      <c r="Q22" s="530"/>
    </row>
    <row r="23" spans="1:17" ht="16.5" thickBot="1">
      <c r="A23" s="537">
        <v>7</v>
      </c>
      <c r="C23" s="524" t="s">
        <v>540</v>
      </c>
      <c r="E23" s="547"/>
      <c r="F23" s="548">
        <f>ROUND(F19/F21,0)</f>
        <v>2902</v>
      </c>
      <c r="G23" s="145"/>
      <c r="H23" s="549"/>
      <c r="I23" s="549"/>
      <c r="J23" s="213"/>
      <c r="K23" s="213"/>
      <c r="L23" s="584"/>
      <c r="M23" s="583"/>
      <c r="N23" s="144"/>
      <c r="O23" s="536"/>
      <c r="P23" s="214"/>
      <c r="Q23" s="530"/>
    </row>
    <row r="24" spans="1:17">
      <c r="E24" s="547"/>
      <c r="J24" s="213"/>
      <c r="K24" s="145"/>
      <c r="L24" s="145"/>
      <c r="M24" s="583"/>
      <c r="N24" s="213"/>
      <c r="O24" s="585"/>
      <c r="P24" s="214"/>
      <c r="Q24" s="530"/>
    </row>
    <row r="25" spans="1:17">
      <c r="A25" s="537">
        <v>8</v>
      </c>
      <c r="C25" s="524" t="s">
        <v>468</v>
      </c>
      <c r="F25" s="544">
        <f>'Exh. No. BGM-4 3'!H15+'Exh. No. BGM-4 3'!H16</f>
        <v>98046.232956493623</v>
      </c>
      <c r="G25" s="544"/>
      <c r="H25" s="544"/>
      <c r="I25" s="544"/>
      <c r="J25" s="146"/>
      <c r="K25" s="145"/>
      <c r="L25" s="145"/>
      <c r="M25" s="586"/>
      <c r="N25" s="145"/>
      <c r="O25" s="586"/>
      <c r="P25" s="214"/>
      <c r="Q25" s="530"/>
    </row>
    <row r="26" spans="1:17">
      <c r="J26" s="213"/>
      <c r="K26" s="145"/>
      <c r="L26" s="145"/>
      <c r="M26" s="586"/>
      <c r="N26" s="145"/>
      <c r="O26" s="586"/>
      <c r="P26" s="215"/>
      <c r="Q26" s="530"/>
    </row>
    <row r="27" spans="1:17" ht="16.5" thickBot="1">
      <c r="A27" s="537">
        <v>9</v>
      </c>
      <c r="C27" s="524" t="s">
        <v>471</v>
      </c>
      <c r="F27" s="550">
        <f>ROUND(F23/F25,4)</f>
        <v>2.9600000000000001E-2</v>
      </c>
      <c r="G27" s="551"/>
      <c r="H27" s="551"/>
      <c r="I27" s="551"/>
      <c r="J27" s="587"/>
      <c r="K27" s="144"/>
      <c r="L27" s="144"/>
      <c r="M27" s="144"/>
      <c r="N27" s="144"/>
      <c r="O27" s="144"/>
      <c r="P27" s="212"/>
      <c r="Q27" s="530"/>
    </row>
    <row r="28" spans="1:17" ht="9.75" customHeight="1" thickTop="1">
      <c r="C28" s="552"/>
      <c r="D28" s="552"/>
      <c r="E28" s="552"/>
      <c r="F28" s="552"/>
      <c r="G28" s="552"/>
      <c r="H28" s="552"/>
      <c r="I28" s="552"/>
      <c r="J28" s="567"/>
      <c r="K28" s="567"/>
      <c r="L28" s="144"/>
      <c r="M28" s="588"/>
      <c r="N28" s="144"/>
      <c r="O28" s="588"/>
      <c r="P28" s="214"/>
      <c r="Q28" s="530"/>
    </row>
    <row r="29" spans="1:17">
      <c r="A29" s="537">
        <v>10</v>
      </c>
      <c r="C29" s="524" t="s">
        <v>469</v>
      </c>
      <c r="F29" s="553">
        <v>127800</v>
      </c>
      <c r="G29" s="553"/>
      <c r="I29" s="553"/>
      <c r="J29" s="553"/>
      <c r="K29" s="213"/>
      <c r="L29" s="589"/>
      <c r="M29" s="144"/>
      <c r="N29" s="589"/>
      <c r="O29" s="144"/>
      <c r="P29" s="214"/>
      <c r="Q29" s="530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0"/>
    </row>
    <row r="31" spans="1:17" ht="15.75" customHeight="1" thickBot="1">
      <c r="A31" s="537">
        <v>11</v>
      </c>
      <c r="C31" s="524" t="s">
        <v>470</v>
      </c>
      <c r="F31" s="550">
        <f>ROUND(F23/F29,4)</f>
        <v>2.2700000000000001E-2</v>
      </c>
      <c r="G31" s="551"/>
      <c r="H31" s="551"/>
      <c r="I31" s="551"/>
      <c r="J31" s="567"/>
      <c r="K31" s="567"/>
      <c r="L31" s="590"/>
      <c r="M31" s="586"/>
      <c r="N31" s="590"/>
      <c r="O31" s="586"/>
      <c r="P31" s="214"/>
      <c r="Q31" s="530"/>
    </row>
    <row r="32" spans="1:17" ht="15.75" customHeight="1" thickTop="1">
      <c r="A32" s="554" t="s">
        <v>443</v>
      </c>
      <c r="F32" s="551"/>
      <c r="G32" s="551"/>
      <c r="H32" s="551"/>
      <c r="I32" s="551"/>
      <c r="J32" s="567"/>
      <c r="K32" s="213"/>
      <c r="L32" s="536"/>
      <c r="M32" s="581"/>
      <c r="N32" s="536"/>
      <c r="O32" s="536"/>
      <c r="P32" s="214"/>
      <c r="Q32" s="530"/>
    </row>
    <row r="33" spans="1:17">
      <c r="J33" s="567"/>
      <c r="K33" s="213"/>
      <c r="L33" s="212"/>
      <c r="M33" s="581"/>
      <c r="N33" s="212"/>
      <c r="O33" s="213"/>
      <c r="P33" s="214"/>
      <c r="Q33" s="530"/>
    </row>
    <row r="34" spans="1:17" ht="15.75" customHeight="1">
      <c r="A34" s="462"/>
      <c r="B34" s="462"/>
      <c r="C34" s="821" t="s">
        <v>557</v>
      </c>
      <c r="D34" s="821"/>
      <c r="E34" s="821"/>
      <c r="F34" s="821"/>
      <c r="G34" s="821"/>
      <c r="H34" s="821"/>
      <c r="I34" s="143"/>
      <c r="J34" s="213"/>
      <c r="K34" s="213"/>
      <c r="L34" s="213"/>
      <c r="M34" s="583"/>
      <c r="N34" s="213"/>
      <c r="O34" s="213"/>
      <c r="P34" s="214"/>
      <c r="Q34" s="530"/>
    </row>
    <row r="35" spans="1:17">
      <c r="A35" s="62">
        <v>12</v>
      </c>
      <c r="B35" s="462"/>
      <c r="C35" s="726" t="s">
        <v>550</v>
      </c>
      <c r="D35" s="462"/>
      <c r="E35" s="462"/>
      <c r="F35" s="727">
        <f ca="1">+'[10]Growth Rate Table'!$E$9</f>
        <v>1.2364749429330019E-2</v>
      </c>
      <c r="G35" s="728" t="s">
        <v>592</v>
      </c>
      <c r="H35" s="729"/>
      <c r="I35" s="143"/>
      <c r="J35" s="213"/>
      <c r="K35" s="213"/>
      <c r="L35" s="213"/>
      <c r="M35" s="583"/>
      <c r="N35" s="591"/>
      <c r="O35" s="213"/>
    </row>
    <row r="36" spans="1:17">
      <c r="A36" s="62">
        <v>13</v>
      </c>
      <c r="B36" s="462"/>
      <c r="C36" s="726" t="s">
        <v>551</v>
      </c>
      <c r="D36" s="462"/>
      <c r="E36" s="462"/>
      <c r="F36" s="730">
        <f>F42+F43</f>
        <v>95623.848051898734</v>
      </c>
      <c r="G36" s="731"/>
      <c r="H36" s="731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62"/>
      <c r="B37" s="462"/>
      <c r="C37" s="732" t="s">
        <v>556</v>
      </c>
      <c r="D37" s="462"/>
      <c r="E37" s="462"/>
      <c r="F37" s="733"/>
      <c r="G37" s="733"/>
      <c r="H37" s="733"/>
      <c r="I37" s="143"/>
      <c r="J37" s="213"/>
      <c r="K37" s="213"/>
      <c r="L37" s="213"/>
      <c r="M37" s="583"/>
      <c r="N37" s="592"/>
      <c r="O37" s="213"/>
    </row>
    <row r="38" spans="1:17" ht="26.25" thickBot="1">
      <c r="A38" s="462"/>
      <c r="B38" s="462"/>
      <c r="C38" s="734"/>
      <c r="D38" s="462"/>
      <c r="E38" s="462"/>
      <c r="F38" s="735" t="s">
        <v>542</v>
      </c>
      <c r="G38" s="736" t="s">
        <v>543</v>
      </c>
      <c r="H38" s="736" t="s">
        <v>544</v>
      </c>
      <c r="I38" s="143"/>
      <c r="J38" s="213"/>
      <c r="K38" s="213"/>
      <c r="L38" s="213"/>
      <c r="M38" s="583"/>
      <c r="N38" s="213"/>
      <c r="O38" s="213"/>
    </row>
    <row r="39" spans="1:17" ht="16.5" thickBot="1">
      <c r="A39" s="62">
        <v>14</v>
      </c>
      <c r="B39" s="462"/>
      <c r="C39" s="745" t="s">
        <v>554</v>
      </c>
      <c r="D39" s="462"/>
      <c r="E39" s="462"/>
      <c r="F39" s="758">
        <f ca="1">F36*F35</f>
        <v>1182.3649206300554</v>
      </c>
      <c r="G39" s="737">
        <f ca="1">F39/(F25+F23)</f>
        <v>1.1712586600100544E-2</v>
      </c>
      <c r="H39" s="738">
        <f ca="1">F39/(F29+F23)</f>
        <v>9.04626494338308E-3</v>
      </c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62"/>
      <c r="B40" s="462"/>
      <c r="C40" s="734"/>
      <c r="D40" s="462"/>
      <c r="E40" s="462"/>
      <c r="F40" s="739"/>
      <c r="G40" s="739"/>
      <c r="H40" s="74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62"/>
      <c r="B41" s="462"/>
      <c r="C41" s="462"/>
      <c r="D41" s="462"/>
      <c r="E41" s="462"/>
      <c r="F41" s="462"/>
      <c r="G41" s="435"/>
      <c r="H41" s="355"/>
      <c r="I41" s="143"/>
      <c r="J41" s="213"/>
      <c r="K41" s="593"/>
      <c r="L41" s="213"/>
      <c r="M41" s="583"/>
      <c r="N41" s="594"/>
      <c r="O41" s="213"/>
    </row>
    <row r="42" spans="1:17">
      <c r="A42" s="462"/>
      <c r="B42" s="734" t="s">
        <v>545</v>
      </c>
      <c r="C42" s="741" t="s">
        <v>553</v>
      </c>
      <c r="D42" s="435"/>
      <c r="E42" s="462"/>
      <c r="F42" s="755">
        <v>92721.848051898734</v>
      </c>
      <c r="G42" s="742"/>
      <c r="H42" s="742"/>
      <c r="I42" s="143"/>
      <c r="J42" s="213"/>
      <c r="K42" s="593"/>
      <c r="L42" s="213"/>
      <c r="M42" s="583"/>
      <c r="N42" s="213"/>
      <c r="O42" s="213"/>
    </row>
    <row r="43" spans="1:17">
      <c r="A43" s="462"/>
      <c r="B43" s="462"/>
      <c r="C43" s="810" t="s">
        <v>552</v>
      </c>
      <c r="D43" s="810"/>
      <c r="E43" s="462"/>
      <c r="F43" s="756">
        <f>F23</f>
        <v>2902</v>
      </c>
      <c r="G43" s="743"/>
      <c r="H43" s="743"/>
      <c r="I43" s="143"/>
      <c r="J43" s="213"/>
      <c r="K43" s="213"/>
      <c r="L43" s="213"/>
      <c r="M43" s="583"/>
      <c r="N43" s="213"/>
      <c r="O43" s="213"/>
    </row>
    <row r="44" spans="1:17">
      <c r="A44" s="462"/>
      <c r="B44" s="462"/>
      <c r="C44" s="462"/>
      <c r="D44" s="462"/>
      <c r="E44" s="462"/>
      <c r="F44" s="462"/>
      <c r="G44" s="462"/>
      <c r="H44" s="462"/>
      <c r="I44" s="143"/>
      <c r="J44" s="213"/>
      <c r="K44" s="593"/>
      <c r="L44" s="213"/>
      <c r="M44" s="583"/>
      <c r="N44" s="595"/>
      <c r="O44" s="21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213"/>
      <c r="K45" s="213"/>
      <c r="L45" s="213"/>
      <c r="M45" s="583"/>
      <c r="N45" s="213"/>
      <c r="O45" s="21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213"/>
      <c r="K46" s="213"/>
      <c r="L46" s="213"/>
      <c r="M46" s="583"/>
      <c r="N46" s="213"/>
      <c r="O46" s="21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213"/>
      <c r="K47" s="213"/>
      <c r="L47" s="213"/>
      <c r="M47" s="583"/>
      <c r="N47" s="213"/>
      <c r="O47" s="21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213"/>
      <c r="K48" s="213"/>
      <c r="L48" s="213"/>
      <c r="M48" s="583"/>
      <c r="N48" s="213"/>
      <c r="O48" s="213"/>
    </row>
    <row r="49" spans="1:28">
      <c r="A49" s="143"/>
      <c r="B49" s="143"/>
      <c r="C49" s="143"/>
      <c r="D49" s="143"/>
      <c r="E49" s="143"/>
      <c r="F49" s="143"/>
      <c r="G49" s="143"/>
      <c r="H49" s="143"/>
      <c r="I49" s="143"/>
      <c r="J49" s="213"/>
      <c r="K49" s="213"/>
      <c r="L49" s="213"/>
      <c r="M49" s="583"/>
      <c r="N49" s="213"/>
      <c r="O49" s="213"/>
    </row>
    <row r="50" spans="1:28">
      <c r="A50" s="143"/>
      <c r="B50" s="143"/>
      <c r="C50" s="143"/>
      <c r="D50" s="143"/>
      <c r="E50" s="143"/>
      <c r="F50" s="143"/>
      <c r="G50" s="143"/>
      <c r="H50" s="143"/>
      <c r="I50" s="143"/>
      <c r="J50" s="213"/>
      <c r="K50" s="213"/>
      <c r="L50" s="213"/>
      <c r="M50" s="583"/>
      <c r="N50" s="213"/>
      <c r="O50" s="213"/>
    </row>
    <row r="51" spans="1:28">
      <c r="J51" s="213"/>
      <c r="K51" s="213"/>
      <c r="L51" s="213"/>
      <c r="M51" s="583"/>
      <c r="N51" s="213"/>
      <c r="O51" s="213"/>
    </row>
    <row r="52" spans="1:28">
      <c r="J52" s="213"/>
      <c r="K52" s="213"/>
      <c r="L52" s="213"/>
      <c r="M52" s="583"/>
      <c r="N52" s="213"/>
      <c r="O52" s="213"/>
      <c r="AB52" s="525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89" orientation="portrait" r:id="rId1"/>
  <headerFooter scaleWithDoc="0"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Normal="100" zoomScaleSheetLayoutView="130" workbookViewId="0"/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tr">
        <f>+'Exh. No. BGM-4 7-11'!A2</f>
        <v>AVISTA 2020 WASHINGTON GRC - AWEC REPLY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445</v>
      </c>
      <c r="D3" s="102"/>
      <c r="E3" s="105"/>
      <c r="J3" s="36"/>
    </row>
    <row r="4" spans="1:25">
      <c r="B4" s="141"/>
      <c r="C4" s="313" t="str">
        <f>'Exh. No. BGM-4 3'!A3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'Exh. No. BGM-4 4-5'!F23</f>
        <v>2902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59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59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4"/>
      <c r="J15" s="109">
        <f>ROUND($J$12*E15,0)</f>
        <v>11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59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6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59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4"/>
      <c r="J19" s="109">
        <f>ROUND($J$12*E19,0)</f>
        <v>111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59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128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2774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59"/>
      <c r="M24" s="49"/>
      <c r="N24" s="49"/>
      <c r="O24" s="49"/>
      <c r="P24" s="49"/>
    </row>
    <row r="25" spans="1:16">
      <c r="A25" s="37">
        <v>8</v>
      </c>
      <c r="C25" s="597" t="s">
        <v>494</v>
      </c>
      <c r="D25" s="601"/>
      <c r="E25" s="597">
        <f>E23*0.21</f>
        <v>0.20072745</v>
      </c>
      <c r="J25" s="112">
        <f>ROUND(J23*0.21,0)</f>
        <v>583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59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2191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6"/>
      <c r="G28" s="516"/>
      <c r="H28" s="516"/>
      <c r="K28" s="459"/>
      <c r="M28" s="49"/>
      <c r="N28" s="49"/>
      <c r="O28" s="49"/>
      <c r="P28" s="49"/>
    </row>
    <row r="29" spans="1:16">
      <c r="A29" s="516"/>
      <c r="B29" s="516"/>
      <c r="C29" s="516"/>
      <c r="D29" s="516"/>
      <c r="E29" s="516"/>
      <c r="F29" s="516"/>
      <c r="G29" s="516"/>
      <c r="H29" s="516"/>
      <c r="J29" s="109">
        <f>J27/E27</f>
        <v>2901.5332702968281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6"/>
      <c r="B30" s="516"/>
      <c r="C30" s="516"/>
      <c r="D30" s="516"/>
      <c r="E30" s="516"/>
      <c r="F30" s="516"/>
      <c r="G30" s="516"/>
      <c r="H30" s="516"/>
      <c r="J30" s="495">
        <f>J29-'Exh. No. BGM-4 4-5'!F23</f>
        <v>-0.46672970317194995</v>
      </c>
      <c r="K30" s="495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2.75"/>
  <cols>
    <col min="1" max="16384" width="9.140625" style="510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zoomScaleNormal="100" zoomScaleSheetLayoutView="100" workbookViewId="0">
      <pane xSplit="5" ySplit="12" topLeftCell="F13" activePane="bottomRight" state="frozen"/>
      <selection activeCell="M21" sqref="M21"/>
      <selection pane="topRight" activeCell="M21" sqref="M21"/>
      <selection pane="bottomLeft" activeCell="M21" sqref="M21"/>
      <selection pane="bottomRight" activeCell="F13" sqref="F13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799" t="s">
        <v>606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59"/>
      <c r="T2" s="459"/>
      <c r="U2" s="459"/>
      <c r="V2" s="462"/>
      <c r="W2" s="462"/>
      <c r="X2" s="462"/>
      <c r="AA2" s="462"/>
      <c r="AB2" s="377"/>
      <c r="AD2" s="462"/>
      <c r="AF2" s="377"/>
      <c r="AG2" s="703"/>
      <c r="AH2" s="462"/>
      <c r="AK2" s="462"/>
      <c r="AL2" s="462"/>
      <c r="AM2" s="613"/>
    </row>
    <row r="3" spans="1:40" ht="15" customHeight="1">
      <c r="A3" s="376" t="s">
        <v>445</v>
      </c>
      <c r="F3" s="641" t="s">
        <v>462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2"/>
      <c r="T3" s="462"/>
      <c r="U3" s="462"/>
      <c r="V3" s="462"/>
      <c r="W3" s="657"/>
      <c r="X3" s="355"/>
      <c r="Y3" s="414"/>
      <c r="Z3" s="414"/>
      <c r="AA3" s="697" t="s">
        <v>463</v>
      </c>
      <c r="AD3" s="462"/>
      <c r="AE3" s="377"/>
      <c r="AG3" s="703"/>
      <c r="AH3" s="377"/>
      <c r="AJ3" s="749"/>
      <c r="AK3" s="462"/>
      <c r="AL3" s="462"/>
    </row>
    <row r="4" spans="1:40" ht="12.75">
      <c r="A4" s="376" t="str">
        <f>'ROO INPUT'!A5:C5</f>
        <v>TWELVE MONTHS ENDED DECEMBER 31, 2018</v>
      </c>
      <c r="E4" s="379" t="s">
        <v>486</v>
      </c>
      <c r="F4" s="375"/>
      <c r="G4" s="375"/>
      <c r="H4" s="649"/>
      <c r="I4" s="649"/>
      <c r="J4" s="414"/>
      <c r="K4" s="650"/>
      <c r="L4" s="650"/>
      <c r="M4" s="414"/>
      <c r="N4" s="414"/>
      <c r="O4" s="414"/>
      <c r="P4" s="414"/>
      <c r="Q4" s="414"/>
      <c r="R4" s="667"/>
      <c r="S4" s="462"/>
      <c r="T4" s="462"/>
      <c r="U4" s="462"/>
      <c r="V4" s="681"/>
      <c r="W4" s="657"/>
      <c r="X4" s="668"/>
      <c r="Y4" s="414"/>
      <c r="Z4" s="425"/>
      <c r="AA4" s="462"/>
      <c r="AC4" s="688"/>
      <c r="AD4" s="462"/>
      <c r="AE4" s="688"/>
      <c r="AG4" s="703"/>
      <c r="AH4" s="650"/>
      <c r="AJ4" s="749"/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5" t="s">
        <v>493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793" t="s">
        <v>603</v>
      </c>
      <c r="V5" s="673"/>
      <c r="W5" s="657"/>
      <c r="X5" s="668"/>
      <c r="Y5" s="378"/>
      <c r="Z5" s="674"/>
      <c r="AA5" s="793" t="s">
        <v>603</v>
      </c>
      <c r="AB5" s="688"/>
      <c r="AC5" s="793" t="s">
        <v>603</v>
      </c>
      <c r="AD5" s="688"/>
      <c r="AE5" s="793" t="s">
        <v>603</v>
      </c>
      <c r="AF5" s="688"/>
      <c r="AG5" s="704"/>
      <c r="AH5" s="650"/>
      <c r="AI5" s="688"/>
      <c r="AJ5" s="793" t="s">
        <v>603</v>
      </c>
      <c r="AK5" s="700"/>
      <c r="AL5" s="650"/>
      <c r="AM5" s="614"/>
      <c r="AN5" s="378"/>
    </row>
    <row r="6" spans="1:40" s="383" customFormat="1" ht="3.75" customHeight="1">
      <c r="A6" s="382"/>
      <c r="D6" s="500"/>
      <c r="E6" s="500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2"/>
      <c r="W6" s="658"/>
      <c r="X6" s="669"/>
      <c r="Y6" s="377"/>
      <c r="Z6" s="381"/>
      <c r="AA6" s="377"/>
      <c r="AB6" s="377"/>
      <c r="AC6" s="689"/>
      <c r="AD6" s="689"/>
      <c r="AE6" s="689"/>
      <c r="AF6" s="377"/>
      <c r="AG6" s="705"/>
      <c r="AH6" s="666"/>
      <c r="AI6" s="377"/>
      <c r="AJ6" s="750"/>
      <c r="AK6" s="377"/>
      <c r="AL6" s="724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477</v>
      </c>
      <c r="H7" s="642" t="s">
        <v>435</v>
      </c>
      <c r="I7" s="652" t="s">
        <v>504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447</v>
      </c>
      <c r="T7" s="659" t="s">
        <v>449</v>
      </c>
      <c r="U7" s="659" t="s">
        <v>482</v>
      </c>
      <c r="V7" s="642" t="s">
        <v>162</v>
      </c>
      <c r="W7" s="659" t="s">
        <v>5</v>
      </c>
      <c r="X7" s="371" t="s">
        <v>508</v>
      </c>
      <c r="Y7" s="371" t="s">
        <v>440</v>
      </c>
      <c r="Z7" s="675"/>
      <c r="AA7" s="691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6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1" t="s">
        <v>439</v>
      </c>
    </row>
    <row r="8" spans="1:40" s="383" customFormat="1">
      <c r="A8" s="389" t="s">
        <v>7</v>
      </c>
      <c r="B8" s="390"/>
      <c r="C8" s="391"/>
      <c r="D8" s="392"/>
      <c r="E8" s="469" t="s">
        <v>8</v>
      </c>
      <c r="F8" s="643" t="s">
        <v>9</v>
      </c>
      <c r="G8" s="643" t="s">
        <v>478</v>
      </c>
      <c r="H8" s="643" t="s">
        <v>132</v>
      </c>
      <c r="I8" s="653" t="s">
        <v>505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481</v>
      </c>
      <c r="O8" s="643" t="s">
        <v>430</v>
      </c>
      <c r="P8" s="643" t="s">
        <v>14</v>
      </c>
      <c r="Q8" s="643" t="s">
        <v>130</v>
      </c>
      <c r="R8" s="643" t="s">
        <v>479</v>
      </c>
      <c r="S8" s="643" t="s">
        <v>448</v>
      </c>
      <c r="T8" s="660" t="s">
        <v>450</v>
      </c>
      <c r="U8" s="660" t="s">
        <v>483</v>
      </c>
      <c r="V8" s="683" t="s">
        <v>476</v>
      </c>
      <c r="W8" s="660" t="s">
        <v>13</v>
      </c>
      <c r="X8" s="670" t="s">
        <v>488</v>
      </c>
      <c r="Y8" s="441" t="s">
        <v>211</v>
      </c>
      <c r="Z8" s="675"/>
      <c r="AA8" s="692" t="s">
        <v>446</v>
      </c>
      <c r="AB8" s="643" t="s">
        <v>487</v>
      </c>
      <c r="AC8" s="683" t="s">
        <v>125</v>
      </c>
      <c r="AD8" s="683" t="s">
        <v>125</v>
      </c>
      <c r="AE8" s="683" t="s">
        <v>485</v>
      </c>
      <c r="AF8" s="643" t="s">
        <v>513</v>
      </c>
      <c r="AG8" s="707" t="s">
        <v>484</v>
      </c>
      <c r="AH8" s="643" t="s">
        <v>11</v>
      </c>
      <c r="AI8" s="643" t="s">
        <v>44</v>
      </c>
      <c r="AJ8" s="653" t="s">
        <v>558</v>
      </c>
      <c r="AK8" s="643" t="s">
        <v>427</v>
      </c>
      <c r="AL8" s="683" t="s">
        <v>512</v>
      </c>
      <c r="AM8" s="616" t="s">
        <v>514</v>
      </c>
      <c r="AN8" s="502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0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507</v>
      </c>
      <c r="Q9" s="644" t="s">
        <v>21</v>
      </c>
      <c r="R9" s="644" t="s">
        <v>480</v>
      </c>
      <c r="S9" s="644" t="s">
        <v>114</v>
      </c>
      <c r="T9" s="661" t="s">
        <v>451</v>
      </c>
      <c r="U9" s="661" t="s">
        <v>510</v>
      </c>
      <c r="V9" s="684" t="s">
        <v>12</v>
      </c>
      <c r="W9" s="661" t="s">
        <v>24</v>
      </c>
      <c r="X9" s="671" t="s">
        <v>489</v>
      </c>
      <c r="Y9" s="603"/>
      <c r="Z9" s="676"/>
      <c r="AA9" s="693" t="s">
        <v>442</v>
      </c>
      <c r="AB9" s="644" t="s">
        <v>455</v>
      </c>
      <c r="AC9" s="684" t="s">
        <v>126</v>
      </c>
      <c r="AD9" s="684" t="s">
        <v>127</v>
      </c>
      <c r="AE9" s="684" t="s">
        <v>161</v>
      </c>
      <c r="AF9" s="644" t="s">
        <v>12</v>
      </c>
      <c r="AG9" s="708" t="s">
        <v>12</v>
      </c>
      <c r="AH9" s="644" t="s">
        <v>22</v>
      </c>
      <c r="AI9" s="644" t="s">
        <v>12</v>
      </c>
      <c r="AJ9" s="654" t="s">
        <v>464</v>
      </c>
      <c r="AK9" s="644" t="s">
        <v>428</v>
      </c>
      <c r="AL9" s="644" t="s">
        <v>455</v>
      </c>
      <c r="AM9" s="617"/>
      <c r="AN9" s="503"/>
    </row>
    <row r="10" spans="1:40" s="383" customFormat="1">
      <c r="A10" s="382"/>
      <c r="B10" s="397" t="s">
        <v>182</v>
      </c>
      <c r="E10" s="446">
        <v>1</v>
      </c>
      <c r="F10" s="446">
        <f>E10+0.01</f>
        <v>1.01</v>
      </c>
      <c r="G10" s="446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9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3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506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467</v>
      </c>
      <c r="T11" s="379" t="s">
        <v>452</v>
      </c>
      <c r="U11" s="379" t="s">
        <v>194</v>
      </c>
      <c r="V11" s="377" t="s">
        <v>195</v>
      </c>
      <c r="W11" s="377" t="s">
        <v>196</v>
      </c>
      <c r="X11" s="672" t="s">
        <v>509</v>
      </c>
      <c r="Y11" s="377" t="s">
        <v>425</v>
      </c>
      <c r="Z11" s="381"/>
      <c r="AA11" s="377" t="s">
        <v>454</v>
      </c>
      <c r="AB11" s="377" t="s">
        <v>474</v>
      </c>
      <c r="AC11" s="377" t="s">
        <v>197</v>
      </c>
      <c r="AD11" s="377" t="s">
        <v>198</v>
      </c>
      <c r="AE11" s="377" t="s">
        <v>199</v>
      </c>
      <c r="AF11" s="377" t="s">
        <v>518</v>
      </c>
      <c r="AG11" s="710" t="s">
        <v>515</v>
      </c>
      <c r="AH11" s="377" t="s">
        <v>434</v>
      </c>
      <c r="AI11" s="377" t="s">
        <v>516</v>
      </c>
      <c r="AJ11" s="381" t="s">
        <v>511</v>
      </c>
      <c r="AK11" s="377" t="s">
        <v>465</v>
      </c>
      <c r="AL11" s="377" t="s">
        <v>517</v>
      </c>
      <c r="AM11" s="613" t="s">
        <v>519</v>
      </c>
      <c r="AN11" s="473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3"/>
      <c r="AC12" s="649"/>
      <c r="AD12" s="649"/>
      <c r="AE12" s="649"/>
      <c r="AJ12" s="399"/>
      <c r="AN12" s="474"/>
    </row>
    <row r="13" spans="1:40">
      <c r="B13" s="1" t="s">
        <v>32</v>
      </c>
      <c r="V13" s="649"/>
      <c r="Z13" s="483"/>
      <c r="AC13" s="649"/>
      <c r="AD13" s="649"/>
      <c r="AE13" s="649"/>
      <c r="AJ13" s="399"/>
      <c r="AN13" s="474"/>
    </row>
    <row r="14" spans="1:40" s="3" customFormat="1">
      <c r="A14" s="158">
        <v>1</v>
      </c>
      <c r="B14" s="3" t="s">
        <v>33</v>
      </c>
      <c r="E14" s="471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795">
        <f>-58118+'Exh. No. BGM-4 1-2'!W37/'Exh. No. BGM-4 6'!E23</f>
        <v>-53778.76704350637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1">
        <v>0</v>
      </c>
      <c r="AH14" s="645">
        <v>0</v>
      </c>
      <c r="AI14" s="645">
        <v>0</v>
      </c>
      <c r="AJ14" s="751">
        <v>0</v>
      </c>
      <c r="AK14" s="645">
        <v>0</v>
      </c>
      <c r="AL14" s="645">
        <v>0</v>
      </c>
      <c r="AM14" s="619">
        <v>0</v>
      </c>
      <c r="AN14" s="475">
        <f>SUM(Y14:AM14)</f>
        <v>93091.232956493623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2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6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3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2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-49234.76704350637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6">
        <f t="shared" ref="AN17" si="19">SUM(AN14:AN16)</f>
        <v>98379.232956493623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2"/>
      <c r="AH18" s="646"/>
      <c r="AI18" s="646"/>
      <c r="AJ18" s="648"/>
      <c r="AK18" s="646"/>
      <c r="AL18" s="646"/>
      <c r="AM18" s="620"/>
      <c r="AN18" s="476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2"/>
      <c r="AH19" s="646"/>
      <c r="AI19" s="646"/>
      <c r="AJ19" s="648"/>
      <c r="AK19" s="646"/>
      <c r="AL19" s="646"/>
      <c r="AM19" s="620"/>
      <c r="AN19" s="476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2"/>
      <c r="AH20" s="646"/>
      <c r="AI20" s="646"/>
      <c r="AJ20" s="648"/>
      <c r="AK20" s="646"/>
      <c r="AL20" s="646"/>
      <c r="AM20" s="620"/>
      <c r="AN20" s="476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2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6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24</v>
      </c>
      <c r="AF22" s="646">
        <v>0</v>
      </c>
      <c r="AG22" s="712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6">
        <f>SUM(Y22:AM22)</f>
        <v>999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3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2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24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6">
        <f t="shared" ref="AN24" si="31">SUM(AN21:AN23)</f>
        <v>999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6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2"/>
      <c r="AH26" s="646"/>
      <c r="AI26" s="646"/>
      <c r="AJ26" s="648"/>
      <c r="AK26" s="646"/>
      <c r="AL26" s="646"/>
      <c r="AM26" s="620"/>
      <c r="AN26" s="476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2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6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2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6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3">
        <v>0</v>
      </c>
      <c r="AH29" s="647">
        <v>29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2">
        <f>SUM(Y29:AM29)</f>
        <v>253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29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6">
        <f t="shared" ref="AN30" si="40">SUM(AN27:AN29)</f>
        <v>2211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6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2"/>
      <c r="AH32" s="646"/>
      <c r="AI32" s="646"/>
      <c r="AJ32" s="648"/>
      <c r="AK32" s="646"/>
      <c r="AL32" s="646"/>
      <c r="AM32" s="620"/>
      <c r="AN32" s="476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362</v>
      </c>
      <c r="AD33" s="646"/>
      <c r="AE33" s="646">
        <v>328</v>
      </c>
      <c r="AF33" s="646">
        <v>0</v>
      </c>
      <c r="AG33" s="712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6">
        <f>SUM(Y33:AM33)</f>
        <v>12998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2">
        <v>0</v>
      </c>
      <c r="AH34" s="646">
        <v>0</v>
      </c>
      <c r="AI34" s="646">
        <v>-731</v>
      </c>
      <c r="AJ34" s="648">
        <v>347</v>
      </c>
      <c r="AK34" s="646">
        <v>0</v>
      </c>
      <c r="AL34" s="646">
        <v>0</v>
      </c>
      <c r="AM34" s="620">
        <v>0</v>
      </c>
      <c r="AN34" s="476">
        <f>SUM(Y34:AM34)</f>
        <v>11812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ROUND((S$14+S$15)*'Exh. No. BGM-4 6'!$E$19,0)</f>
        <v>240</v>
      </c>
      <c r="T35" s="647">
        <f>ROUND((T$14+T$15)*'Exh. No. BGM-4 6'!$E$19,0)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ROUND((AA$14+AA$15)*'Exh. No. BGM-4 6'!$E$19,0)</f>
        <v>-2064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3">
        <v>0</v>
      </c>
      <c r="AH35" s="647">
        <v>447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2">
        <f>SUM(Y35:AM35)</f>
        <v>7841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-2064</v>
      </c>
      <c r="AB36" s="354">
        <f>SUM(AB33:AB35)</f>
        <v>0</v>
      </c>
      <c r="AC36" s="354">
        <f>SUM(AC33:AC35)</f>
        <v>362</v>
      </c>
      <c r="AD36" s="354">
        <f>SUM(AD33:AD35)</f>
        <v>0</v>
      </c>
      <c r="AE36" s="354">
        <f t="shared" ref="AE36:AF36" si="47">SUM(AE33:AE35)</f>
        <v>328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447</v>
      </c>
      <c r="AI36" s="354">
        <f t="shared" ref="AI36" si="49">SUM(AI33:AI35)</f>
        <v>-731</v>
      </c>
      <c r="AJ36" s="664">
        <f>SUM(AJ33:AJ35)</f>
        <v>347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6">
        <f t="shared" ref="AN36" si="52">SUM(AN33:AN35)</f>
        <v>32651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6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ROUND((S$14+S$15)*'Exh. No. BGM-4 6'!$E$15,0)</f>
        <v>24</v>
      </c>
      <c r="T38" s="646">
        <f>ROUND((T$14+T$15)*'Exh. No. BGM-4 6'!$E$15,0)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ROUND((AA$14+AA$15)*'Exh. No. BGM-4 6'!$E$15,0)</f>
        <v>-203</v>
      </c>
      <c r="AB38" s="648">
        <v>0</v>
      </c>
      <c r="AC38" s="354">
        <v>143</v>
      </c>
      <c r="AD38" s="354">
        <v>0</v>
      </c>
      <c r="AE38" s="354">
        <v>176</v>
      </c>
      <c r="AF38" s="648">
        <v>0</v>
      </c>
      <c r="AG38" s="712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6">
        <f>SUM(Y38:AM38)</f>
        <v>7114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16</v>
      </c>
      <c r="AF39" s="646">
        <v>0</v>
      </c>
      <c r="AG39" s="712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6">
        <f>SUM(Y39:AM39)</f>
        <v>1259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2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6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2"/>
      <c r="AH41" s="646"/>
      <c r="AI41" s="646"/>
      <c r="AJ41" s="648"/>
      <c r="AK41" s="646"/>
      <c r="AL41" s="646"/>
      <c r="AM41" s="620"/>
      <c r="AN41" s="476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2"/>
      <c r="AH42" s="646"/>
      <c r="AI42" s="646"/>
      <c r="AJ42" s="648"/>
      <c r="AK42" s="646"/>
      <c r="AL42" s="646"/>
      <c r="AM42" s="620"/>
      <c r="AN42" s="476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54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ROUND((S$14+S$15)*'Exh. No. BGM-4 6'!$E$17,0)</f>
        <v>13</v>
      </c>
      <c r="T43" s="646">
        <f>ROUND((T$14+T$15)*'Exh. No. BGM-4 6'!$E$17,0)</f>
        <v>10</v>
      </c>
      <c r="U43" s="794">
        <f>-371-SUM('Exh. No. BGM-4 1-2'!W26:W28)</f>
        <v>-848.33953822484295</v>
      </c>
      <c r="V43" s="646">
        <v>-72</v>
      </c>
      <c r="W43" s="646">
        <v>0</v>
      </c>
      <c r="X43" s="646">
        <v>0</v>
      </c>
      <c r="Y43" s="401">
        <f>SUM(E43:X43)</f>
        <v>14134.660461775156</v>
      </c>
      <c r="Z43" s="406"/>
      <c r="AA43" s="646">
        <f>ROUND((AA$14+AA$15)*'Exh. No. BGM-4 6'!$E$17,0)</f>
        <v>-108</v>
      </c>
      <c r="AB43" s="646">
        <v>0</v>
      </c>
      <c r="AC43" s="794">
        <f>198-'Exh. No. BGM-4 1-2'!W40</f>
        <v>166.374</v>
      </c>
      <c r="AD43" s="690">
        <v>102</v>
      </c>
      <c r="AE43" s="794">
        <f>256-'Exh. No. BGM-4 1-2'!W43</f>
        <v>-375.40460475374823</v>
      </c>
      <c r="AF43" s="646">
        <v>11</v>
      </c>
      <c r="AG43" s="714">
        <v>582</v>
      </c>
      <c r="AH43" s="646">
        <v>0</v>
      </c>
      <c r="AI43" s="646">
        <v>0</v>
      </c>
      <c r="AJ43" s="648">
        <v>0</v>
      </c>
      <c r="AK43" s="646">
        <v>-14</v>
      </c>
      <c r="AL43" s="690">
        <v>0</v>
      </c>
      <c r="AM43" s="620">
        <v>0</v>
      </c>
      <c r="AN43" s="476">
        <f>SUM(Y43:AM43)</f>
        <v>14498.629857021408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2">
        <v>0</v>
      </c>
      <c r="AH44" s="646">
        <v>0</v>
      </c>
      <c r="AI44" s="646">
        <f>-309-234</f>
        <v>-543</v>
      </c>
      <c r="AJ44" s="797">
        <f>638+636-SUM('Exh. No. BGM-4 1-2'!W49:W52)</f>
        <v>477.14286912448222</v>
      </c>
      <c r="AK44" s="646">
        <v>0</v>
      </c>
      <c r="AL44" s="646">
        <v>0</v>
      </c>
      <c r="AM44" s="620">
        <v>0</v>
      </c>
      <c r="AN44" s="476">
        <f>SUM(Y44:AM44)</f>
        <v>9387.1428691244819</v>
      </c>
    </row>
    <row r="45" spans="1:40">
      <c r="A45" s="158">
        <v>22</v>
      </c>
      <c r="C45" s="426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2"/>
      <c r="AH45" s="646"/>
      <c r="AI45" s="646"/>
      <c r="AJ45" s="648"/>
      <c r="AK45" s="646"/>
      <c r="AL45" s="646">
        <v>836</v>
      </c>
      <c r="AM45" s="620">
        <v>0</v>
      </c>
      <c r="AN45" s="476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3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2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54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-848.33953822484295</v>
      </c>
      <c r="V47" s="307">
        <f>SUM(V43:V46)</f>
        <v>-72</v>
      </c>
      <c r="W47" s="307">
        <f>SUM(W43:W46)</f>
        <v>0</v>
      </c>
      <c r="X47" s="307">
        <f>SUM(X43:X46)</f>
        <v>961</v>
      </c>
      <c r="Y47" s="402">
        <f t="shared" ref="Y47" si="57">SUM(Y43:Y46)</f>
        <v>23111.660461775158</v>
      </c>
      <c r="Z47" s="406"/>
      <c r="AA47" s="307">
        <f>SUM(AA43:AA46)</f>
        <v>-108</v>
      </c>
      <c r="AB47" s="307">
        <f>SUM(AB43:AB46)</f>
        <v>1745</v>
      </c>
      <c r="AC47" s="307">
        <f t="shared" ref="AC47" si="58">SUM(AC43:AC46)</f>
        <v>166.374</v>
      </c>
      <c r="AD47" s="307">
        <f>SUM(AD43:AD46)</f>
        <v>102</v>
      </c>
      <c r="AE47" s="307">
        <f t="shared" ref="AE47:AF47" si="59">SUM(AE43:AE46)</f>
        <v>-375.40460475374823</v>
      </c>
      <c r="AF47" s="307">
        <f t="shared" si="59"/>
        <v>11</v>
      </c>
      <c r="AG47" s="715">
        <f>SUM(AG43:AG46)</f>
        <v>582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477.14286912448222</v>
      </c>
      <c r="AK47" s="307">
        <f>SUM(AK43:AK46)</f>
        <v>-14</v>
      </c>
      <c r="AL47" s="307">
        <f t="shared" ref="AL47" si="61">SUM(AL43:AL46)</f>
        <v>836</v>
      </c>
      <c r="AM47" s="624">
        <f t="shared" ref="AM47" si="62">SUM(AM43:AM46)</f>
        <v>0</v>
      </c>
      <c r="AN47" s="472">
        <f t="shared" ref="AN47" si="63">SUM(AN43:AN46)</f>
        <v>25990.772726145889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54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-857.33953822484295</v>
      </c>
      <c r="V48" s="307">
        <f>V20+V24+V30+V36+V38+V39+V40+V47</f>
        <v>-72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120176.66046177516</v>
      </c>
      <c r="Z48" s="406"/>
      <c r="AA48" s="307">
        <f>AA20+AA24+AA30+AA36+AA38+AA39+AA40+AA47</f>
        <v>-53894</v>
      </c>
      <c r="AB48" s="307">
        <f>AB20+AB24+AB30+AB36+AB38+AB39+AB40+AB47</f>
        <v>1745</v>
      </c>
      <c r="AC48" s="307">
        <f t="shared" ref="AC48" si="67">AC20+AC24+AC30+AC36+AC38+AC39+AC40+AC47</f>
        <v>698.37400000000002</v>
      </c>
      <c r="AD48" s="307">
        <f t="shared" si="64"/>
        <v>102</v>
      </c>
      <c r="AE48" s="307">
        <f t="shared" si="64"/>
        <v>168.59539524625177</v>
      </c>
      <c r="AF48" s="307">
        <f t="shared" si="64"/>
        <v>11</v>
      </c>
      <c r="AG48" s="715">
        <f>AG20+AG24+AG30+AG36+AG38+AG39+AG40+AG47</f>
        <v>582</v>
      </c>
      <c r="AH48" s="307">
        <f t="shared" ref="AH48" si="68">AH20+AH24+AH30+AH36+AH38+AH39+AH40+AH47</f>
        <v>476</v>
      </c>
      <c r="AI48" s="307">
        <f>AI20+AI24+AI30+AI36+AI38+AI39+AI40+AI47</f>
        <v>-1518</v>
      </c>
      <c r="AJ48" s="307">
        <f>AJ20+AJ24+AJ30+AJ36+AJ38+AJ39+AJ40+AJ47</f>
        <v>824.14286912448222</v>
      </c>
      <c r="AK48" s="307">
        <f>AK20+AK24+AK30+AK36+AK38+AK39+AK40+AK47</f>
        <v>-14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2">
        <f t="shared" ref="AN48" si="70">AN20+AN24+AN30+AN36+AN38+AN39+AN40+AN47</f>
        <v>70224.772726145893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6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-54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971.33953822484295</v>
      </c>
      <c r="V50" s="354">
        <f>V17-V48</f>
        <v>72</v>
      </c>
      <c r="W50" s="354">
        <f>W17-W48</f>
        <v>0</v>
      </c>
      <c r="X50" s="354">
        <f>X17-X48</f>
        <v>-1571</v>
      </c>
      <c r="Y50" s="401">
        <f>SUM(E50:X50)</f>
        <v>27437.339538224842</v>
      </c>
      <c r="Z50" s="406"/>
      <c r="AA50" s="354">
        <f>AA17-AA48</f>
        <v>4659.2329564936299</v>
      </c>
      <c r="AB50" s="354">
        <f>AB17-AB48</f>
        <v>-1745</v>
      </c>
      <c r="AC50" s="354">
        <f t="shared" ref="AC50" si="74">AC17-AC48</f>
        <v>-698.37400000000002</v>
      </c>
      <c r="AD50" s="354">
        <f t="shared" ref="AD50:AF50" si="75">AD17-AD48</f>
        <v>-102</v>
      </c>
      <c r="AE50" s="354">
        <f t="shared" si="75"/>
        <v>-168.59539524625177</v>
      </c>
      <c r="AF50" s="354">
        <f t="shared" si="75"/>
        <v>-11</v>
      </c>
      <c r="AG50" s="223">
        <f>AG17-AG48</f>
        <v>-582</v>
      </c>
      <c r="AH50" s="354">
        <f t="shared" ref="AH50" si="76">AH17-AH48</f>
        <v>-476</v>
      </c>
      <c r="AI50" s="354">
        <f>AI17-AI48</f>
        <v>1518</v>
      </c>
      <c r="AJ50" s="664">
        <f>AJ17-AJ48</f>
        <v>-824.14286912448222</v>
      </c>
      <c r="AK50" s="354">
        <f>AK17-AK48</f>
        <v>14</v>
      </c>
      <c r="AL50" s="354">
        <f t="shared" ref="AL50" si="77">AL17-AL48</f>
        <v>-867</v>
      </c>
      <c r="AM50" s="622">
        <f t="shared" ref="AM50" si="78">AM17-AM48</f>
        <v>0</v>
      </c>
      <c r="AN50" s="476">
        <f t="shared" ref="AN50" si="79">AN17-AN48</f>
        <v>28154.46023034773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6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2"/>
      <c r="AH52" s="646"/>
      <c r="AI52" s="646"/>
      <c r="AJ52" s="648"/>
      <c r="AK52" s="646"/>
      <c r="AL52" s="646"/>
      <c r="AM52" s="620"/>
      <c r="AN52" s="476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-11.34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203.98130302721702</v>
      </c>
      <c r="V53" s="646">
        <f t="shared" si="81"/>
        <v>15.12</v>
      </c>
      <c r="W53" s="646">
        <f>'DEBT CALC'!E57</f>
        <v>176</v>
      </c>
      <c r="X53" s="646">
        <f>X50*0.21</f>
        <v>-329.90999999999997</v>
      </c>
      <c r="Y53" s="401">
        <f>SUM(E53:X53)</f>
        <v>2780.7413030272173</v>
      </c>
      <c r="Z53" s="406"/>
      <c r="AA53" s="646">
        <f t="shared" ref="AA53:AM53" si="82">AA50*0.21</f>
        <v>978.43892086366225</v>
      </c>
      <c r="AB53" s="646">
        <f t="shared" si="82"/>
        <v>-366.45</v>
      </c>
      <c r="AC53" s="646">
        <f t="shared" si="82"/>
        <v>-146.65853999999999</v>
      </c>
      <c r="AD53" s="646">
        <f t="shared" si="82"/>
        <v>-21.419999999999998</v>
      </c>
      <c r="AE53" s="646">
        <f t="shared" si="82"/>
        <v>-35.405033001712873</v>
      </c>
      <c r="AF53" s="646">
        <f t="shared" ref="AF53" si="83">AF50*0.21</f>
        <v>-2.31</v>
      </c>
      <c r="AG53" s="712">
        <f t="shared" si="82"/>
        <v>-122.22</v>
      </c>
      <c r="AH53" s="646">
        <f t="shared" si="82"/>
        <v>-99.96</v>
      </c>
      <c r="AI53" s="646">
        <f t="shared" si="82"/>
        <v>318.77999999999997</v>
      </c>
      <c r="AJ53" s="646">
        <f t="shared" si="82"/>
        <v>-173.07000251614127</v>
      </c>
      <c r="AK53" s="646">
        <f t="shared" si="82"/>
        <v>2.94</v>
      </c>
      <c r="AL53" s="646">
        <f t="shared" si="82"/>
        <v>-182.07</v>
      </c>
      <c r="AM53" s="620">
        <f t="shared" si="82"/>
        <v>0</v>
      </c>
      <c r="AN53" s="476">
        <f>SUM(Y53:AM53)</f>
        <v>2931.3366483730251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(F81*'Exh. No. BGM-4 4-5'!$P$12)*-0.21</f>
        <v>6.9919289999999998</v>
      </c>
      <c r="G54" s="646">
        <f>(G81*'Exh. No. BGM-4 4-5'!$P$12)*-0.21</f>
        <v>3.9248999999999999E-2</v>
      </c>
      <c r="H54" s="646">
        <f>(H81*'Exh. No. BGM-4 4-5'!$P$12)*-0.21</f>
        <v>0</v>
      </c>
      <c r="I54" s="646">
        <f>(I81*'Exh. No. BGM-4 4-5'!$P$12)*-0.21</f>
        <v>33.855066000000001</v>
      </c>
      <c r="J54" s="646">
        <f>(J81*'Exh. No. BGM-4 4-5'!$P$12)*-0.21</f>
        <v>0</v>
      </c>
      <c r="K54" s="646">
        <f>(K81*'Exh. No. BGM-4 4-5'!$P$12)*-0.21</f>
        <v>0</v>
      </c>
      <c r="L54" s="646">
        <f>(L81*'Exh. No. BGM-4 4-5'!$P$12)*-0.21</f>
        <v>0</v>
      </c>
      <c r="M54" s="646">
        <f>(M81*'Exh. No. BGM-4 4-5'!$P$12)*-0.21</f>
        <v>0</v>
      </c>
      <c r="N54" s="646">
        <f>(N81*'Exh. No. BGM-4 4-5'!$P$12)*-0.21</f>
        <v>0</v>
      </c>
      <c r="O54" s="646"/>
      <c r="P54" s="646">
        <f>(P81*'Exh. No. BGM-4 4-5'!$P$12)*-0.21</f>
        <v>0</v>
      </c>
      <c r="Q54" s="646">
        <f>(Q81*'Exh. No. BGM-4 4-5'!$P$12)*-0.21</f>
        <v>0</v>
      </c>
      <c r="R54" s="646">
        <f>(R81*'Exh. No. BGM-4 4-5'!$P$12)*-0.21</f>
        <v>0</v>
      </c>
      <c r="S54" s="646">
        <f>(S81*'Exh. No. BGM-4 4-5'!$P$12)*-0.21</f>
        <v>0</v>
      </c>
      <c r="T54" s="646">
        <f>(T81*'Exh. No. BGM-4 4-5'!$P$12)*-0.21</f>
        <v>0</v>
      </c>
      <c r="U54" s="646">
        <f>(U81*'Exh. No. BGM-4 4-5'!$P$12)*-0.21</f>
        <v>0</v>
      </c>
      <c r="V54" s="646">
        <f>(V81*'Exh. No. BGM-4 4-5'!$P$12)*-0.21</f>
        <v>0</v>
      </c>
      <c r="W54" s="646"/>
      <c r="X54" s="646">
        <f>(X81*'Exh. No. BGM-4 4-5'!$P$12)*-0.21</f>
        <v>-180.94349700000001</v>
      </c>
      <c r="Y54" s="401">
        <f>SUM(E54:X54)</f>
        <v>-140.057253</v>
      </c>
      <c r="Z54" s="406"/>
      <c r="AA54" s="646">
        <f>(AA81*'Exh. No. BGM-4 4-5'!$P$12)*-0.21</f>
        <v>0</v>
      </c>
      <c r="AB54" s="646">
        <f>(AB81*'Exh. No. BGM-4 4-5'!$P$12)*-0.21</f>
        <v>-0.53266500000000006</v>
      </c>
      <c r="AC54" s="646">
        <f>(AC81*'Exh. No. BGM-4 4-5'!$P$12)*-0.21</f>
        <v>0</v>
      </c>
      <c r="AD54" s="646">
        <f>(AD81*'Exh. No. BGM-4 4-5'!$P$12)*-0.21</f>
        <v>0</v>
      </c>
      <c r="AE54" s="646">
        <f>(AE81*'Exh. No. BGM-4 4-5'!$P$12)*-0.21</f>
        <v>1.8785076030000001</v>
      </c>
      <c r="AF54" s="646">
        <f>(AF81*'Exh. No. BGM-4 4-5'!$P$12)*-0.21</f>
        <v>0</v>
      </c>
      <c r="AG54" s="712">
        <f>(AG81*'Exh. No. BGM-4 4-5'!$P$12)*-0.21</f>
        <v>0</v>
      </c>
      <c r="AH54" s="646">
        <f>(AH81*'Exh. No. BGM-4 4-5'!$P$12)*-0.21</f>
        <v>0</v>
      </c>
      <c r="AI54" s="646">
        <f>(AI81*'Exh. No. BGM-4 4-5'!$P$12)*-0.21</f>
        <v>0</v>
      </c>
      <c r="AJ54" s="646">
        <f>(AJ81*'Exh. No. BGM-4 4-5'!$P$12)*-0.21</f>
        <v>-124.76038083215256</v>
      </c>
      <c r="AK54" s="646">
        <f>(AK81*'Exh. No. BGM-4 4-5'!$P$12)*-0.21</f>
        <v>0</v>
      </c>
      <c r="AL54" s="646">
        <f>(AL81*'Exh. No. BGM-4 4-5'!$P$12)*-0.21</f>
        <v>0</v>
      </c>
      <c r="AM54" s="620">
        <f>(AM81*'Exh. No. BGM-4 4-5'!$P$12)*-0.21</f>
        <v>0</v>
      </c>
      <c r="AN54" s="476">
        <f>SUM(Y54:AM54)</f>
        <v>-263.47179122915259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2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6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3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2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6"/>
    </row>
    <row r="58" spans="1:40" s="3" customFormat="1" ht="12.75" thickBot="1">
      <c r="A58" s="158">
        <v>31</v>
      </c>
      <c r="B58" s="3" t="s">
        <v>59</v>
      </c>
      <c r="E58" s="447">
        <f>E50-SUM(E53:E56)</f>
        <v>24614</v>
      </c>
      <c r="F58" s="447">
        <f t="shared" ref="F58:P58" si="84">F50-SUM(F53:F56)</f>
        <v>-6.9919289999999998</v>
      </c>
      <c r="G58" s="447">
        <f>G50-SUM(G53:G56)</f>
        <v>-7.9392490000000002</v>
      </c>
      <c r="H58" s="447">
        <f t="shared" si="84"/>
        <v>0</v>
      </c>
      <c r="I58" s="447">
        <f t="shared" ref="I58" si="85">I50-SUM(I53:I56)</f>
        <v>-33.855066000000001</v>
      </c>
      <c r="J58" s="447">
        <f t="shared" si="84"/>
        <v>-11.06</v>
      </c>
      <c r="K58" s="447">
        <f>K50-SUM(K53:K56)</f>
        <v>-1.58</v>
      </c>
      <c r="L58" s="447">
        <f t="shared" si="84"/>
        <v>252.8</v>
      </c>
      <c r="M58" s="447">
        <f t="shared" si="84"/>
        <v>39.5</v>
      </c>
      <c r="N58" s="447">
        <f t="shared" si="84"/>
        <v>-42.66</v>
      </c>
      <c r="O58" s="447">
        <f t="shared" si="84"/>
        <v>0</v>
      </c>
      <c r="P58" s="447">
        <f t="shared" si="84"/>
        <v>13.43</v>
      </c>
      <c r="Q58" s="447">
        <f t="shared" ref="Q58:S58" si="86">Q50-SUM(Q53:Q56)</f>
        <v>0</v>
      </c>
      <c r="R58" s="447">
        <f t="shared" si="86"/>
        <v>10.27</v>
      </c>
      <c r="S58" s="447">
        <f t="shared" si="86"/>
        <v>4.74</v>
      </c>
      <c r="T58" s="447">
        <f t="shared" ref="T58" si="87">T50-SUM(T53:T56)</f>
        <v>-9.0000000000031832E-2</v>
      </c>
      <c r="U58" s="447">
        <f>U50-SUM(U53:U56)</f>
        <v>767.35823519762596</v>
      </c>
      <c r="V58" s="662">
        <f>V50-SUM(V53:V56)</f>
        <v>56.88</v>
      </c>
      <c r="W58" s="662">
        <f t="shared" ref="W58" si="88">W50-SUM(W53:W56)</f>
        <v>-176</v>
      </c>
      <c r="X58" s="662">
        <f>X50-SUM(X53:X56)</f>
        <v>-1060.1465029999999</v>
      </c>
      <c r="Y58" s="404">
        <f>Y50-SUM(Y53:Y56)+Y57</f>
        <v>24418.655488197626</v>
      </c>
      <c r="Z58" s="677"/>
      <c r="AA58" s="662">
        <f t="shared" ref="AA58" si="89">AA50-SUM(AA53:AA56)</f>
        <v>3680.7940356299678</v>
      </c>
      <c r="AB58" s="662">
        <f t="shared" ref="AB58" si="90">AB50-SUM(AB53:AB56)</f>
        <v>-1378.017335</v>
      </c>
      <c r="AC58" s="662">
        <f t="shared" ref="AC58" si="91">AC50-SUM(AC53:AC56)</f>
        <v>-551.71546000000001</v>
      </c>
      <c r="AD58" s="662">
        <f t="shared" ref="AD58:AF58" si="92">AD50-SUM(AD53:AD56)</f>
        <v>-80.58</v>
      </c>
      <c r="AE58" s="662">
        <f t="shared" si="92"/>
        <v>-135.06886984753891</v>
      </c>
      <c r="AF58" s="662">
        <f t="shared" si="92"/>
        <v>-8.69</v>
      </c>
      <c r="AG58" s="716">
        <f t="shared" ref="AG58:AL58" si="93">AG50-SUM(AG53:AG56)</f>
        <v>-459.78</v>
      </c>
      <c r="AH58" s="662">
        <f t="shared" si="93"/>
        <v>-376.04</v>
      </c>
      <c r="AI58" s="662">
        <f t="shared" si="93"/>
        <v>1199.22</v>
      </c>
      <c r="AJ58" s="662">
        <f t="shared" si="93"/>
        <v>-526.3124857761884</v>
      </c>
      <c r="AK58" s="662">
        <f t="shared" si="93"/>
        <v>11.06</v>
      </c>
      <c r="AL58" s="662">
        <f t="shared" si="93"/>
        <v>-684.93000000000006</v>
      </c>
      <c r="AM58" s="625">
        <f t="shared" ref="AM58" si="94">AM50-SUM(AM53:AM56)</f>
        <v>0</v>
      </c>
      <c r="AN58" s="477">
        <f>AN50-SUM(AN53:AN56)+AN57</f>
        <v>25108.595373203858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6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6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5"/>
      <c r="W61" s="646"/>
      <c r="X61" s="646"/>
      <c r="Y61" s="401"/>
      <c r="Z61" s="406"/>
      <c r="AA61" s="646"/>
      <c r="AB61" s="646"/>
      <c r="AC61" s="685"/>
      <c r="AD61" s="685"/>
      <c r="AE61" s="685"/>
      <c r="AF61" s="646"/>
      <c r="AG61" s="712"/>
      <c r="AH61" s="646"/>
      <c r="AI61" s="646"/>
      <c r="AJ61" s="648"/>
      <c r="AK61" s="646"/>
      <c r="AL61" s="646"/>
      <c r="AM61" s="620"/>
      <c r="AN61" s="476"/>
    </row>
    <row r="62" spans="1:40">
      <c r="A62" s="158">
        <v>32</v>
      </c>
      <c r="B62" s="4"/>
      <c r="C62" s="4" t="s">
        <v>42</v>
      </c>
      <c r="D62" s="4"/>
      <c r="E62" s="471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6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6">
        <v>0</v>
      </c>
      <c r="AD62" s="686">
        <v>0</v>
      </c>
      <c r="AE62" s="796">
        <f>+'Exh. No. BGM-4 1-2'!AA43</f>
        <v>-335.029</v>
      </c>
      <c r="AF62" s="645">
        <v>0</v>
      </c>
      <c r="AG62" s="711">
        <v>0</v>
      </c>
      <c r="AH62" s="645">
        <v>0</v>
      </c>
      <c r="AI62" s="645">
        <v>0</v>
      </c>
      <c r="AJ62" s="751">
        <v>0</v>
      </c>
      <c r="AK62" s="645">
        <v>0</v>
      </c>
      <c r="AL62" s="645">
        <v>0</v>
      </c>
      <c r="AM62" s="619">
        <v>0</v>
      </c>
      <c r="AN62" s="475">
        <f>SUM(Y62:AM62)</f>
        <v>28706.971000000001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5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5">
        <v>0</v>
      </c>
      <c r="AD63" s="685">
        <v>0</v>
      </c>
      <c r="AE63" s="685">
        <v>0</v>
      </c>
      <c r="AF63" s="646">
        <v>0</v>
      </c>
      <c r="AG63" s="712"/>
      <c r="AH63" s="646">
        <v>0</v>
      </c>
      <c r="AI63" s="646">
        <v>0</v>
      </c>
      <c r="AJ63" s="648">
        <v>14592</v>
      </c>
      <c r="AK63" s="646">
        <v>0</v>
      </c>
      <c r="AL63" s="646"/>
      <c r="AM63" s="620">
        <v>0</v>
      </c>
      <c r="AN63" s="476">
        <f>SUM(Y63:AM63)</f>
        <v>494596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7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7">
        <v>0</v>
      </c>
      <c r="AD64" s="687">
        <v>0</v>
      </c>
      <c r="AE64" s="687">
        <v>0</v>
      </c>
      <c r="AF64" s="647">
        <v>0</v>
      </c>
      <c r="AG64" s="713"/>
      <c r="AH64" s="647">
        <v>0</v>
      </c>
      <c r="AI64" s="647">
        <v>0</v>
      </c>
      <c r="AJ64" s="798">
        <f>8746+3180+SUM('Exh. No. BGM-4 1-2'!AA49:AA52)</f>
        <v>8918.825901935541</v>
      </c>
      <c r="AK64" s="647">
        <v>0</v>
      </c>
      <c r="AL64" s="647"/>
      <c r="AM64" s="621">
        <v>0</v>
      </c>
      <c r="AN64" s="472">
        <f>SUM(Y64:AM64)</f>
        <v>135906.82590193555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-335.029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23510.825901935539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6">
        <f t="shared" ref="AN65" si="106">SUM(AN62:AN64)</f>
        <v>659209.7969019356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6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2"/>
      <c r="AH67" s="646"/>
      <c r="AI67" s="646"/>
      <c r="AJ67" s="648"/>
      <c r="AK67" s="646"/>
      <c r="AL67" s="646"/>
      <c r="AM67" s="620"/>
      <c r="AN67" s="476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2">
        <v>0</v>
      </c>
      <c r="AH68" s="646">
        <v>0</v>
      </c>
      <c r="AI68" s="646">
        <v>0</v>
      </c>
      <c r="AJ68" s="752">
        <v>0</v>
      </c>
      <c r="AK68" s="646">
        <v>0</v>
      </c>
      <c r="AL68" s="646">
        <v>0</v>
      </c>
      <c r="AM68" s="620">
        <v>0</v>
      </c>
      <c r="AN68" s="476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2"/>
      <c r="AH69" s="646">
        <v>0</v>
      </c>
      <c r="AI69" s="646">
        <v>0</v>
      </c>
      <c r="AJ69" s="648">
        <v>-156</v>
      </c>
      <c r="AK69" s="646">
        <v>0</v>
      </c>
      <c r="AL69" s="646"/>
      <c r="AM69" s="620">
        <v>0</v>
      </c>
      <c r="AN69" s="476">
        <f>SUM(Y69:AM69)</f>
        <v>-148333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2"/>
      <c r="AH70" s="646">
        <v>0</v>
      </c>
      <c r="AI70" s="646">
        <v>0</v>
      </c>
      <c r="AJ70" s="647">
        <f>-234-263</f>
        <v>-497</v>
      </c>
      <c r="AK70" s="646">
        <v>0</v>
      </c>
      <c r="AL70" s="646"/>
      <c r="AM70" s="620">
        <v>0</v>
      </c>
      <c r="AN70" s="476">
        <f>SUM(Y70:AM70)</f>
        <v>-35189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7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f>SUM(AJ68:AJ70)</f>
        <v>-653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8">
        <f t="shared" ref="AN71" si="118">SUM(AN68:AN70)</f>
        <v>-195004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-335.029</v>
      </c>
      <c r="AF72" s="664">
        <f t="shared" si="119"/>
        <v>0</v>
      </c>
      <c r="AG72" s="718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f t="shared" si="125"/>
        <v>22857.825901935539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6">
        <f t="shared" si="119"/>
        <v>464205.7969019356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3"/>
      <c r="AH73" s="647">
        <v>0</v>
      </c>
      <c r="AI73" s="647"/>
      <c r="AJ73" s="647">
        <v>-607</v>
      </c>
      <c r="AK73" s="647"/>
      <c r="AL73" s="647"/>
      <c r="AM73" s="621"/>
      <c r="AN73" s="472">
        <f>SUM(Y73:AM73)</f>
        <v>-89888</v>
      </c>
      <c r="AO73" s="747"/>
      <c r="AP73" s="747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-335.029</v>
      </c>
      <c r="AF74" s="664">
        <f t="shared" si="126"/>
        <v>0</v>
      </c>
      <c r="AG74" s="718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f>AJ72+AJ73</f>
        <v>22250.825901935539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6">
        <f t="shared" ref="AN74" si="133">AN72+AN73</f>
        <v>374317.7969019356</v>
      </c>
      <c r="AO74" s="748"/>
      <c r="AP74" s="748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2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6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9">
        <v>0</v>
      </c>
      <c r="AH76" s="648">
        <v>0</v>
      </c>
      <c r="AI76" s="648"/>
      <c r="AJ76" s="648"/>
      <c r="AK76" s="648"/>
      <c r="AL76" s="648">
        <v>0</v>
      </c>
      <c r="AM76" s="623"/>
      <c r="AN76" s="476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9"/>
      <c r="AH77" s="648"/>
      <c r="AI77" s="648"/>
      <c r="AJ77" s="648"/>
      <c r="AK77" s="648"/>
      <c r="AL77" s="648"/>
      <c r="AM77" s="623"/>
      <c r="AN77" s="476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3">
        <v>0</v>
      </c>
      <c r="AH78" s="647">
        <v>0</v>
      </c>
      <c r="AI78" s="647"/>
      <c r="AJ78" s="647"/>
      <c r="AK78" s="647"/>
      <c r="AL78" s="647">
        <v>0</v>
      </c>
      <c r="AM78" s="621"/>
      <c r="AN78" s="472">
        <f>SUM(Y78:AM78)</f>
        <v>7549</v>
      </c>
    </row>
    <row r="79" spans="1:42" ht="7.5" customHeight="1">
      <c r="Z79" s="483"/>
      <c r="AJ79" s="399"/>
      <c r="AN79" s="474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6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-335.029</v>
      </c>
      <c r="AF81" s="665">
        <f t="shared" si="134"/>
        <v>0</v>
      </c>
      <c r="AG81" s="720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22250.825901935539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7">
        <f t="shared" ref="AN81" si="141">AN74+AN75+AN76+AN78+AN77</f>
        <v>395647.7969019356</v>
      </c>
    </row>
    <row r="82" spans="1:41" ht="12.75" thickTop="1">
      <c r="A82" s="158">
        <v>48</v>
      </c>
      <c r="B82" s="1" t="s">
        <v>453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53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-737.10069154754376</v>
      </c>
      <c r="F83" s="69">
        <f t="shared" ref="F83:AN83" si="142">F89</f>
        <v>-104.68704361437551</v>
      </c>
      <c r="G83" s="69">
        <f t="shared" si="142"/>
        <v>9.8742832246086056</v>
      </c>
      <c r="H83" s="69">
        <f t="shared" si="142"/>
        <v>0</v>
      </c>
      <c r="I83" s="69">
        <f t="shared" ref="I83" si="143">I89</f>
        <v>-506.89684790986314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56.494481657171463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-1016.2096986134961</v>
      </c>
      <c r="V83" s="649">
        <f>V89</f>
        <v>-75.325975542895293</v>
      </c>
      <c r="W83" s="649">
        <f>W89</f>
        <v>233.0761549850487</v>
      </c>
      <c r="X83" s="649">
        <f>X89</f>
        <v>4352.7574538019226</v>
      </c>
      <c r="Y83" s="69">
        <f t="shared" si="142"/>
        <v>1804.0856022533897</v>
      </c>
      <c r="Z83" s="69"/>
      <c r="AA83" s="649">
        <f>AA89</f>
        <v>-4874.462051798484</v>
      </c>
      <c r="AB83" s="649">
        <f>AB89</f>
        <v>1833.5840689799477</v>
      </c>
      <c r="AC83" s="649">
        <f t="shared" ref="AC83" si="146">AC89</f>
        <v>730.63476171936043</v>
      </c>
      <c r="AD83" s="649">
        <f t="shared" si="142"/>
        <v>106.71179868576831</v>
      </c>
      <c r="AE83" s="649">
        <f t="shared" si="142"/>
        <v>148.25744962712969</v>
      </c>
      <c r="AF83" s="649">
        <f t="shared" si="142"/>
        <v>11.50813515238678</v>
      </c>
      <c r="AG83" s="173">
        <f>AG89</f>
        <v>608.88496897173684</v>
      </c>
      <c r="AH83" s="649">
        <f t="shared" ref="AH83" si="147">AH89</f>
        <v>497.98839386691884</v>
      </c>
      <c r="AI83" s="649">
        <f>AI89</f>
        <v>-1588.1226510293757</v>
      </c>
      <c r="AJ83" s="649">
        <f>AJ89</f>
        <v>2730.1951125648447</v>
      </c>
      <c r="AK83" s="649">
        <f>AK89</f>
        <v>-14.646717466674085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2901.6691603559971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822"/>
      <c r="W84" s="822"/>
      <c r="X84" s="822"/>
      <c r="Y84" s="822"/>
      <c r="Z84" s="822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46" t="s">
        <v>555</v>
      </c>
      <c r="AJ85" s="354">
        <v>1800</v>
      </c>
      <c r="AK85" s="354"/>
      <c r="AL85" s="664"/>
      <c r="AM85" s="622"/>
      <c r="AN85" s="423"/>
      <c r="AO85" s="485"/>
    </row>
    <row r="86" spans="1:41" s="410" customFormat="1" ht="16.5" customHeight="1">
      <c r="A86" s="409"/>
      <c r="D86" s="411" t="s">
        <v>423</v>
      </c>
      <c r="E86" s="448">
        <f>'Exh. No. BGM-4 4-5'!N15</f>
        <v>6.9000000000000006E-2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3"/>
      <c r="AO86" s="485"/>
    </row>
    <row r="87" spans="1:41" s="410" customFormat="1" ht="17.25" customHeight="1">
      <c r="A87" s="342"/>
      <c r="D87" s="411" t="s">
        <v>491</v>
      </c>
      <c r="E87" s="490">
        <f>'Exh. No. BGM-4 6'!E27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-556.59799999999814</v>
      </c>
      <c r="F88" s="228">
        <f t="shared" si="150"/>
        <v>-79.051071000000007</v>
      </c>
      <c r="G88" s="228">
        <f t="shared" si="150"/>
        <v>7.4562490000000006</v>
      </c>
      <c r="H88" s="228">
        <f t="shared" si="150"/>
        <v>0</v>
      </c>
      <c r="I88" s="228">
        <f t="shared" si="150"/>
        <v>-382.76693399999999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42.66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-767.35823519762596</v>
      </c>
      <c r="V88" s="228">
        <f t="shared" si="150"/>
        <v>-56.88</v>
      </c>
      <c r="W88" s="228">
        <f t="shared" si="150"/>
        <v>176</v>
      </c>
      <c r="X88" s="228">
        <f t="shared" si="150"/>
        <v>3286.845503</v>
      </c>
      <c r="Y88" s="228">
        <f t="shared" si="150"/>
        <v>1362.2975118023751</v>
      </c>
      <c r="Z88" s="228"/>
      <c r="AA88" s="228">
        <f t="shared" si="150"/>
        <v>-3680.7940356299678</v>
      </c>
      <c r="AB88" s="228">
        <f t="shared" si="150"/>
        <v>1384.5723350000001</v>
      </c>
      <c r="AC88" s="228">
        <f t="shared" si="150"/>
        <v>551.71546000000001</v>
      </c>
      <c r="AD88" s="228">
        <f t="shared" si="150"/>
        <v>80.58</v>
      </c>
      <c r="AE88" s="228">
        <f t="shared" si="150"/>
        <v>111.9518688475389</v>
      </c>
      <c r="AF88" s="228">
        <f t="shared" ref="AF88" si="151">AF81*$E$86-AF58</f>
        <v>8.69</v>
      </c>
      <c r="AG88" s="226">
        <f t="shared" si="150"/>
        <v>459.78</v>
      </c>
      <c r="AH88" s="228">
        <f t="shared" si="150"/>
        <v>376.04</v>
      </c>
      <c r="AI88" s="228">
        <f t="shared" si="150"/>
        <v>-1199.22</v>
      </c>
      <c r="AJ88" s="228">
        <f t="shared" si="150"/>
        <v>2061.6194730097404</v>
      </c>
      <c r="AK88" s="228">
        <f t="shared" si="150"/>
        <v>-11.06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2191.1026130296996</v>
      </c>
    </row>
    <row r="89" spans="1:41" s="410" customFormat="1">
      <c r="A89" s="342"/>
      <c r="D89" s="411" t="s">
        <v>492</v>
      </c>
      <c r="E89" s="228">
        <f>E88/$E$87</f>
        <v>-737.10069154754376</v>
      </c>
      <c r="F89" s="228">
        <f>F88/$E$87</f>
        <v>-104.68704361437551</v>
      </c>
      <c r="G89" s="228">
        <f>G88/$E$87</f>
        <v>9.8742832246086056</v>
      </c>
      <c r="H89" s="228">
        <f>H88/$E$87</f>
        <v>0</v>
      </c>
      <c r="I89" s="228">
        <f>I88/$E$87</f>
        <v>-506.89684790986314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56.494481657171463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-1016.2096986134961</v>
      </c>
      <c r="V89" s="228">
        <f>V88/$E$87</f>
        <v>-75.325975542895293</v>
      </c>
      <c r="W89" s="228">
        <f>W88/$E$87</f>
        <v>233.0761549850487</v>
      </c>
      <c r="X89" s="228">
        <f>X88/$E$87</f>
        <v>4352.7574538019226</v>
      </c>
      <c r="Y89" s="228">
        <f t="shared" ref="Y89" si="155">Y88/$E$87</f>
        <v>1804.0856022533897</v>
      </c>
      <c r="Z89" s="228"/>
      <c r="AA89" s="228">
        <f>AA88/$E$87</f>
        <v>-4874.462051798484</v>
      </c>
      <c r="AB89" s="228">
        <f>AB88/$E$87</f>
        <v>1833.5840689799477</v>
      </c>
      <c r="AC89" s="228">
        <f t="shared" ref="AC89" si="156">AC88/$E$87</f>
        <v>730.63476171936043</v>
      </c>
      <c r="AD89" s="228">
        <f t="shared" ref="AD89:AF89" si="157">AD88/$E$87</f>
        <v>106.71179868576831</v>
      </c>
      <c r="AE89" s="228">
        <f t="shared" si="157"/>
        <v>148.25744962712969</v>
      </c>
      <c r="AF89" s="228">
        <f t="shared" si="157"/>
        <v>11.50813515238678</v>
      </c>
      <c r="AG89" s="226">
        <f>AG88/$E$87</f>
        <v>608.88496897173684</v>
      </c>
      <c r="AH89" s="228">
        <f t="shared" ref="AH89" si="158">AH88/$E$87</f>
        <v>497.98839386691884</v>
      </c>
      <c r="AI89" s="228">
        <f>AI88/$E$87</f>
        <v>-1588.1226510293757</v>
      </c>
      <c r="AJ89" s="228">
        <f>AJ88/$E$87</f>
        <v>2730.1951125648447</v>
      </c>
      <c r="AK89" s="228">
        <f>AK88/$E$87</f>
        <v>-14.646717466674085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2901.6691603559971</v>
      </c>
    </row>
    <row r="90" spans="1:41" s="410" customFormat="1">
      <c r="A90" s="342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14"/>
      <c r="Z90" s="414"/>
      <c r="AA90" s="445"/>
      <c r="AB90" s="445"/>
      <c r="AC90" s="445"/>
      <c r="AD90" s="445"/>
      <c r="AE90" s="445"/>
      <c r="AF90" s="445"/>
      <c r="AG90" s="174"/>
      <c r="AH90" s="445"/>
      <c r="AI90" s="445"/>
      <c r="AJ90" s="445"/>
      <c r="AK90" s="445"/>
      <c r="AL90" s="445"/>
      <c r="AM90" s="629"/>
      <c r="AN90" s="415"/>
    </row>
    <row r="91" spans="1:41" s="410" customFormat="1">
      <c r="A91" s="342"/>
      <c r="D91" s="411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14"/>
      <c r="Z91" s="414"/>
      <c r="AA91" s="445"/>
      <c r="AB91" s="445"/>
      <c r="AC91" s="445"/>
      <c r="AD91" s="445"/>
      <c r="AE91" s="445"/>
      <c r="AF91" s="445"/>
      <c r="AG91" s="174"/>
      <c r="AH91" s="445"/>
      <c r="AI91" s="445"/>
      <c r="AJ91" s="445"/>
      <c r="AK91" s="445"/>
      <c r="AL91" s="445"/>
      <c r="AM91" s="629"/>
      <c r="AN91" s="415"/>
    </row>
    <row r="92" spans="1:41" s="485" customFormat="1">
      <c r="A92" s="482"/>
      <c r="D92" s="481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25"/>
      <c r="Z92" s="425"/>
      <c r="AA92" s="480"/>
      <c r="AB92" s="480"/>
      <c r="AC92" s="480"/>
      <c r="AD92" s="480"/>
      <c r="AE92" s="480"/>
      <c r="AF92" s="480"/>
      <c r="AG92" s="721"/>
      <c r="AH92" s="480"/>
      <c r="AI92" s="480"/>
      <c r="AJ92" s="754"/>
      <c r="AK92" s="480"/>
      <c r="AL92" s="480"/>
      <c r="AM92" s="630"/>
      <c r="AN92" s="424"/>
    </row>
    <row r="93" spans="1:41" s="485" customFormat="1">
      <c r="A93" s="482"/>
      <c r="D93" s="486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25"/>
      <c r="Z93" s="425"/>
      <c r="AA93" s="480"/>
      <c r="AB93" s="480"/>
      <c r="AC93" s="480"/>
      <c r="AD93" s="480"/>
      <c r="AE93" s="480"/>
      <c r="AF93" s="480"/>
      <c r="AG93" s="721"/>
      <c r="AH93" s="480"/>
      <c r="AI93" s="480"/>
      <c r="AJ93" s="480"/>
      <c r="AK93" s="480"/>
      <c r="AL93" s="480"/>
      <c r="AM93" s="630"/>
      <c r="AN93" s="424"/>
    </row>
    <row r="94" spans="1:41" s="485" customFormat="1">
      <c r="A94" s="482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5"/>
      <c r="W94" s="399"/>
      <c r="X94" s="399"/>
      <c r="Y94" s="425"/>
      <c r="Z94" s="425"/>
      <c r="AA94" s="399"/>
      <c r="AB94" s="399"/>
      <c r="AC94" s="425"/>
      <c r="AD94" s="425"/>
      <c r="AE94" s="425"/>
      <c r="AF94" s="399"/>
      <c r="AG94" s="722"/>
      <c r="AH94" s="399"/>
      <c r="AI94" s="399"/>
      <c r="AJ94" s="399"/>
      <c r="AK94" s="399"/>
      <c r="AL94" s="399"/>
      <c r="AM94" s="631"/>
      <c r="AN94" s="484"/>
    </row>
    <row r="95" spans="1:41" s="485" customFormat="1">
      <c r="A95" s="482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5"/>
      <c r="W95" s="399"/>
      <c r="X95" s="399"/>
      <c r="Y95" s="425"/>
      <c r="Z95" s="425"/>
      <c r="AA95" s="399"/>
      <c r="AB95" s="399"/>
      <c r="AC95" s="425"/>
      <c r="AD95" s="425"/>
      <c r="AE95" s="425"/>
      <c r="AF95" s="399"/>
      <c r="AG95" s="722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  <c r="T96" s="479"/>
      <c r="U96" s="479"/>
      <c r="V96" s="425"/>
      <c r="W96" s="399"/>
      <c r="X96" s="399"/>
      <c r="Y96" s="483"/>
      <c r="Z96" s="483"/>
      <c r="AA96" s="399"/>
      <c r="AB96" s="399"/>
      <c r="AC96" s="425"/>
      <c r="AD96" s="425"/>
      <c r="AE96" s="425"/>
      <c r="AF96" s="399"/>
      <c r="AG96" s="722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  <c r="T97" s="479"/>
      <c r="U97" s="479"/>
      <c r="V97" s="425"/>
      <c r="W97" s="399"/>
      <c r="X97" s="399"/>
      <c r="Y97" s="483"/>
      <c r="Z97" s="483"/>
      <c r="AA97" s="399"/>
      <c r="AB97" s="399"/>
      <c r="AC97" s="425"/>
      <c r="AD97" s="425"/>
      <c r="AE97" s="425"/>
      <c r="AF97" s="399"/>
      <c r="AG97" s="722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  <c r="T98" s="479"/>
      <c r="U98" s="479"/>
      <c r="V98" s="425"/>
      <c r="W98" s="399"/>
      <c r="X98" s="399"/>
      <c r="Y98" s="483"/>
      <c r="Z98" s="483"/>
      <c r="AA98" s="399"/>
      <c r="AB98" s="399"/>
      <c r="AC98" s="425"/>
      <c r="AD98" s="425"/>
      <c r="AE98" s="425"/>
      <c r="AF98" s="399"/>
      <c r="AG98" s="722"/>
      <c r="AH98" s="399"/>
      <c r="AI98" s="399"/>
      <c r="AJ98" s="399"/>
      <c r="AK98" s="399"/>
      <c r="AL98" s="399"/>
      <c r="AM98" s="631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
</oddHead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8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824" t="str">
        <f>'Exh. No. BGM-4 7-11'!A2</f>
        <v>AVISTA 2020 WASHINGTON GRC - AWEC REPLY</v>
      </c>
      <c r="B1" s="824"/>
      <c r="C1" s="824"/>
      <c r="D1" s="824"/>
      <c r="E1" s="824"/>
      <c r="F1" s="824"/>
      <c r="G1" s="606"/>
      <c r="I1" s="139"/>
      <c r="J1" s="50"/>
    </row>
    <row r="2" spans="1:13">
      <c r="A2" s="825" t="s">
        <v>69</v>
      </c>
      <c r="B2" s="825"/>
      <c r="C2" s="825"/>
      <c r="D2" s="825"/>
      <c r="E2" s="825"/>
      <c r="F2" s="825"/>
      <c r="I2" s="139"/>
      <c r="J2" s="49"/>
    </row>
    <row r="3" spans="1:13" s="49" customFormat="1">
      <c r="A3" s="823" t="s">
        <v>147</v>
      </c>
      <c r="B3" s="823"/>
      <c r="C3" s="823"/>
      <c r="D3" s="823"/>
      <c r="E3" s="823"/>
      <c r="F3" s="823"/>
      <c r="G3" s="608"/>
      <c r="H3" s="509"/>
      <c r="I3" s="51"/>
      <c r="J3" s="52"/>
    </row>
    <row r="4" spans="1:13" s="49" customFormat="1">
      <c r="A4" s="823" t="str">
        <f>'Exh. No. BGM-4 3'!A3</f>
        <v>TWELVE MONTHS ENDED DECEMBER 31, 2018</v>
      </c>
      <c r="B4" s="823"/>
      <c r="C4" s="823"/>
      <c r="D4" s="823"/>
      <c r="E4" s="823"/>
      <c r="F4" s="823"/>
      <c r="G4" s="608"/>
      <c r="H4" s="509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09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3" t="s">
        <v>466</v>
      </c>
      <c r="B7" s="373"/>
      <c r="C7" s="373"/>
      <c r="D7" s="373"/>
      <c r="E7" s="373"/>
      <c r="F7" s="373"/>
      <c r="G7" s="608"/>
      <c r="H7" s="509"/>
      <c r="I7" s="49"/>
      <c r="J7" s="373"/>
    </row>
    <row r="8" spans="1:13">
      <c r="A8" s="416">
        <f>'Exh. No. BGM-4 7-11'!E$10</f>
        <v>1</v>
      </c>
      <c r="B8" s="288" t="str">
        <f>'Exh. No. BGM-4 7-11'!E$11</f>
        <v>G-ROO</v>
      </c>
      <c r="C8" s="60" t="str">
        <f>TRIM(CONCATENATE('Exh. No. BGM-4 7-11'!E$7," ",'Exh. No. BGM-4 7-11'!E$8," ",'Exh. No. BGM-4 7-11'!E$9))</f>
        <v>Per Results Report</v>
      </c>
      <c r="D8" s="61">
        <f>'Exh. No. BGM-4 7-11'!E$58</f>
        <v>24614</v>
      </c>
      <c r="E8" s="61">
        <f>'Exh. No. BGM-4 7-11'!E$81</f>
        <v>348658</v>
      </c>
      <c r="F8" s="504">
        <f>D8/E8</f>
        <v>7.0596401057770083E-2</v>
      </c>
      <c r="H8" s="607" t="s">
        <v>128</v>
      </c>
      <c r="I8" s="506" t="s">
        <v>541</v>
      </c>
      <c r="J8" s="123"/>
      <c r="K8" s="462"/>
      <c r="L8" s="462"/>
      <c r="M8" s="462"/>
    </row>
    <row r="9" spans="1:13">
      <c r="A9" s="416">
        <f>'Exh. No. BGM-4 7-11'!F$10</f>
        <v>1.01</v>
      </c>
      <c r="B9" s="288" t="str">
        <f>'Exh. No. BGM-4 7-11'!F$11</f>
        <v>G-DFIT</v>
      </c>
      <c r="C9" s="60" t="str">
        <f>TRIM(CONCATENATE('Exh. No. BGM-4 7-11'!F$7," ",'Exh. No. BGM-4 7-11'!F$8," ",'Exh. No. BGM-4 7-11'!F$9))</f>
        <v>Deferred FIT Rate Base</v>
      </c>
      <c r="D9" s="160">
        <f>'Exh. No. BGM-4 7-11'!F$58</f>
        <v>-6.9919289999999998</v>
      </c>
      <c r="E9" s="160">
        <f>'Exh. No. BGM-4 7-11'!F$81</f>
        <v>-1247</v>
      </c>
      <c r="H9" s="607" t="s">
        <v>128</v>
      </c>
      <c r="I9" s="694" t="s">
        <v>541</v>
      </c>
      <c r="J9" s="123"/>
      <c r="K9" s="462"/>
      <c r="L9" s="462"/>
      <c r="M9" s="462"/>
    </row>
    <row r="10" spans="1:13">
      <c r="A10" s="416">
        <f>'Exh. No. BGM-4 7-11'!G$10</f>
        <v>1.02</v>
      </c>
      <c r="B10" s="288" t="str">
        <f>'Exh. No. BGM-4 7-11'!G$11</f>
        <v>G-DDC</v>
      </c>
      <c r="C10" s="60" t="str">
        <f>TRIM(CONCATENATE('Exh. No. BGM-4 7-11'!G$7," ",'Exh. No. BGM-4 7-11'!G$8," ",'Exh. No. BGM-4 7-11'!G$9))</f>
        <v>Deferred Debits and Credits</v>
      </c>
      <c r="D10" s="160">
        <f>'Exh. No. BGM-4 7-11'!G$58</f>
        <v>-7.9392490000000002</v>
      </c>
      <c r="E10" s="160">
        <f>'Exh. No. BGM-4 7-11'!G$81</f>
        <v>-7</v>
      </c>
      <c r="H10" s="607" t="s">
        <v>472</v>
      </c>
      <c r="I10" s="698" t="s">
        <v>541</v>
      </c>
      <c r="J10" s="123"/>
      <c r="K10" s="462"/>
      <c r="L10" s="462"/>
      <c r="M10" s="462"/>
    </row>
    <row r="11" spans="1:13">
      <c r="A11" s="416">
        <f>'Exh. No. BGM-4 7-11'!H$10</f>
        <v>1.03</v>
      </c>
      <c r="B11" s="288" t="str">
        <f>'Exh. No. BGM-4 7-11'!H$11</f>
        <v>G-WC</v>
      </c>
      <c r="C11" s="60" t="str">
        <f>TRIM(CONCATENATE('Exh. No. BGM-4 7-11'!H$7," ",'Exh. No. BGM-4 7-11'!H$8," ",'Exh. No. BGM-4 7-11'!H$9))</f>
        <v>Working Capital</v>
      </c>
      <c r="D11" s="160">
        <f>'Exh. No. BGM-4 7-11'!H$58</f>
        <v>0</v>
      </c>
      <c r="E11" s="160">
        <f>'Exh. No. BGM-4 7-11'!H$81</f>
        <v>0</v>
      </c>
      <c r="H11" s="607" t="s">
        <v>128</v>
      </c>
      <c r="I11" s="694" t="s">
        <v>541</v>
      </c>
      <c r="J11" s="52"/>
    </row>
    <row r="12" spans="1:13" s="459" customFormat="1">
      <c r="A12" s="465">
        <f>'Exh. No. BGM-4 7-11'!I$10</f>
        <v>1.04</v>
      </c>
      <c r="B12" s="466" t="str">
        <f>'Exh. No. BGM-4 7-11'!I$11</f>
        <v>G-AMI</v>
      </c>
      <c r="C12" s="432" t="str">
        <f>TRIM(CONCATENATE('Exh. No. BGM-4 7-11'!I$7," ",'Exh. No. BGM-4 7-11'!I$8," ",'Exh. No. BGM-4 7-11'!I$9))</f>
        <v>Remove AMI Rate Base</v>
      </c>
      <c r="D12" s="461">
        <f>'Exh. No. BGM-4 7-11'!I$58</f>
        <v>-33.855066000000001</v>
      </c>
      <c r="E12" s="461">
        <f>'Exh. No. BGM-4 7-11'!I$81</f>
        <v>-6038</v>
      </c>
      <c r="F12" s="520"/>
      <c r="G12" s="607"/>
      <c r="H12" s="607" t="s">
        <v>128</v>
      </c>
      <c r="I12" s="694" t="s">
        <v>541</v>
      </c>
      <c r="J12" s="431"/>
    </row>
    <row r="13" spans="1:13">
      <c r="A13" s="416">
        <f>'Exh. No. BGM-4 7-11'!J$10</f>
        <v>2.0099999999999998</v>
      </c>
      <c r="B13" s="288" t="str">
        <f>'Exh. No. BGM-4 7-11'!J$11</f>
        <v>G-EBO</v>
      </c>
      <c r="C13" s="60" t="str">
        <f>TRIM(CONCATENATE('Exh. No. BGM-4 7-11'!J$7," ",'Exh. No. BGM-4 7-11'!J$8," ",'Exh. No. BGM-4 7-11'!J$9))</f>
        <v>Eliminate B &amp; O Taxes</v>
      </c>
      <c r="D13" s="160">
        <f>'Exh. No. BGM-4 7-11'!J$58</f>
        <v>-11.06</v>
      </c>
      <c r="E13" s="160">
        <f>'Exh. No. BGM-4 7-11'!J$81</f>
        <v>0</v>
      </c>
      <c r="H13" s="607" t="s">
        <v>456</v>
      </c>
      <c r="I13" s="694" t="s">
        <v>541</v>
      </c>
      <c r="J13" s="52"/>
    </row>
    <row r="14" spans="1:13">
      <c r="A14" s="416">
        <f>'Exh. No. BGM-4 7-11'!K$10</f>
        <v>2.0199999999999996</v>
      </c>
      <c r="B14" s="288" t="str">
        <f>'Exh. No. BGM-4 7-11'!K$11</f>
        <v>G-RPT</v>
      </c>
      <c r="C14" s="60" t="str">
        <f>TRIM(CONCATENATE('Exh. No. BGM-4 7-11'!K$7," ",'Exh. No. BGM-4 7-11'!K$8," ",'Exh. No. BGM-4 7-11'!K$9))</f>
        <v>Restate Property Tax</v>
      </c>
      <c r="D14" s="160">
        <f>'Exh. No. BGM-4 7-11'!K$58</f>
        <v>-1.58</v>
      </c>
      <c r="E14" s="160">
        <f>'Exh. No. BGM-4 7-11'!K$81</f>
        <v>0</v>
      </c>
      <c r="H14" s="607" t="s">
        <v>128</v>
      </c>
      <c r="I14" s="694" t="s">
        <v>541</v>
      </c>
      <c r="J14" s="52"/>
    </row>
    <row r="15" spans="1:13">
      <c r="A15" s="416">
        <f>'Exh. No. BGM-4 7-11'!L$10</f>
        <v>2.0299999999999994</v>
      </c>
      <c r="B15" s="288" t="str">
        <f>'Exh. No. BGM-4 7-11'!L$11</f>
        <v>G-UE</v>
      </c>
      <c r="C15" s="60" t="str">
        <f>TRIM(CONCATENATE('Exh. No. BGM-4 7-11'!L$7," ",'Exh. No. BGM-4 7-11'!L$8," ",'Exh. No. BGM-4 7-11'!L$9))</f>
        <v>Uncollectible Expense</v>
      </c>
      <c r="D15" s="160">
        <f>'Exh. No. BGM-4 7-11'!L$58</f>
        <v>252.8</v>
      </c>
      <c r="E15" s="160">
        <f>'Exh. No. BGM-4 7-11'!L$81</f>
        <v>0</v>
      </c>
      <c r="H15" s="607" t="s">
        <v>472</v>
      </c>
      <c r="I15" s="695" t="s">
        <v>541</v>
      </c>
      <c r="J15" s="52"/>
    </row>
    <row r="16" spans="1:13">
      <c r="A16" s="416">
        <f>'Exh. No. BGM-4 7-11'!M$10</f>
        <v>2.0399999999999991</v>
      </c>
      <c r="B16" s="288" t="str">
        <f>'Exh. No. BGM-4 7-11'!M$11</f>
        <v>G-RE</v>
      </c>
      <c r="C16" s="60" t="str">
        <f>TRIM(CONCATENATE('Exh. No. BGM-4 7-11'!M$7," ",'Exh. No. BGM-4 7-11'!M$8," ",'Exh. No. BGM-4 7-11'!M$9))</f>
        <v>Regulatory Expense</v>
      </c>
      <c r="D16" s="160">
        <f>'Exh. No. BGM-4 7-11'!M$58</f>
        <v>39.5</v>
      </c>
      <c r="E16" s="160">
        <f>'Exh. No. BGM-4 7-11'!M$81</f>
        <v>0</v>
      </c>
      <c r="H16" s="607" t="s">
        <v>472</v>
      </c>
      <c r="I16" s="696" t="s">
        <v>541</v>
      </c>
      <c r="J16" s="52"/>
    </row>
    <row r="17" spans="1:14">
      <c r="A17" s="416">
        <f>'Exh. No. BGM-4 7-11'!N$10</f>
        <v>2.0499999999999989</v>
      </c>
      <c r="B17" s="288" t="str">
        <f>'Exh. No. BGM-4 7-11'!N$11</f>
        <v>G-ID</v>
      </c>
      <c r="C17" s="60" t="str">
        <f>TRIM(CONCATENATE('Exh. No. BGM-4 7-11'!N$7," ",'Exh. No. BGM-4 7-11'!N$8," ",'Exh. No. BGM-4 7-11'!N$9))</f>
        <v>Injuries &amp; Damages</v>
      </c>
      <c r="D17" s="160">
        <f>'Exh. No. BGM-4 7-11'!N$58</f>
        <v>-42.66</v>
      </c>
      <c r="E17" s="160">
        <f>'Exh. No. BGM-4 7-11'!N$81</f>
        <v>0</v>
      </c>
      <c r="H17" s="607" t="s">
        <v>472</v>
      </c>
      <c r="I17" s="696" t="s">
        <v>541</v>
      </c>
      <c r="J17" s="52"/>
    </row>
    <row r="18" spans="1:14">
      <c r="A18" s="416">
        <f>'Exh. No. BGM-4 7-11'!O$10</f>
        <v>2.0599999999999987</v>
      </c>
      <c r="B18" s="288" t="str">
        <f>'Exh. No. BGM-4 7-11'!O$11</f>
        <v>G-FIT</v>
      </c>
      <c r="C18" s="60" t="str">
        <f>TRIM(CONCATENATE('Exh. No. BGM-4 7-11'!O$7," ",'Exh. No. BGM-4 7-11'!O$8," ",'Exh. No. BGM-4 7-11'!O$9))</f>
        <v>FIT / DFIT Expense</v>
      </c>
      <c r="D18" s="417">
        <f>'Exh. No. BGM-4 7-11'!O$58</f>
        <v>0</v>
      </c>
      <c r="E18" s="160">
        <f>'Exh. No. BGM-4 7-11'!O$81</f>
        <v>0</v>
      </c>
      <c r="H18" s="607" t="s">
        <v>456</v>
      </c>
      <c r="I18" s="694" t="s">
        <v>541</v>
      </c>
      <c r="J18" s="52"/>
    </row>
    <row r="19" spans="1:14">
      <c r="A19" s="416">
        <f>'Exh. No. BGM-4 7-11'!P$10</f>
        <v>2.0699999999999985</v>
      </c>
      <c r="B19" s="288" t="str">
        <f>'Exh. No. BGM-4 7-11'!P$11</f>
        <v>G-OSC</v>
      </c>
      <c r="C19" s="60" t="str">
        <f>TRIM(CONCATENATE('Exh. No. BGM-4 7-11'!P$7," ",'Exh. No. BGM-4 7-11'!P$8," ",'Exh. No. BGM-4 7-11'!P$9))</f>
        <v>Office Space Charges to Non-Utility</v>
      </c>
      <c r="D19" s="160">
        <f>'Exh. No. BGM-4 7-11'!P$58</f>
        <v>13.43</v>
      </c>
      <c r="E19" s="160">
        <f>'Exh. No. BGM-4 7-11'!P$81</f>
        <v>0</v>
      </c>
      <c r="H19" s="607" t="s">
        <v>472</v>
      </c>
      <c r="I19" s="696" t="s">
        <v>541</v>
      </c>
      <c r="J19" s="52"/>
    </row>
    <row r="20" spans="1:14">
      <c r="A20" s="416">
        <f>'Exh. No. BGM-4 7-11'!Q$10</f>
        <v>2.0799999999999983</v>
      </c>
      <c r="B20" s="288" t="str">
        <f>'Exh. No. BGM-4 7-11'!Q$11</f>
        <v>G-RET</v>
      </c>
      <c r="C20" s="60" t="str">
        <f>TRIM(CONCATENATE('Exh. No. BGM-4 7-11'!Q$7," ",'Exh. No. BGM-4 7-11'!Q$8," ",'Exh. No. BGM-4 7-11'!Q$9))</f>
        <v>Restate Excise Taxes</v>
      </c>
      <c r="D20" s="160">
        <f>'Exh. No. BGM-4 7-11'!Q$58</f>
        <v>0</v>
      </c>
      <c r="E20" s="160">
        <f>'Exh. No. BGM-4 7-11'!Q$81</f>
        <v>0</v>
      </c>
      <c r="H20" s="607" t="s">
        <v>456</v>
      </c>
      <c r="I20" s="696" t="s">
        <v>541</v>
      </c>
      <c r="J20" s="52"/>
    </row>
    <row r="21" spans="1:14">
      <c r="A21" s="416">
        <f>'Exh. No. BGM-4 7-11'!R$10</f>
        <v>2.0899999999999981</v>
      </c>
      <c r="B21" s="288" t="str">
        <f>'Exh. No. BGM-4 7-11'!R$11</f>
        <v>G-NGL</v>
      </c>
      <c r="C21" s="60" t="str">
        <f>TRIM(CONCATENATE('Exh. No. BGM-4 7-11'!R$7," ",'Exh. No. BGM-4 7-11'!R$8," ",'Exh. No. BGM-4 7-11'!R$9))</f>
        <v>Net Gains &amp; Losses</v>
      </c>
      <c r="D21" s="160">
        <f>'Exh. No. BGM-4 7-11'!R$58</f>
        <v>10.27</v>
      </c>
      <c r="E21" s="160">
        <f>'Exh. No. BGM-4 7-11'!R$81</f>
        <v>0</v>
      </c>
      <c r="H21" s="607" t="s">
        <v>472</v>
      </c>
      <c r="I21" s="696" t="s">
        <v>541</v>
      </c>
      <c r="J21" s="52"/>
    </row>
    <row r="22" spans="1:14">
      <c r="A22" s="416">
        <f>'Exh. No. BGM-4 7-11'!S$10</f>
        <v>2.0999999999999979</v>
      </c>
      <c r="B22" s="288" t="str">
        <f>'Exh. No. BGM-4 7-11'!S$11</f>
        <v>G-WNGC</v>
      </c>
      <c r="C22" s="60" t="str">
        <f>TRIM(CONCATENATE('Exh. No. BGM-4 7-11'!S$7," ",'Exh. No. BGM-4 7-11'!S$8," ",'Exh. No. BGM-4 7-11'!S$9))</f>
        <v>Weather Normalization / Gas Cost Adjust</v>
      </c>
      <c r="D22" s="160">
        <f>'Exh. No. BGM-4 7-11'!S$58</f>
        <v>4.74</v>
      </c>
      <c r="E22" s="160">
        <f>'Exh. No. BGM-4 7-11'!S$81</f>
        <v>0</v>
      </c>
      <c r="H22" s="607" t="s">
        <v>456</v>
      </c>
      <c r="I22" s="694" t="s">
        <v>541</v>
      </c>
      <c r="J22" s="52"/>
    </row>
    <row r="23" spans="1:14" s="427" customFormat="1">
      <c r="A23" s="442">
        <f>'Exh. No. BGM-4 7-11'!T$10</f>
        <v>2.1099999999999977</v>
      </c>
      <c r="B23" s="443" t="str">
        <f>'Exh. No. BGM-4 7-11'!T$11</f>
        <v>G-EAS</v>
      </c>
      <c r="C23" s="432" t="str">
        <f>TRIM(CONCATENATE('Exh. No. BGM-4 7-11'!T$7," ",'Exh. No. BGM-4 7-11'!T$8," ",'Exh. No. BGM-4 7-11'!T$9))</f>
        <v>Eliminate Adder Schedules</v>
      </c>
      <c r="D23" s="433">
        <f>'Exh. No. BGM-4 7-11'!T$58</f>
        <v>-9.0000000000031832E-2</v>
      </c>
      <c r="E23" s="433">
        <f>'Exh. No. BGM-4 7-11'!T$81</f>
        <v>0</v>
      </c>
      <c r="F23" s="429"/>
      <c r="G23" s="607"/>
      <c r="H23" s="607" t="s">
        <v>538</v>
      </c>
      <c r="I23" s="694" t="s">
        <v>541</v>
      </c>
      <c r="J23" s="431"/>
    </row>
    <row r="24" spans="1:14" s="124" customFormat="1">
      <c r="A24" s="416">
        <f>'Exh. No. BGM-4 7-11'!U$10</f>
        <v>2.1199999999999974</v>
      </c>
      <c r="B24" s="288" t="str">
        <f>'Exh. No. BGM-4 7-11'!U$11</f>
        <v>G-MR</v>
      </c>
      <c r="C24" s="418" t="str">
        <f>TRIM(CONCATENATE('Exh. No. BGM-4 7-11'!U$7," ",'Exh. No. BGM-4 7-11'!U$8," ",'Exh. No. BGM-4 7-11'!U$9))</f>
        <v>Misc. Restating Non-Util / Non- Recurring Expense</v>
      </c>
      <c r="D24" s="417">
        <f>'Exh. No. BGM-4 7-11'!U$58</f>
        <v>767.35823519762596</v>
      </c>
      <c r="E24" s="417">
        <f>'Exh. No. BGM-4 7-11'!U$81</f>
        <v>0</v>
      </c>
      <c r="F24" s="62"/>
      <c r="H24" s="607" t="s">
        <v>472</v>
      </c>
      <c r="I24" s="699" t="s">
        <v>541</v>
      </c>
      <c r="J24" s="123"/>
    </row>
    <row r="25" spans="1:14" s="459" customFormat="1" ht="13.5" customHeight="1">
      <c r="A25" s="465">
        <f>'Exh. No. BGM-4 7-11'!V$10</f>
        <v>2.1299999999999972</v>
      </c>
      <c r="B25" s="466" t="str">
        <f>'Exh. No. BGM-4 7-11'!V$11</f>
        <v>G-RI</v>
      </c>
      <c r="C25" s="432" t="str">
        <f>TRIM(CONCATENATE('Exh. No. BGM-4 7-11'!V$7," ",'Exh. No. BGM-4 7-11'!V$8," ",'Exh. No. BGM-4 7-11'!V$9))</f>
        <v>Restating Incentives Expense</v>
      </c>
      <c r="D25" s="461">
        <f>'Exh. No. BGM-4 7-11'!V$58</f>
        <v>56.88</v>
      </c>
      <c r="E25" s="461">
        <f>'Exh. No. BGM-4 7-11'!V$81</f>
        <v>0</v>
      </c>
      <c r="F25" s="511"/>
      <c r="H25" s="607" t="s">
        <v>238</v>
      </c>
      <c r="I25" s="696" t="s">
        <v>541</v>
      </c>
      <c r="J25" s="431"/>
    </row>
    <row r="26" spans="1:14" s="124" customFormat="1" ht="13.5" customHeight="1">
      <c r="A26" s="416">
        <f>'Exh. No. BGM-4 7-11'!W$10</f>
        <v>2.139999999999997</v>
      </c>
      <c r="B26" s="288" t="str">
        <f>'Exh. No. BGM-4 7-11'!W$11</f>
        <v>G-DI</v>
      </c>
      <c r="C26" s="418" t="str">
        <f>TRIM(CONCATENATE('Exh. No. BGM-4 7-11'!W$7," ",'Exh. No. BGM-4 7-11'!W$8," ",'Exh. No. BGM-4 7-11'!W$9))</f>
        <v>Restate Debt Interest</v>
      </c>
      <c r="D26" s="417">
        <f>'Exh. No. BGM-4 7-11'!W$58</f>
        <v>-176</v>
      </c>
      <c r="E26" s="417">
        <f>'Exh. No. BGM-4 7-11'!W$81</f>
        <v>0</v>
      </c>
      <c r="F26" s="62"/>
      <c r="G26" s="607"/>
      <c r="H26" s="607" t="s">
        <v>128</v>
      </c>
      <c r="I26" s="723" t="s">
        <v>541</v>
      </c>
    </row>
    <row r="27" spans="1:14" s="462" customFormat="1" ht="13.5" customHeight="1">
      <c r="A27" s="465">
        <f>'Exh. No. BGM-4 7-11'!X$10</f>
        <v>2.1499999999999968</v>
      </c>
      <c r="B27" s="466" t="str">
        <f>'Exh. No. BGM-4 7-11'!X$11</f>
        <v>G-EOP18</v>
      </c>
      <c r="C27" s="464" t="str">
        <f>TRIM(CONCATENATE('Exh. No. BGM-4 7-11'!X$7," ",'Exh. No. BGM-4 7-11'!X$8," ",'Exh. No. BGM-4 7-11'!X$9))</f>
        <v>Restate 2018 AMA Rate Base to EOP</v>
      </c>
      <c r="D27" s="417">
        <f>'Exh. No. BGM-4 7-11'!X$58</f>
        <v>-1060.1465029999999</v>
      </c>
      <c r="E27" s="417">
        <f>'Exh. No. BGM-4 7-11'!X$81</f>
        <v>32271</v>
      </c>
      <c r="F27" s="62"/>
      <c r="H27" s="607" t="s">
        <v>437</v>
      </c>
      <c r="I27" s="694" t="s">
        <v>541</v>
      </c>
      <c r="N27" s="462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24418.655488197626</v>
      </c>
      <c r="E28" s="63">
        <f>SUM(E8:E27)</f>
        <v>373637</v>
      </c>
      <c r="F28" s="504">
        <f>D28/E28</f>
        <v>6.5353954475059012E-2</v>
      </c>
      <c r="H28" s="509"/>
      <c r="I28" s="49"/>
      <c r="J28" s="504"/>
    </row>
    <row r="29" spans="1:14" ht="13.5" customHeight="1" thickTop="1">
      <c r="A29" s="159" t="s">
        <v>432</v>
      </c>
      <c r="B29" s="288"/>
      <c r="D29" s="60"/>
      <c r="H29" s="509"/>
      <c r="I29" s="49"/>
      <c r="J29" s="52"/>
    </row>
    <row r="30" spans="1:14" s="427" customFormat="1">
      <c r="A30" s="442">
        <f>'Exh. No. BGM-4 7-11'!AA$10</f>
        <v>3.01</v>
      </c>
      <c r="B30" s="443" t="str">
        <f>'Exh. No. BGM-4 7-11'!AA$11</f>
        <v>G-PREV</v>
      </c>
      <c r="C30" s="440" t="str">
        <f>TRIM(CONCATENATE('Exh. No. BGM-4 7-11'!AA$7," ",'Exh. No. BGM-4 7-11'!AA$8," ",'Exh. No. BGM-4 7-11'!AA$9))</f>
        <v>Pro Forma Revenue Normalization</v>
      </c>
      <c r="D30" s="433">
        <f>'Exh. No. BGM-4 7-11'!AA$58</f>
        <v>3680.7940356299678</v>
      </c>
      <c r="E30" s="433">
        <f>'Exh. No. BGM-4 7-11'!AA$81</f>
        <v>0</v>
      </c>
      <c r="F30" s="512"/>
      <c r="G30" s="607"/>
      <c r="H30" s="607" t="s">
        <v>539</v>
      </c>
      <c r="I30" s="696" t="s">
        <v>541</v>
      </c>
      <c r="J30" s="459"/>
      <c r="K30" s="436"/>
    </row>
    <row r="31" spans="1:14" s="459" customFormat="1">
      <c r="A31" s="465">
        <f>'Exh. No. BGM-4 7-11'!AB$10</f>
        <v>3.0199999999999996</v>
      </c>
      <c r="B31" s="466" t="str">
        <f>'Exh. No. BGM-4 7-11'!AB$11</f>
        <v>G-PLEAP</v>
      </c>
      <c r="C31" s="464" t="str">
        <f>TRIM(CONCATENATE('Exh. No. BGM-4 7-11'!AB$7," ",'Exh. No. BGM-4 7-11'!AB$8," ",'Exh. No. BGM-4 7-11'!AB$9))</f>
        <v>Pro Forma LEAP Deferral Amortization</v>
      </c>
      <c r="D31" s="461">
        <f>'Exh. No. BGM-4 7-11'!AB$58</f>
        <v>-1378.017335</v>
      </c>
      <c r="E31" s="461">
        <f>'Exh. No. BGM-4 7-11'!AB$81</f>
        <v>95</v>
      </c>
      <c r="F31" s="499"/>
      <c r="G31" s="607"/>
      <c r="H31" s="607" t="s">
        <v>456</v>
      </c>
      <c r="I31" s="701" t="s">
        <v>541</v>
      </c>
      <c r="J31" s="123"/>
      <c r="K31" s="462"/>
    </row>
    <row r="32" spans="1:14">
      <c r="A32" s="416">
        <f>'Exh. No. BGM-4 7-11'!AC$10</f>
        <v>3.0299999999999994</v>
      </c>
      <c r="B32" s="288" t="str">
        <f>'Exh. No. BGM-4 7-11'!AC$11</f>
        <v>G-PLN</v>
      </c>
      <c r="C32" s="60" t="str">
        <f>TRIM(CONCATENATE('Exh. No. BGM-4 7-11'!AC$7," ",'Exh. No. BGM-4 7-11'!AC$8," ",'Exh. No. BGM-4 7-11'!AC$9))</f>
        <v>Pro Forma Labor Non-Exec</v>
      </c>
      <c r="D32" s="160">
        <f>'Exh. No. BGM-4 7-11'!AC$58</f>
        <v>-551.71546000000001</v>
      </c>
      <c r="E32" s="160">
        <f>'Exh. No. BGM-4 7-11'!AC$81</f>
        <v>0</v>
      </c>
      <c r="H32" s="607" t="s">
        <v>238</v>
      </c>
      <c r="I32" s="698" t="s">
        <v>541</v>
      </c>
      <c r="J32" s="52"/>
    </row>
    <row r="33" spans="1:11" ht="13.5" customHeight="1">
      <c r="A33" s="416">
        <f>'Exh. No. BGM-4 7-11'!AD$10</f>
        <v>3.0399999999999991</v>
      </c>
      <c r="B33" s="288" t="str">
        <f>'Exh. No. BGM-4 7-11'!AD$11</f>
        <v>G-PLE</v>
      </c>
      <c r="C33" s="60" t="str">
        <f>TRIM(CONCATENATE('Exh. No. BGM-4 7-11'!AD$7," ",'Exh. No. BGM-4 7-11'!AD$8," ",'Exh. No. BGM-4 7-11'!AD$9))</f>
        <v>Pro Forma Labor Exec</v>
      </c>
      <c r="D33" s="160">
        <f>'Exh. No. BGM-4 7-11'!AD$58</f>
        <v>-80.58</v>
      </c>
      <c r="E33" s="160">
        <f>'Exh. No. BGM-4 7-11'!AD$81</f>
        <v>0</v>
      </c>
      <c r="H33" s="607" t="s">
        <v>238</v>
      </c>
      <c r="I33" s="698" t="s">
        <v>541</v>
      </c>
      <c r="J33" s="52"/>
    </row>
    <row r="34" spans="1:11">
      <c r="A34" s="416">
        <f>'Exh. No. BGM-4 7-11'!AE$10</f>
        <v>3.0499999999999989</v>
      </c>
      <c r="B34" s="288" t="str">
        <f>'Exh. No. BGM-4 7-11'!AE$11</f>
        <v>G-PEB</v>
      </c>
      <c r="C34" s="60" t="str">
        <f>TRIM(CONCATENATE('Exh. No. BGM-4 7-11'!AE$7," ",'Exh. No. BGM-4 7-11'!AE$8," ",'Exh. No. BGM-4 7-11'!AE$9))</f>
        <v>Pro Forma Employee Benefits</v>
      </c>
      <c r="D34" s="160">
        <f>'Exh. No. BGM-4 7-11'!AE$58</f>
        <v>-135.06886984753891</v>
      </c>
      <c r="E34" s="160">
        <f>'Exh. No. BGM-4 7-11'!AE$81</f>
        <v>-335.029</v>
      </c>
      <c r="H34" s="607" t="s">
        <v>238</v>
      </c>
      <c r="I34" s="698" t="s">
        <v>541</v>
      </c>
      <c r="J34" s="52"/>
    </row>
    <row r="35" spans="1:11" s="124" customFormat="1" ht="14.25" customHeight="1">
      <c r="A35" s="416">
        <f>'Exh. No. BGM-4 7-11'!AF$10</f>
        <v>3.0599999999999987</v>
      </c>
      <c r="B35" s="288" t="str">
        <f>'Exh. No. BGM-4 7-11'!AF$11</f>
        <v>G-PINS</v>
      </c>
      <c r="C35" s="418" t="str">
        <f>TRIM(CONCATENATE('Exh. No. BGM-4 7-11'!AF$7," ",'Exh. No. BGM-4 7-11'!AF$8," ",'Exh. No. BGM-4 7-11'!AF$9))</f>
        <v>Pro Forma Insurance Expense</v>
      </c>
      <c r="D35" s="417">
        <f>'Exh. No. BGM-4 7-11'!AF$58</f>
        <v>-8.69</v>
      </c>
      <c r="E35" s="417">
        <f>'Exh. No. BGM-4 7-11'!AF$81</f>
        <v>0</v>
      </c>
      <c r="F35" s="62"/>
      <c r="H35" s="607" t="s">
        <v>473</v>
      </c>
      <c r="I35" s="701" t="s">
        <v>541</v>
      </c>
      <c r="J35" s="123"/>
    </row>
    <row r="36" spans="1:11" s="459" customFormat="1">
      <c r="A36" s="465">
        <f>'Exh. No. BGM-4 7-11'!AG$10</f>
        <v>3.0699999999999985</v>
      </c>
      <c r="B36" s="466" t="str">
        <f>'Exh. No. BGM-4 7-11'!AG$11</f>
        <v>G-PIT</v>
      </c>
      <c r="C36" s="464" t="str">
        <f>TRIM(CONCATENATE('Exh. No. BGM-4 7-11'!AG$7," ",'Exh. No. BGM-4 7-11'!AG$8," ",'Exh. No. BGM-4 7-11'!AG$9))</f>
        <v>Pro Forma IS/IT Expense</v>
      </c>
      <c r="D36" s="461">
        <f>'Exh. No. BGM-4 7-11'!AG$58</f>
        <v>-459.78</v>
      </c>
      <c r="E36" s="461">
        <f>'Exh. No. BGM-4 7-11'!AG$81</f>
        <v>0</v>
      </c>
      <c r="F36" s="460"/>
      <c r="H36" s="607" t="s">
        <v>473</v>
      </c>
      <c r="I36" s="702" t="s">
        <v>541</v>
      </c>
      <c r="J36" s="123"/>
      <c r="K36" s="462"/>
    </row>
    <row r="37" spans="1:11">
      <c r="A37" s="416">
        <f>'Exh. No. BGM-4 7-11'!AH$10</f>
        <v>3.0799999999999983</v>
      </c>
      <c r="B37" s="288" t="str">
        <f>'Exh. No. BGM-4 7-11'!AH$11</f>
        <v>G-PPT</v>
      </c>
      <c r="C37" s="60" t="str">
        <f>TRIM(CONCATENATE('Exh. No. BGM-4 7-11'!AH$7," ",'Exh. No. BGM-4 7-11'!AH$8," ",'Exh. No. BGM-4 7-11'!AH$9))</f>
        <v>Pro Forma Property Tax</v>
      </c>
      <c r="D37" s="160">
        <f>'Exh. No. BGM-4 7-11'!AH$58</f>
        <v>-376.04</v>
      </c>
      <c r="E37" s="160">
        <f>'Exh. No. BGM-4 7-11'!AH$81</f>
        <v>0</v>
      </c>
      <c r="H37" s="607" t="s">
        <v>128</v>
      </c>
      <c r="I37" s="698" t="s">
        <v>541</v>
      </c>
      <c r="J37" s="123"/>
      <c r="K37" s="124"/>
    </row>
    <row r="38" spans="1:11" s="459" customFormat="1">
      <c r="A38" s="465">
        <f>'Exh. No. BGM-4 7-11'!AI$10</f>
        <v>3.0899999999999981</v>
      </c>
      <c r="B38" s="466" t="str">
        <f>'Exh. No. BGM-4 7-11'!AI$11</f>
        <v>G-PDEP</v>
      </c>
      <c r="C38" s="464" t="str">
        <f>TRIM(CONCATENATE('Exh. No. BGM-4 7-11'!AI$7," ",'Exh. No. BGM-4 7-11'!AI$8," ",'Exh. No. BGM-4 7-11'!AI$9))</f>
        <v>Pro Forma Depreciation Expense</v>
      </c>
      <c r="D38" s="461">
        <f>'Exh. No. BGM-4 7-11'!AI$58</f>
        <v>1199.22</v>
      </c>
      <c r="E38" s="461">
        <f>'Exh. No. BGM-4 7-11'!AI$81</f>
        <v>0</v>
      </c>
      <c r="F38" s="460"/>
      <c r="G38" s="610"/>
      <c r="H38" s="610" t="s">
        <v>160</v>
      </c>
      <c r="I38" s="698" t="s">
        <v>541</v>
      </c>
      <c r="J38" s="123"/>
      <c r="K38" s="462"/>
    </row>
    <row r="39" spans="1:11" s="459" customFormat="1">
      <c r="A39" s="465">
        <f>'Exh. No. BGM-4 7-11'!AJ$10</f>
        <v>3.0999999999999979</v>
      </c>
      <c r="B39" s="466" t="str">
        <f>'Exh. No. BGM-4 7-11'!AJ$11</f>
        <v>G-PCAP</v>
      </c>
      <c r="C39" s="464" t="str">
        <f>TRIM(CONCATENATE('Exh. No. BGM-4 7-11'!AJ$7," ",'Exh. No. BGM-4 7-11'!AJ$8," ",'Exh. No. BGM-4 7-11'!AJ$9))</f>
        <v>Pro Forma 2019 Major Capital Adds</v>
      </c>
      <c r="D39" s="461">
        <f>'Exh. No. BGM-4 7-11'!AJ$58</f>
        <v>-526.3124857761884</v>
      </c>
      <c r="E39" s="461">
        <f>'Exh. No. BGM-4 7-11'!AJ$81</f>
        <v>22250.825901935539</v>
      </c>
      <c r="F39" s="460"/>
      <c r="G39" s="610"/>
      <c r="H39" s="610" t="s">
        <v>160</v>
      </c>
      <c r="I39" s="698" t="s">
        <v>541</v>
      </c>
      <c r="J39" s="123"/>
      <c r="K39" s="462"/>
    </row>
    <row r="40" spans="1:11" s="459" customFormat="1">
      <c r="A40" s="465">
        <f>'Exh. No. BGM-4 7-11'!AK$10</f>
        <v>3.1099999999999977</v>
      </c>
      <c r="B40" s="466" t="str">
        <f>'Exh. No. BGM-4 7-11'!AK$11</f>
        <v>G-POFF</v>
      </c>
      <c r="C40" s="464" t="str">
        <f>TRIM(CONCATENATE('Exh. No. BGM-4 7-11'!AK$7," ",'Exh. No. BGM-4 7-11'!AK$8," ",'Exh. No. BGM-4 7-11'!AK$9))</f>
        <v>Pro Forma O&amp;M Offsets</v>
      </c>
      <c r="D40" s="461">
        <f>'Exh. No. BGM-4 7-11'!AK$58</f>
        <v>11.06</v>
      </c>
      <c r="E40" s="461">
        <f>'Exh. No. BGM-4 7-11'!AK$81</f>
        <v>0</v>
      </c>
      <c r="F40" s="460"/>
      <c r="G40" s="610"/>
      <c r="H40" s="610" t="s">
        <v>437</v>
      </c>
      <c r="I40" s="702" t="s">
        <v>541</v>
      </c>
      <c r="J40" s="123"/>
      <c r="K40" s="462"/>
    </row>
    <row r="41" spans="1:11" s="459" customFormat="1">
      <c r="A41" s="465">
        <f>'Exh. No. BGM-4 7-11'!AL$10</f>
        <v>3.1199999999999974</v>
      </c>
      <c r="B41" s="466" t="str">
        <f>'Exh. No. BGM-4 7-11'!AL$11</f>
        <v>G-PFEE</v>
      </c>
      <c r="C41" s="464" t="str">
        <f>TRIM(CONCATENATE('Exh. No. BGM-4 7-11'!AL$7," ",'Exh. No. BGM-4 7-11'!AL$8," ",'Exh. No. BGM-4 7-11'!AL$9))</f>
        <v>Pro Forma Fee Free Amortization</v>
      </c>
      <c r="D41" s="461">
        <f>'Exh. No. BGM-4 7-11'!AL$58</f>
        <v>-684.93000000000006</v>
      </c>
      <c r="E41" s="461">
        <f>'Exh. No. BGM-4 7-11'!AL$81</f>
        <v>0</v>
      </c>
      <c r="F41" s="513"/>
      <c r="H41" s="607" t="s">
        <v>473</v>
      </c>
      <c r="I41" s="723" t="s">
        <v>541</v>
      </c>
      <c r="J41" s="123"/>
      <c r="K41" s="462"/>
    </row>
    <row r="42" spans="1:11" s="459" customFormat="1" hidden="1">
      <c r="A42" s="465">
        <f>'Exh. No. BGM-4 7-11'!AM$10</f>
        <v>3.1299999999999972</v>
      </c>
      <c r="B42" s="466" t="str">
        <f>'Exh. No. BGM-4 7-11'!AM$11</f>
        <v>G-P</v>
      </c>
      <c r="C42" s="464" t="str">
        <f>TRIM(CONCATENATE('Exh. No. BGM-4 7-11'!AM$7," ",'Exh. No. BGM-4 7-11'!AM$8," ",'Exh. No. BGM-4 7-11'!AM$9))</f>
        <v>Pro Forma Open</v>
      </c>
      <c r="D42" s="461">
        <f>'Exh. No. BGM-4 7-11'!AM$58</f>
        <v>0</v>
      </c>
      <c r="E42" s="461">
        <f>'Exh. No. BGM-4 7-11'!AM$81</f>
        <v>0</v>
      </c>
      <c r="F42" s="460"/>
      <c r="G42" s="607"/>
      <c r="H42" s="508"/>
      <c r="I42" s="514"/>
      <c r="K42" s="462"/>
    </row>
    <row r="43" spans="1:11" s="459" customFormat="1" ht="13.5" thickBot="1">
      <c r="A43" s="465"/>
      <c r="B43" s="466"/>
      <c r="C43" s="459" t="s">
        <v>123</v>
      </c>
      <c r="D43" s="63">
        <f>SUM(D28:D41)</f>
        <v>25108.595373203869</v>
      </c>
      <c r="E43" s="63">
        <f>SUM(E28:E41)</f>
        <v>395647.79690193554</v>
      </c>
      <c r="F43" s="504">
        <f>D43/E43</f>
        <v>6.3461987074901458E-2</v>
      </c>
      <c r="G43" s="607"/>
      <c r="H43" s="508"/>
      <c r="J43" s="123"/>
      <c r="K43" s="462"/>
    </row>
    <row r="44" spans="1:11" ht="13.5" thickTop="1"/>
    <row r="45" spans="1:11">
      <c r="C45" s="36" t="s">
        <v>141</v>
      </c>
      <c r="H45" s="607" t="s">
        <v>472</v>
      </c>
      <c r="I45" s="696" t="s">
        <v>541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829" t="s">
        <v>112</v>
      </c>
      <c r="B1" s="829"/>
      <c r="C1" s="829"/>
      <c r="D1" s="829"/>
      <c r="E1" s="829"/>
      <c r="F1" s="829"/>
      <c r="G1" s="829"/>
      <c r="H1" s="829"/>
    </row>
    <row r="2" spans="1:9">
      <c r="A2" s="830" t="s">
        <v>124</v>
      </c>
      <c r="B2" s="830"/>
      <c r="C2" s="830"/>
      <c r="D2" s="830"/>
      <c r="E2" s="830"/>
      <c r="F2" s="830"/>
      <c r="G2" s="830"/>
      <c r="H2" s="830"/>
    </row>
    <row r="3" spans="1:9">
      <c r="A3" s="830" t="s">
        <v>236</v>
      </c>
      <c r="B3" s="830"/>
      <c r="C3" s="830"/>
      <c r="D3" s="830"/>
      <c r="E3" s="830"/>
      <c r="F3" s="830"/>
      <c r="G3" s="830"/>
      <c r="H3" s="830"/>
    </row>
    <row r="4" spans="1:9">
      <c r="A4" s="831" t="str">
        <f>'ROO INPUT'!A5:C5</f>
        <v>TWELVE MONTHS ENDED DECEMBER 31, 2018</v>
      </c>
      <c r="B4" s="831"/>
      <c r="C4" s="831"/>
      <c r="D4" s="831"/>
      <c r="E4" s="831"/>
      <c r="F4" s="831"/>
      <c r="G4" s="831"/>
      <c r="H4" s="831"/>
    </row>
    <row r="5" spans="1:9">
      <c r="A5" s="832" t="s">
        <v>115</v>
      </c>
      <c r="B5" s="832"/>
      <c r="C5" s="832"/>
      <c r="D5" s="832"/>
      <c r="E5" s="832"/>
      <c r="F5" s="832"/>
      <c r="G5" s="832"/>
      <c r="H5" s="832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826" t="s">
        <v>124</v>
      </c>
      <c r="F7" s="827"/>
      <c r="G7" s="828"/>
      <c r="I7" s="234" t="s">
        <v>208</v>
      </c>
    </row>
    <row r="8" spans="1:9">
      <c r="C8" s="237"/>
      <c r="D8" s="237"/>
      <c r="E8" s="235">
        <f>'Exh. No. BGM-4 7-11'!W10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175.65999999999985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34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-181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-335.029</v>
      </c>
      <c r="G35" s="289">
        <f t="shared" si="5"/>
        <v>-335.029</v>
      </c>
      <c r="H35" s="289"/>
      <c r="I35" s="289">
        <f t="shared" si="0"/>
        <v>2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22250.825901935539</v>
      </c>
      <c r="G40" s="289">
        <f t="shared" si="5"/>
        <v>22250.825901935539</v>
      </c>
      <c r="H40" s="289"/>
      <c r="I40" s="289">
        <f t="shared" si="0"/>
        <v>-125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5">
        <f>SUM(E11:E43)</f>
        <v>348658</v>
      </c>
      <c r="F44" s="725">
        <f>SUM(F11:F43)</f>
        <v>46989.796901935537</v>
      </c>
      <c r="G44" s="725">
        <f>SUM(G11:G43)</f>
        <v>395647.79690193554</v>
      </c>
      <c r="H44" s="290"/>
      <c r="I44" s="725">
        <f>SUM(I11:I43)</f>
        <v>-88.340000000000146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'Exh. No. BGM-4 4-5'!P12</f>
        <v>2.6700000000000002E-2</v>
      </c>
      <c r="F48" s="299">
        <f>E48-I48</f>
        <v>2.6700000000000002E-2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9309.1686000000009</v>
      </c>
      <c r="F50" s="290">
        <f>F44*F48</f>
        <v>1254.6275772816789</v>
      </c>
      <c r="G50" s="290">
        <f>SUM(E50:F50)</f>
        <v>10563.79617728168</v>
      </c>
      <c r="H50" s="289"/>
      <c r="I50" s="290">
        <f>SUM(I11:I42)</f>
        <v>-88.340000000000146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-836.83139999999912</v>
      </c>
      <c r="F54" s="290">
        <f>F50-F52</f>
        <v>1254.6275772816789</v>
      </c>
      <c r="G54" s="290">
        <f>SUM(E54:F54)</f>
        <v>417.79617728167977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176</v>
      </c>
      <c r="F57" s="295">
        <f>ROUND(F54*-F55,0)</f>
        <v>-263</v>
      </c>
      <c r="G57" s="295">
        <f>SUM(E57:F57)</f>
        <v>-87</v>
      </c>
      <c r="H57" s="289"/>
      <c r="I57" s="295">
        <f>I50</f>
        <v>-88.340000000000146</v>
      </c>
      <c r="J57" s="604" t="s">
        <v>420</v>
      </c>
    </row>
    <row r="58" spans="1:10">
      <c r="F58" s="245"/>
      <c r="J58" s="258">
        <f>I57-'Exh. No. BGM-4 7-11'!W53-'Exh. No. BGM-4 7-11'!AN54</f>
        <v>-0.86820877084755921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833" t="s">
        <v>112</v>
      </c>
      <c r="B3" s="833"/>
      <c r="C3" s="833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834" t="s">
        <v>496</v>
      </c>
      <c r="B5" s="833"/>
      <c r="C5" s="833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0"/>
    </row>
    <row r="87" spans="1:10" ht="11.1" customHeight="1">
      <c r="A87" s="314"/>
      <c r="B87" s="316" t="s">
        <v>242</v>
      </c>
      <c r="J87" s="451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1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1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1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1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1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1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1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1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1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2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1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1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1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1"/>
    </row>
    <row r="102" spans="1:10" ht="11.1" customHeight="1">
      <c r="A102" s="317">
        <v>496100</v>
      </c>
      <c r="B102" s="316" t="s">
        <v>457</v>
      </c>
      <c r="F102" s="30">
        <f t="shared" si="3"/>
        <v>-807</v>
      </c>
      <c r="H102" s="156">
        <v>-806740</v>
      </c>
      <c r="I102" s="156"/>
      <c r="J102" s="451"/>
    </row>
    <row r="103" spans="1:10" ht="11.1" customHeight="1">
      <c r="A103" s="635">
        <v>496110</v>
      </c>
      <c r="B103" s="451" t="s">
        <v>532</v>
      </c>
      <c r="F103" s="30">
        <f t="shared" si="3"/>
        <v>-2181</v>
      </c>
      <c r="H103" s="156">
        <v>-2180561</v>
      </c>
      <c r="I103" s="156"/>
      <c r="J103" s="451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1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1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1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1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1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1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2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1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1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1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1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1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1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1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1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1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1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1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1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1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1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1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1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1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1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1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1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1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1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1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1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1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1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1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1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1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1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1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1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1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1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1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1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1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1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1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1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1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1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1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1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1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1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1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1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1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1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1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1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1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1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1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1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1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1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1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1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1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1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1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1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1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1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1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1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1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1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1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1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1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1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1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1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1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1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1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1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1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1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1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1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1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1"/>
    </row>
    <row r="197" spans="1:10" ht="11.1" customHeight="1">
      <c r="A197" s="317">
        <v>407229</v>
      </c>
      <c r="B197" s="316" t="s">
        <v>458</v>
      </c>
      <c r="F197" s="30">
        <f t="shared" ref="F197:F207" si="5">ROUND(H197/1000,0)</f>
        <v>0</v>
      </c>
      <c r="H197" s="156">
        <v>0</v>
      </c>
      <c r="I197" s="156"/>
      <c r="J197" s="451"/>
    </row>
    <row r="198" spans="1:10" ht="11.1" customHeight="1">
      <c r="A198" s="317">
        <v>407230</v>
      </c>
      <c r="B198" s="316" t="s">
        <v>521</v>
      </c>
      <c r="F198" s="30">
        <f t="shared" si="4"/>
        <v>-1083</v>
      </c>
      <c r="H198" s="156">
        <v>-1083166</v>
      </c>
      <c r="I198" s="156"/>
      <c r="J198" s="451"/>
    </row>
    <row r="199" spans="1:10" ht="11.1" customHeight="1">
      <c r="A199" s="317">
        <v>407302</v>
      </c>
      <c r="B199" s="316" t="s">
        <v>522</v>
      </c>
      <c r="F199" s="30">
        <f t="shared" si="5"/>
        <v>390</v>
      </c>
      <c r="H199" s="156">
        <v>389502</v>
      </c>
      <c r="I199" s="156"/>
      <c r="J199" s="451"/>
    </row>
    <row r="200" spans="1:10" ht="11.1" customHeight="1">
      <c r="A200" s="317">
        <v>407311</v>
      </c>
      <c r="B200" s="316" t="s">
        <v>523</v>
      </c>
      <c r="F200" s="30">
        <f t="shared" si="4"/>
        <v>7</v>
      </c>
      <c r="H200" s="156">
        <v>7230</v>
      </c>
      <c r="I200" s="156"/>
      <c r="J200" s="451"/>
    </row>
    <row r="201" spans="1:10" ht="11.1" customHeight="1">
      <c r="A201" s="317">
        <v>407319</v>
      </c>
      <c r="B201" s="316" t="s">
        <v>524</v>
      </c>
      <c r="F201" s="30">
        <f t="shared" si="5"/>
        <v>235</v>
      </c>
      <c r="H201" s="156">
        <v>234951</v>
      </c>
      <c r="I201" s="156"/>
      <c r="J201" s="451"/>
    </row>
    <row r="202" spans="1:10" ht="11.1" customHeight="1">
      <c r="A202" s="317">
        <v>407332</v>
      </c>
      <c r="B202" s="316" t="s">
        <v>525</v>
      </c>
      <c r="F202" s="30">
        <f t="shared" si="4"/>
        <v>1</v>
      </c>
      <c r="H202" s="156">
        <v>775</v>
      </c>
      <c r="I202" s="156"/>
      <c r="J202" s="451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1"/>
    </row>
    <row r="204" spans="1:10" ht="11.1" customHeight="1">
      <c r="A204" s="317" t="s">
        <v>526</v>
      </c>
      <c r="B204" s="316" t="s">
        <v>527</v>
      </c>
      <c r="F204" s="30">
        <f t="shared" si="4"/>
        <v>0</v>
      </c>
      <c r="H204" s="156">
        <v>0</v>
      </c>
      <c r="I204" s="156"/>
      <c r="J204" s="451"/>
    </row>
    <row r="205" spans="1:10" ht="11.1" customHeight="1">
      <c r="A205" s="317" t="s">
        <v>528</v>
      </c>
      <c r="B205" s="316" t="s">
        <v>529</v>
      </c>
      <c r="F205" s="30">
        <f t="shared" si="5"/>
        <v>-339</v>
      </c>
      <c r="H205" s="156">
        <v>-338779</v>
      </c>
      <c r="I205" s="156"/>
      <c r="J205" s="451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1"/>
    </row>
    <row r="207" spans="1:10" ht="11.1" customHeight="1">
      <c r="A207" s="317" t="s">
        <v>530</v>
      </c>
      <c r="B207" s="316" t="s">
        <v>531</v>
      </c>
      <c r="F207" s="30">
        <f t="shared" si="5"/>
        <v>-770</v>
      </c>
      <c r="H207" s="156">
        <v>-769508</v>
      </c>
      <c r="I207" s="156"/>
      <c r="J207" s="451"/>
    </row>
    <row r="208" spans="1:10" ht="15.75">
      <c r="A208" s="453" t="s">
        <v>461</v>
      </c>
      <c r="B208" s="451" t="s">
        <v>460</v>
      </c>
      <c r="F208" s="30">
        <f t="shared" si="4"/>
        <v>0</v>
      </c>
      <c r="H208" s="156">
        <v>0</v>
      </c>
      <c r="I208" s="156"/>
      <c r="J208" s="451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1"/>
    </row>
    <row r="210" spans="1:10" ht="15.75">
      <c r="A210" s="314"/>
      <c r="B210" s="316"/>
      <c r="F210" s="30">
        <f t="shared" si="4"/>
        <v>0</v>
      </c>
      <c r="H210" s="156"/>
      <c r="I210" s="156"/>
      <c r="J210" s="451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1"/>
    </row>
    <row r="212" spans="1:10" ht="15.75">
      <c r="A212" s="317"/>
      <c r="B212" s="316"/>
      <c r="F212" s="30">
        <f t="shared" si="4"/>
        <v>0</v>
      </c>
      <c r="H212" s="156"/>
      <c r="I212" s="156"/>
      <c r="J212" s="451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1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1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1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1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1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1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1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1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4"/>
    </row>
    <row r="223" spans="1:10" ht="11.1" customHeight="1">
      <c r="A223" s="322"/>
      <c r="B223" s="323" t="s">
        <v>344</v>
      </c>
      <c r="F223" s="30">
        <f t="shared" si="4"/>
        <v>0</v>
      </c>
      <c r="J223" s="454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5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4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4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4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4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4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4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4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4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4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4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4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4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4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4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4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4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4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4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6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4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4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4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4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4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4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4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4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4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4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4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4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4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4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4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4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4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4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4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4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4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4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4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4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4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4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4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4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4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4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4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4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4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4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4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4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4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4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4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4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4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4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4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4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7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7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7"/>
    </row>
    <row r="291" spans="1:10" ht="11.1" customHeight="1">
      <c r="A291" s="507">
        <v>282919</v>
      </c>
      <c r="B291" s="457" t="s">
        <v>533</v>
      </c>
      <c r="F291" s="30">
        <f t="shared" si="7"/>
        <v>-7</v>
      </c>
      <c r="H291" s="156">
        <v>-6582</v>
      </c>
      <c r="I291" s="156"/>
      <c r="J291" s="457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7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7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4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4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4"/>
    </row>
    <row r="298" spans="1:10" ht="11.1" customHeight="1">
      <c r="A298" s="333"/>
      <c r="B298" s="334" t="s">
        <v>401</v>
      </c>
      <c r="J298" s="454"/>
    </row>
    <row r="299" spans="1:10" ht="11.1" customHeight="1">
      <c r="A299" s="335">
        <v>182311</v>
      </c>
      <c r="B299" s="334" t="s">
        <v>534</v>
      </c>
      <c r="F299" s="30">
        <f t="shared" si="8"/>
        <v>9</v>
      </c>
      <c r="H299" s="156">
        <v>8605</v>
      </c>
      <c r="I299" s="156"/>
      <c r="J299" s="454"/>
    </row>
    <row r="300" spans="1:10" ht="11.1" customHeight="1">
      <c r="A300" s="335">
        <v>182318</v>
      </c>
      <c r="B300" s="334" t="s">
        <v>535</v>
      </c>
      <c r="F300" s="30">
        <f t="shared" si="8"/>
        <v>0</v>
      </c>
      <c r="H300" s="156">
        <v>-305</v>
      </c>
      <c r="I300" s="156"/>
      <c r="J300" s="454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7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7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8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8"/>
    </row>
    <row r="305" spans="1:10" ht="11.1" customHeight="1">
      <c r="A305" s="507">
        <v>254911</v>
      </c>
      <c r="B305" s="458" t="s">
        <v>536</v>
      </c>
      <c r="F305" s="30">
        <f t="shared" si="8"/>
        <v>-753</v>
      </c>
      <c r="H305" s="156">
        <v>-752880</v>
      </c>
      <c r="I305" s="156"/>
      <c r="J305" s="458"/>
    </row>
    <row r="306" spans="1:10" ht="15.75">
      <c r="A306" s="507">
        <v>182302</v>
      </c>
      <c r="B306" s="458" t="s">
        <v>475</v>
      </c>
      <c r="F306" s="30">
        <f t="shared" si="8"/>
        <v>8464</v>
      </c>
      <c r="H306" s="156">
        <v>8463757</v>
      </c>
      <c r="I306" s="156"/>
      <c r="J306" s="458"/>
    </row>
    <row r="307" spans="1:10" ht="15.75">
      <c r="A307" s="507">
        <v>283302</v>
      </c>
      <c r="B307" s="458" t="s">
        <v>537</v>
      </c>
      <c r="F307" s="30">
        <f t="shared" si="8"/>
        <v>-1816</v>
      </c>
      <c r="H307" s="156">
        <v>-1816057</v>
      </c>
      <c r="I307" s="156"/>
      <c r="J307" s="458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8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7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4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4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4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'Exh. No. BGM-4 7-11'!A2</f>
        <v>AVISTA 2020 WASHINGTON GRC - AWEC REPLY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'Exh. No. BGM-4 7-11'!A3</f>
        <v>WASHINGTON NATURAL GAS</v>
      </c>
      <c r="E3" s="177"/>
    </row>
    <row r="4" spans="1:37" ht="12.75" customHeight="1">
      <c r="A4" s="175" t="str">
        <f>'Exh. No. BGM-4 7-11'!A4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'Exh. No. BGM-4 7-11'!A5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'Exh. No. BGM-4 7-11'!E7</f>
        <v>Per</v>
      </c>
      <c r="F8" s="189" t="str">
        <f>'Exh. No. BGM-4 7-11'!F7</f>
        <v xml:space="preserve">Deferred </v>
      </c>
      <c r="G8" s="189" t="str">
        <f>'Exh. No. BGM-4 7-11'!G7</f>
        <v>Deferred</v>
      </c>
      <c r="H8" s="189" t="str">
        <f>'Exh. No. BGM-4 7-11'!H7</f>
        <v>Working</v>
      </c>
      <c r="I8" s="189" t="str">
        <f>'Exh. No. BGM-4 7-11'!I7</f>
        <v>Remove</v>
      </c>
      <c r="J8" s="189" t="str">
        <f>'Exh. No. BGM-4 7-11'!J7</f>
        <v xml:space="preserve">Eliminate </v>
      </c>
      <c r="K8" s="189" t="str">
        <f>'Exh. No. BGM-4 7-11'!K7</f>
        <v>Restate</v>
      </c>
      <c r="L8" s="189" t="str">
        <f>'Exh. No. BGM-4 7-11'!L7</f>
        <v>Uncollectible</v>
      </c>
      <c r="M8" s="189" t="str">
        <f>'Exh. No. BGM-4 7-11'!M7</f>
        <v>Regulatory</v>
      </c>
      <c r="N8" s="189" t="str">
        <f>'Exh. No. BGM-4 7-11'!N7</f>
        <v>Injuries</v>
      </c>
      <c r="O8" s="189" t="str">
        <f>'Exh. No. BGM-4 7-11'!O7</f>
        <v xml:space="preserve">FIT / </v>
      </c>
      <c r="P8" s="189" t="str">
        <f>'Exh. No. BGM-4 7-11'!P7</f>
        <v>Office Space</v>
      </c>
      <c r="Q8" s="189" t="str">
        <f>'Exh. No. BGM-4 7-11'!Q7</f>
        <v>Restate</v>
      </c>
      <c r="R8" s="189" t="str">
        <f>'Exh. No. BGM-4 7-11'!R7</f>
        <v>Net</v>
      </c>
      <c r="S8" s="189" t="str">
        <f>'Exh. No. BGM-4 7-11'!S7</f>
        <v xml:space="preserve">Weather </v>
      </c>
      <c r="T8" s="189" t="str">
        <f>'Exh. No. BGM-4 7-11'!T7</f>
        <v>Eliminate</v>
      </c>
      <c r="U8" s="189" t="str">
        <f>'Exh. No. BGM-4 7-11'!U7</f>
        <v>Misc. Restating</v>
      </c>
      <c r="V8" s="189" t="str">
        <f>'Exh. No. BGM-4 7-11'!V7</f>
        <v>Restating</v>
      </c>
      <c r="W8" s="189" t="str">
        <f>'Exh. No. BGM-4 7-11'!W7</f>
        <v>Restate</v>
      </c>
      <c r="X8" s="189" t="str">
        <f>'Exh. No. BGM-4 7-11'!X7</f>
        <v>Restate 2018</v>
      </c>
      <c r="Y8" s="189" t="str">
        <f>'Exh. No. BGM-4 7-11'!AA7</f>
        <v>Pro Forma</v>
      </c>
      <c r="Z8" s="189" t="str">
        <f>'Exh. No. BGM-4 7-11'!AB7</f>
        <v>Pro Forma</v>
      </c>
      <c r="AA8" s="189" t="str">
        <f>'Exh. No. BGM-4 7-11'!AC7</f>
        <v>Pro Forma</v>
      </c>
      <c r="AB8" s="189" t="str">
        <f>'Exh. No. BGM-4 7-11'!AD7</f>
        <v>Pro Forma</v>
      </c>
      <c r="AC8" s="189" t="str">
        <f>'Exh. No. BGM-4 7-11'!AE7</f>
        <v>Pro Forma</v>
      </c>
      <c r="AD8" s="189" t="str">
        <f>'Exh. No. BGM-4 7-11'!AF7</f>
        <v>Pro Forma</v>
      </c>
      <c r="AE8" s="189" t="str">
        <f>'Exh. No. BGM-4 7-11'!AG7</f>
        <v>Pro Forma</v>
      </c>
      <c r="AF8" s="189" t="str">
        <f>'Exh. No. BGM-4 7-11'!AH7</f>
        <v>Pro Forma</v>
      </c>
      <c r="AG8" s="189" t="str">
        <f>'Exh. No. BGM-4 7-11'!AI7</f>
        <v>Pro Forma</v>
      </c>
      <c r="AH8" s="189" t="str">
        <f>'Exh. No. BGM-4 7-11'!AJ7</f>
        <v xml:space="preserve">Pro Forma </v>
      </c>
      <c r="AI8" s="189" t="str">
        <f>'Exh. No. BGM-4 7-11'!AK7</f>
        <v>Pro Forma</v>
      </c>
      <c r="AJ8" s="189" t="str">
        <f>'Exh. No. BGM-4 7-11'!AL7</f>
        <v>Pro Forma</v>
      </c>
      <c r="AK8" s="189" t="str">
        <f>'Exh. No. BGM-4 7-11'!AM7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'Exh. No. BGM-4 7-11'!E8</f>
        <v xml:space="preserve">Results </v>
      </c>
      <c r="F9" s="194" t="str">
        <f>'Exh. No. BGM-4 7-11'!F8</f>
        <v>FIT</v>
      </c>
      <c r="G9" s="194" t="str">
        <f>'Exh. No. BGM-4 7-11'!G8</f>
        <v xml:space="preserve">Debits and </v>
      </c>
      <c r="H9" s="194" t="str">
        <f>'Exh. No. BGM-4 7-11'!H8</f>
        <v>Capital</v>
      </c>
      <c r="I9" s="194" t="str">
        <f>'Exh. No. BGM-4 7-11'!I8</f>
        <v>AMI</v>
      </c>
      <c r="J9" s="194" t="str">
        <f>'Exh. No. BGM-4 7-11'!J8</f>
        <v xml:space="preserve">B &amp; O </v>
      </c>
      <c r="K9" s="194" t="str">
        <f>'Exh. No. BGM-4 7-11'!K8</f>
        <v>Property</v>
      </c>
      <c r="L9" s="194" t="str">
        <f>'Exh. No. BGM-4 7-11'!L8</f>
        <v>Expense</v>
      </c>
      <c r="M9" s="194" t="str">
        <f>'Exh. No. BGM-4 7-11'!M8</f>
        <v>Expense</v>
      </c>
      <c r="N9" s="194" t="str">
        <f>'Exh. No. BGM-4 7-11'!N8</f>
        <v>&amp;</v>
      </c>
      <c r="O9" s="194" t="str">
        <f>'Exh. No. BGM-4 7-11'!O8</f>
        <v xml:space="preserve">DFIT </v>
      </c>
      <c r="P9" s="194" t="str">
        <f>'Exh. No. BGM-4 7-11'!P8</f>
        <v>Charges to</v>
      </c>
      <c r="Q9" s="194" t="str">
        <f>'Exh. No. BGM-4 7-11'!Q8</f>
        <v>Excise</v>
      </c>
      <c r="R9" s="194" t="str">
        <f>'Exh. No. BGM-4 7-11'!R8</f>
        <v>Gains</v>
      </c>
      <c r="S9" s="194" t="str">
        <f>'Exh. No. BGM-4 7-11'!S8</f>
        <v>Normalization /</v>
      </c>
      <c r="T9" s="194" t="str">
        <f>'Exh. No. BGM-4 7-11'!T8</f>
        <v>Adder</v>
      </c>
      <c r="U9" s="194" t="str">
        <f>'Exh. No. BGM-4 7-11'!U8</f>
        <v>Non-Util / Non-</v>
      </c>
      <c r="V9" s="194" t="str">
        <f>'Exh. No. BGM-4 7-11'!V8</f>
        <v>Incentives</v>
      </c>
      <c r="W9" s="194" t="str">
        <f>'Exh. No. BGM-4 7-11'!W8</f>
        <v>Debt</v>
      </c>
      <c r="X9" s="194" t="str">
        <f>'Exh. No. BGM-4 7-11'!X8</f>
        <v>AMA Rate</v>
      </c>
      <c r="Y9" s="194" t="str">
        <f>'Exh. No. BGM-4 7-11'!AA8</f>
        <v xml:space="preserve"> Revenue</v>
      </c>
      <c r="Z9" s="194" t="str">
        <f>'Exh. No. BGM-4 7-11'!AB8</f>
        <v>LEAP Deferral</v>
      </c>
      <c r="AA9" s="194" t="str">
        <f>'Exh. No. BGM-4 7-11'!AC8</f>
        <v>Labor</v>
      </c>
      <c r="AB9" s="194" t="str">
        <f>'Exh. No. BGM-4 7-11'!AD8</f>
        <v>Labor</v>
      </c>
      <c r="AC9" s="194" t="str">
        <f>'Exh. No. BGM-4 7-11'!AE8</f>
        <v>Employee</v>
      </c>
      <c r="AD9" s="194" t="str">
        <f>'Exh. No. BGM-4 7-11'!AF8</f>
        <v xml:space="preserve">Insurance </v>
      </c>
      <c r="AE9" s="194" t="str">
        <f>'Exh. No. BGM-4 7-11'!AG8</f>
        <v>IS/IT</v>
      </c>
      <c r="AF9" s="194" t="str">
        <f>'Exh. No. BGM-4 7-11'!AH8</f>
        <v>Property</v>
      </c>
      <c r="AG9" s="194" t="str">
        <f>'Exh. No. BGM-4 7-11'!AI8</f>
        <v>Depreciation</v>
      </c>
      <c r="AH9" s="194" t="str">
        <f>'Exh. No. BGM-4 7-11'!AJ8</f>
        <v>2019 Major</v>
      </c>
      <c r="AI9" s="194" t="str">
        <f>'Exh. No. BGM-4 7-11'!AK8</f>
        <v>O&amp;M</v>
      </c>
      <c r="AJ9" s="194" t="str">
        <f>'Exh. No. BGM-4 7-11'!AL8</f>
        <v>Fee Free</v>
      </c>
      <c r="AK9" s="194" t="str">
        <f>'Exh. No. BGM-4 7-11'!AM8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'Exh. No. BGM-4 7-11'!E9</f>
        <v>Report</v>
      </c>
      <c r="F10" s="199" t="str">
        <f>'Exh. No. BGM-4 7-11'!F9</f>
        <v>Rate Base</v>
      </c>
      <c r="G10" s="199" t="str">
        <f>'Exh. No. BGM-4 7-11'!G9</f>
        <v>Credits</v>
      </c>
      <c r="H10" s="199"/>
      <c r="I10" s="199"/>
      <c r="J10" s="199" t="str">
        <f>'Exh. No. BGM-4 7-11'!J9</f>
        <v>Taxes</v>
      </c>
      <c r="K10" s="199" t="str">
        <f>'Exh. No. BGM-4 7-11'!K9</f>
        <v>Tax</v>
      </c>
      <c r="L10" s="199"/>
      <c r="M10" s="199"/>
      <c r="N10" s="199" t="str">
        <f>'Exh. No. BGM-4 7-11'!N9</f>
        <v>Damages</v>
      </c>
      <c r="O10" s="199" t="str">
        <f>'Exh. No. BGM-4 7-11'!O9</f>
        <v>Expense</v>
      </c>
      <c r="P10" s="199" t="str">
        <f>'Exh. No. BGM-4 7-11'!P9</f>
        <v>Non-Utility</v>
      </c>
      <c r="Q10" s="199" t="str">
        <f>'Exh. No. BGM-4 7-11'!Q9</f>
        <v>Taxes</v>
      </c>
      <c r="R10" s="199"/>
      <c r="S10" s="199" t="str">
        <f>'Exh. No. BGM-4 7-11'!S9</f>
        <v>Gas Cost Adjust</v>
      </c>
      <c r="T10" s="199" t="str">
        <f>'Exh. No. BGM-4 7-11'!T9</f>
        <v>Schedules</v>
      </c>
      <c r="U10" s="199" t="str">
        <f>'Exh. No. BGM-4 7-11'!U9</f>
        <v>Recurring Expense</v>
      </c>
      <c r="V10" s="199"/>
      <c r="W10" s="199" t="str">
        <f>'Exh. No. BGM-4 7-11'!W9</f>
        <v>Interest</v>
      </c>
      <c r="X10" s="199" t="str">
        <f>'Exh. No. BGM-4 7-11'!X9</f>
        <v>Base to EOP</v>
      </c>
      <c r="Y10" s="199" t="str">
        <f>'Exh. No. BGM-4 7-11'!AA9</f>
        <v xml:space="preserve">Normalization </v>
      </c>
      <c r="Z10" s="199" t="str">
        <f>'Exh. No. BGM-4 7-11'!AB9</f>
        <v>Amortization</v>
      </c>
      <c r="AA10" s="199" t="str">
        <f>'Exh. No. BGM-4 7-11'!AC9</f>
        <v>Non-Exec</v>
      </c>
      <c r="AB10" s="199" t="str">
        <f>'Exh. No. BGM-4 7-11'!AD9</f>
        <v>Exec</v>
      </c>
      <c r="AC10" s="199" t="str">
        <f>'Exh. No. BGM-4 7-11'!AE9</f>
        <v>Benefits</v>
      </c>
      <c r="AD10" s="199" t="str">
        <f>'Exh. No. BGM-4 7-11'!AF9</f>
        <v>Expense</v>
      </c>
      <c r="AE10" s="199" t="str">
        <f>'Exh. No. BGM-4 7-11'!AG9</f>
        <v>Expense</v>
      </c>
      <c r="AF10" s="199" t="str">
        <f>'Exh. No. BGM-4 7-11'!AH9</f>
        <v>Tax</v>
      </c>
      <c r="AG10" s="199" t="str">
        <f>'Exh. No. BGM-4 7-11'!AI9</f>
        <v>Expense</v>
      </c>
      <c r="AH10" s="199" t="str">
        <f>'Exh. No. BGM-4 7-11'!AJ9</f>
        <v>Capital Adds</v>
      </c>
      <c r="AI10" s="199" t="str">
        <f>'Exh. No. BGM-4 7-11'!AK9</f>
        <v>Offsets</v>
      </c>
      <c r="AJ10" s="199" t="str">
        <f>'Exh. No. BGM-4 7-11'!AL9</f>
        <v>Amortization</v>
      </c>
      <c r="AK10" s="199">
        <f>'Exh. No. BGM-4 7-11'!AM9</f>
        <v>0</v>
      </c>
    </row>
    <row r="11" spans="1:37" s="183" customFormat="1">
      <c r="A11" s="182"/>
      <c r="B11" s="216" t="s">
        <v>182</v>
      </c>
      <c r="E11" s="217">
        <f>'Exh. No. BGM-4 7-11'!E10</f>
        <v>1</v>
      </c>
      <c r="F11" s="217">
        <f>'Exh. No. BGM-4 7-11'!F10</f>
        <v>1.01</v>
      </c>
      <c r="G11" s="217">
        <f>'Exh. No. BGM-4 7-11'!G10</f>
        <v>1.02</v>
      </c>
      <c r="H11" s="217">
        <f>'Exh. No. BGM-4 7-11'!H10</f>
        <v>1.03</v>
      </c>
      <c r="I11" s="217">
        <f>'Exh. No. BGM-4 7-11'!I10</f>
        <v>1.04</v>
      </c>
      <c r="J11" s="217">
        <f>'Exh. No. BGM-4 7-11'!J10</f>
        <v>2.0099999999999998</v>
      </c>
      <c r="K11" s="217">
        <f>'Exh. No. BGM-4 7-11'!K10</f>
        <v>2.0199999999999996</v>
      </c>
      <c r="L11" s="217">
        <f>'Exh. No. BGM-4 7-11'!L10</f>
        <v>2.0299999999999994</v>
      </c>
      <c r="M11" s="217">
        <f>'Exh. No. BGM-4 7-11'!M10</f>
        <v>2.0399999999999991</v>
      </c>
      <c r="N11" s="217">
        <f>'Exh. No. BGM-4 7-11'!N10</f>
        <v>2.0499999999999989</v>
      </c>
      <c r="O11" s="217">
        <f>'Exh. No. BGM-4 7-11'!O10</f>
        <v>2.0599999999999987</v>
      </c>
      <c r="P11" s="217">
        <f>'Exh. No. BGM-4 7-11'!P10</f>
        <v>2.0699999999999985</v>
      </c>
      <c r="Q11" s="217">
        <f>'Exh. No. BGM-4 7-11'!Q10</f>
        <v>2.0799999999999983</v>
      </c>
      <c r="R11" s="217">
        <f>'Exh. No. BGM-4 7-11'!R10</f>
        <v>2.0899999999999981</v>
      </c>
      <c r="S11" s="217">
        <f>'Exh. No. BGM-4 7-11'!S10</f>
        <v>2.0999999999999979</v>
      </c>
      <c r="T11" s="217">
        <f>'Exh. No. BGM-4 7-11'!T10</f>
        <v>2.1099999999999977</v>
      </c>
      <c r="U11" s="217">
        <f>'Exh. No. BGM-4 7-11'!U10</f>
        <v>2.1199999999999974</v>
      </c>
      <c r="V11" s="217">
        <f>'Exh. No. BGM-4 7-11'!V10</f>
        <v>2.1299999999999972</v>
      </c>
      <c r="W11" s="217">
        <f>'Exh. No. BGM-4 7-11'!W10</f>
        <v>2.139999999999997</v>
      </c>
      <c r="X11" s="217">
        <f>'Exh. No. BGM-4 7-11'!X10</f>
        <v>2.1499999999999968</v>
      </c>
      <c r="Y11" s="217">
        <f>'Exh. No. BGM-4 7-11'!AA10</f>
        <v>3.01</v>
      </c>
      <c r="Z11" s="217">
        <f>'Exh. No. BGM-4 7-11'!AB10</f>
        <v>3.0199999999999996</v>
      </c>
      <c r="AA11" s="217">
        <f>'Exh. No. BGM-4 7-11'!AC10</f>
        <v>3.0299999999999994</v>
      </c>
      <c r="AB11" s="217">
        <f>'Exh. No. BGM-4 7-11'!AD10</f>
        <v>3.0399999999999991</v>
      </c>
      <c r="AC11" s="217">
        <f>'Exh. No. BGM-4 7-11'!AE10</f>
        <v>3.0499999999999989</v>
      </c>
      <c r="AD11" s="217">
        <f>'Exh. No. BGM-4 7-11'!AF10</f>
        <v>3.0599999999999987</v>
      </c>
      <c r="AE11" s="217">
        <f>'Exh. No. BGM-4 7-11'!AG10</f>
        <v>3.0699999999999985</v>
      </c>
      <c r="AF11" s="217">
        <f>'Exh. No. BGM-4 7-11'!AH10</f>
        <v>3.0799999999999983</v>
      </c>
      <c r="AG11" s="217">
        <f>'Exh. No. BGM-4 7-11'!AI10</f>
        <v>3.0899999999999981</v>
      </c>
      <c r="AH11" s="217">
        <f>'Exh. No. BGM-4 7-11'!AJ10</f>
        <v>3.0999999999999979</v>
      </c>
      <c r="AI11" s="217">
        <f>'Exh. No. BGM-4 7-11'!AK10</f>
        <v>3.1099999999999977</v>
      </c>
      <c r="AJ11" s="217">
        <f>'Exh. No. BGM-4 7-11'!AL10</f>
        <v>3.1199999999999974</v>
      </c>
      <c r="AK11" s="217">
        <f>'Exh. No. BGM-4 7-11'!AM10</f>
        <v>3.1299999999999972</v>
      </c>
    </row>
    <row r="12" spans="1:37" s="183" customFormat="1">
      <c r="A12" s="182"/>
      <c r="B12" s="216" t="s">
        <v>183</v>
      </c>
      <c r="E12" s="184" t="str">
        <f>'Exh. No. BGM-4 7-11'!E11</f>
        <v>G-ROO</v>
      </c>
      <c r="F12" s="184" t="str">
        <f>'Exh. No. BGM-4 7-11'!F11</f>
        <v>G-DFIT</v>
      </c>
      <c r="G12" s="184" t="str">
        <f>'Exh. No. BGM-4 7-11'!G11</f>
        <v>G-DDC</v>
      </c>
      <c r="H12" s="184" t="str">
        <f>'Exh. No. BGM-4 7-11'!H11</f>
        <v>G-WC</v>
      </c>
      <c r="I12" s="184" t="str">
        <f>'Exh. No. BGM-4 7-11'!I11</f>
        <v>G-AMI</v>
      </c>
      <c r="J12" s="184" t="str">
        <f>'Exh. No. BGM-4 7-11'!J11</f>
        <v>G-EBO</v>
      </c>
      <c r="K12" s="184" t="str">
        <f>'Exh. No. BGM-4 7-11'!K11</f>
        <v>G-RPT</v>
      </c>
      <c r="L12" s="184" t="str">
        <f>'Exh. No. BGM-4 7-11'!L11</f>
        <v>G-UE</v>
      </c>
      <c r="M12" s="184" t="str">
        <f>'Exh. No. BGM-4 7-11'!M11</f>
        <v>G-RE</v>
      </c>
      <c r="N12" s="184" t="str">
        <f>'Exh. No. BGM-4 7-11'!N11</f>
        <v>G-ID</v>
      </c>
      <c r="O12" s="184" t="str">
        <f>'Exh. No. BGM-4 7-11'!O11</f>
        <v>G-FIT</v>
      </c>
      <c r="P12" s="184" t="str">
        <f>'Exh. No. BGM-4 7-11'!P11</f>
        <v>G-OSC</v>
      </c>
      <c r="Q12" s="184" t="str">
        <f>'Exh. No. BGM-4 7-11'!Q11</f>
        <v>G-RET</v>
      </c>
      <c r="R12" s="184" t="str">
        <f>'Exh. No. BGM-4 7-11'!R11</f>
        <v>G-NGL</v>
      </c>
      <c r="S12" s="184" t="str">
        <f>'Exh. No. BGM-4 7-11'!S11</f>
        <v>G-WNGC</v>
      </c>
      <c r="T12" s="184" t="str">
        <f>'Exh. No. BGM-4 7-11'!T11</f>
        <v>G-EAS</v>
      </c>
      <c r="U12" s="184" t="str">
        <f>'Exh. No. BGM-4 7-11'!U11</f>
        <v>G-MR</v>
      </c>
      <c r="V12" s="184" t="str">
        <f>'Exh. No. BGM-4 7-11'!V11</f>
        <v>G-RI</v>
      </c>
      <c r="W12" s="184" t="str">
        <f>'Exh. No. BGM-4 7-11'!W11</f>
        <v>G-DI</v>
      </c>
      <c r="X12" s="184" t="str">
        <f>'Exh. No. BGM-4 7-11'!X11</f>
        <v>G-EOP18</v>
      </c>
      <c r="Y12" s="184" t="str">
        <f>'Exh. No. BGM-4 7-11'!AA11</f>
        <v>G-PREV</v>
      </c>
      <c r="Z12" s="184" t="str">
        <f>'Exh. No. BGM-4 7-11'!AB11</f>
        <v>G-PLEAP</v>
      </c>
      <c r="AA12" s="184" t="str">
        <f>'Exh. No. BGM-4 7-11'!AC11</f>
        <v>G-PLN</v>
      </c>
      <c r="AB12" s="184" t="str">
        <f>'Exh. No. BGM-4 7-11'!AD11</f>
        <v>G-PLE</v>
      </c>
      <c r="AC12" s="184" t="str">
        <f>'Exh. No. BGM-4 7-11'!AE11</f>
        <v>G-PEB</v>
      </c>
      <c r="AD12" s="184" t="str">
        <f>'Exh. No. BGM-4 7-11'!AF11</f>
        <v>G-PINS</v>
      </c>
      <c r="AE12" s="184" t="str">
        <f>'Exh. No. BGM-4 7-11'!AG11</f>
        <v>G-PIT</v>
      </c>
      <c r="AF12" s="184" t="str">
        <f>'Exh. No. BGM-4 7-11'!AH11</f>
        <v>G-PPT</v>
      </c>
      <c r="AG12" s="184" t="str">
        <f>'Exh. No. BGM-4 7-11'!AI11</f>
        <v>G-PDEP</v>
      </c>
      <c r="AH12" s="184" t="str">
        <f>'Exh. No. BGM-4 7-11'!AJ11</f>
        <v>G-PCAP</v>
      </c>
      <c r="AI12" s="184" t="str">
        <f>'Exh. No. BGM-4 7-11'!AK11</f>
        <v>G-POFF</v>
      </c>
      <c r="AJ12" s="184" t="str">
        <f>'Exh. No. BGM-4 7-11'!AL11</f>
        <v>G-PFEE</v>
      </c>
      <c r="AK12" s="184" t="str">
        <f>'Exh. No. BGM-4 7-11'!AM11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'Exh. No. BGM-4 7-11'!E14</f>
        <v>140625</v>
      </c>
      <c r="F15" s="301">
        <f>'Exh. No. BGM-4 7-11'!F14</f>
        <v>0</v>
      </c>
      <c r="G15" s="301">
        <f>'Exh. No. BGM-4 7-11'!G14</f>
        <v>0</v>
      </c>
      <c r="H15" s="301">
        <f>'Exh. No. BGM-4 7-11'!H14</f>
        <v>0</v>
      </c>
      <c r="I15" s="301">
        <f>'Exh. No. BGM-4 7-11'!I14</f>
        <v>0</v>
      </c>
      <c r="J15" s="301">
        <f>'Exh. No. BGM-4 7-11'!J14</f>
        <v>-5070</v>
      </c>
      <c r="K15" s="301">
        <f>'Exh. No. BGM-4 7-11'!K14</f>
        <v>0</v>
      </c>
      <c r="L15" s="301">
        <f>'Exh. No. BGM-4 7-11'!L14</f>
        <v>0</v>
      </c>
      <c r="M15" s="301">
        <f>'Exh. No. BGM-4 7-11'!M14</f>
        <v>0</v>
      </c>
      <c r="N15" s="301">
        <f>'Exh. No. BGM-4 7-11'!N14</f>
        <v>0</v>
      </c>
      <c r="O15" s="301">
        <f>'Exh. No. BGM-4 7-11'!O14</f>
        <v>0</v>
      </c>
      <c r="P15" s="301">
        <f>'Exh. No. BGM-4 7-11'!P14</f>
        <v>0</v>
      </c>
      <c r="Q15" s="301">
        <f>'Exh. No. BGM-4 7-11'!Q14</f>
        <v>0</v>
      </c>
      <c r="R15" s="301">
        <f>'Exh. No. BGM-4 7-11'!R14</f>
        <v>0</v>
      </c>
      <c r="S15" s="301">
        <f>'Exh. No. BGM-4 7-11'!S14</f>
        <v>6259</v>
      </c>
      <c r="T15" s="301">
        <f>'Exh. No. BGM-4 7-11'!T14</f>
        <v>5056</v>
      </c>
      <c r="U15" s="301">
        <f>'Exh. No. BGM-4 7-11'!U14</f>
        <v>0</v>
      </c>
      <c r="V15" s="301">
        <f>'Exh. No. BGM-4 7-11'!V14</f>
        <v>0</v>
      </c>
      <c r="W15" s="301">
        <f>'Exh. No. BGM-4 7-11'!W14</f>
        <v>0</v>
      </c>
      <c r="X15" s="301">
        <f>'Exh. No. BGM-4 7-11'!X14</f>
        <v>0</v>
      </c>
      <c r="Y15" s="301">
        <f>'Exh. No. BGM-4 7-11'!AA14</f>
        <v>-53778.76704350637</v>
      </c>
      <c r="Z15" s="301">
        <f>'Exh. No. BGM-4 7-11'!AB14</f>
        <v>0</v>
      </c>
      <c r="AA15" s="301">
        <f>'Exh. No. BGM-4 7-11'!AC14</f>
        <v>0</v>
      </c>
      <c r="AB15" s="301">
        <f>'Exh. No. BGM-4 7-11'!AD14</f>
        <v>0</v>
      </c>
      <c r="AC15" s="301">
        <f>'Exh. No. BGM-4 7-11'!AE14</f>
        <v>0</v>
      </c>
      <c r="AD15" s="301">
        <f>'Exh. No. BGM-4 7-11'!AF14</f>
        <v>0</v>
      </c>
      <c r="AE15" s="301">
        <f>'Exh. No. BGM-4 7-11'!AG14</f>
        <v>0</v>
      </c>
      <c r="AF15" s="301">
        <f>'Exh. No. BGM-4 7-11'!AH14</f>
        <v>0</v>
      </c>
      <c r="AG15" s="301">
        <f>'Exh. No. BGM-4 7-11'!AI14</f>
        <v>0</v>
      </c>
      <c r="AH15" s="301">
        <f>'Exh. No. BGM-4 7-11'!AJ14</f>
        <v>0</v>
      </c>
      <c r="AI15" s="301">
        <f>'Exh. No. BGM-4 7-11'!AK14</f>
        <v>0</v>
      </c>
      <c r="AJ15" s="301">
        <f>'Exh. No. BGM-4 7-11'!AL14</f>
        <v>0</v>
      </c>
      <c r="AK15" s="301">
        <f>'Exh. No. BGM-4 7-11'!AM14</f>
        <v>0</v>
      </c>
    </row>
    <row r="16" spans="1:37">
      <c r="A16" s="200">
        <v>2</v>
      </c>
      <c r="B16" s="202" t="s">
        <v>34</v>
      </c>
      <c r="D16" s="202"/>
      <c r="E16" s="221">
        <f>'Exh. No. BGM-4 7-11'!E15</f>
        <v>5088</v>
      </c>
      <c r="F16" s="221">
        <f>'Exh. No. BGM-4 7-11'!F15</f>
        <v>0</v>
      </c>
      <c r="G16" s="221">
        <f>'Exh. No. BGM-4 7-11'!G15</f>
        <v>0</v>
      </c>
      <c r="H16" s="221">
        <f>'Exh. No. BGM-4 7-11'!H15</f>
        <v>0</v>
      </c>
      <c r="I16" s="221">
        <f>'Exh. No. BGM-4 7-11'!I15</f>
        <v>0</v>
      </c>
      <c r="J16" s="221">
        <f>'Exh. No. BGM-4 7-11'!J15</f>
        <v>-128</v>
      </c>
      <c r="K16" s="221">
        <f>'Exh. No. BGM-4 7-11'!K15</f>
        <v>0</v>
      </c>
      <c r="L16" s="221">
        <f>'Exh. No. BGM-4 7-11'!L15</f>
        <v>0</v>
      </c>
      <c r="M16" s="221">
        <f>'Exh. No. BGM-4 7-11'!M15</f>
        <v>0</v>
      </c>
      <c r="N16" s="221">
        <f>'Exh. No. BGM-4 7-11'!N15</f>
        <v>0</v>
      </c>
      <c r="O16" s="221">
        <f>'Exh. No. BGM-4 7-11'!O15</f>
        <v>0</v>
      </c>
      <c r="P16" s="221">
        <f>'Exh. No. BGM-4 7-11'!P15</f>
        <v>0</v>
      </c>
      <c r="Q16" s="221">
        <f>'Exh. No. BGM-4 7-11'!Q15</f>
        <v>0</v>
      </c>
      <c r="R16" s="221">
        <f>'Exh. No. BGM-4 7-11'!R15</f>
        <v>0</v>
      </c>
      <c r="S16" s="221">
        <f>'Exh. No. BGM-4 7-11'!S15</f>
        <v>0</v>
      </c>
      <c r="T16" s="221">
        <f>'Exh. No. BGM-4 7-11'!T15</f>
        <v>0</v>
      </c>
      <c r="U16" s="221">
        <f>'Exh. No. BGM-4 7-11'!U15</f>
        <v>0</v>
      </c>
      <c r="V16" s="221">
        <f>'Exh. No. BGM-4 7-11'!V15</f>
        <v>0</v>
      </c>
      <c r="W16" s="221">
        <f>'Exh. No. BGM-4 7-11'!W15</f>
        <v>0</v>
      </c>
      <c r="X16" s="221">
        <f>'Exh. No. BGM-4 7-11'!X15</f>
        <v>0</v>
      </c>
      <c r="Y16" s="221">
        <f>'Exh. No. BGM-4 7-11'!AA15</f>
        <v>-5</v>
      </c>
      <c r="Z16" s="221">
        <f>'Exh. No. BGM-4 7-11'!AB15</f>
        <v>0</v>
      </c>
      <c r="AA16" s="221">
        <f>'Exh. No. BGM-4 7-11'!AC15</f>
        <v>0</v>
      </c>
      <c r="AB16" s="221">
        <f>'Exh. No. BGM-4 7-11'!AD15</f>
        <v>0</v>
      </c>
      <c r="AC16" s="221">
        <f>'Exh. No. BGM-4 7-11'!AE15</f>
        <v>0</v>
      </c>
      <c r="AD16" s="221">
        <f>'Exh. No. BGM-4 7-11'!AF15</f>
        <v>0</v>
      </c>
      <c r="AE16" s="221">
        <f>'Exh. No. BGM-4 7-11'!AG15</f>
        <v>0</v>
      </c>
      <c r="AF16" s="221">
        <f>'Exh. No. BGM-4 7-11'!AH15</f>
        <v>0</v>
      </c>
      <c r="AG16" s="221">
        <f>'Exh. No. BGM-4 7-11'!AI15</f>
        <v>0</v>
      </c>
      <c r="AH16" s="221">
        <f>'Exh. No. BGM-4 7-11'!AJ15</f>
        <v>0</v>
      </c>
      <c r="AI16" s="221">
        <f>'Exh. No. BGM-4 7-11'!AK15</f>
        <v>0</v>
      </c>
      <c r="AJ16" s="221">
        <f>'Exh. No. BGM-4 7-11'!AL15</f>
        <v>0</v>
      </c>
      <c r="AK16" s="221">
        <f>'Exh. No. BGM-4 7-11'!AM15</f>
        <v>0</v>
      </c>
    </row>
    <row r="17" spans="1:37">
      <c r="A17" s="200">
        <v>3</v>
      </c>
      <c r="B17" s="202" t="s">
        <v>35</v>
      </c>
      <c r="D17" s="202"/>
      <c r="E17" s="222">
        <f>'Exh. No. BGM-4 7-11'!E16</f>
        <v>50681</v>
      </c>
      <c r="F17" s="222">
        <f>'Exh. No. BGM-4 7-11'!F16</f>
        <v>0</v>
      </c>
      <c r="G17" s="222">
        <f>'Exh. No. BGM-4 7-11'!G16</f>
        <v>0</v>
      </c>
      <c r="H17" s="222">
        <f>'Exh. No. BGM-4 7-11'!H16</f>
        <v>0</v>
      </c>
      <c r="I17" s="222">
        <f>'Exh. No. BGM-4 7-11'!I16</f>
        <v>0</v>
      </c>
      <c r="J17" s="222">
        <f>'Exh. No. BGM-4 7-11'!J16</f>
        <v>0</v>
      </c>
      <c r="K17" s="222">
        <f>'Exh. No. BGM-4 7-11'!K16</f>
        <v>0</v>
      </c>
      <c r="L17" s="222">
        <f>'Exh. No. BGM-4 7-11'!L16</f>
        <v>0</v>
      </c>
      <c r="M17" s="222">
        <f>'Exh. No. BGM-4 7-11'!M16</f>
        <v>0</v>
      </c>
      <c r="N17" s="222">
        <f>'Exh. No. BGM-4 7-11'!N16</f>
        <v>0</v>
      </c>
      <c r="O17" s="222">
        <f>'Exh. No. BGM-4 7-11'!O16</f>
        <v>0</v>
      </c>
      <c r="P17" s="222">
        <f>'Exh. No. BGM-4 7-11'!P16</f>
        <v>0</v>
      </c>
      <c r="Q17" s="222">
        <f>'Exh. No. BGM-4 7-11'!Q16</f>
        <v>0</v>
      </c>
      <c r="R17" s="222">
        <f>'Exh. No. BGM-4 7-11'!R16</f>
        <v>0</v>
      </c>
      <c r="S17" s="222">
        <f>'Exh. No. BGM-4 7-11'!S16</f>
        <v>-3321</v>
      </c>
      <c r="T17" s="222">
        <f>'Exh. No. BGM-4 7-11'!T16</f>
        <v>-51690</v>
      </c>
      <c r="U17" s="222">
        <f>'Exh. No. BGM-4 7-11'!U16</f>
        <v>114</v>
      </c>
      <c r="V17" s="222">
        <f>'Exh. No. BGM-4 7-11'!V16</f>
        <v>0</v>
      </c>
      <c r="W17" s="222">
        <f>'Exh. No. BGM-4 7-11'!W16</f>
        <v>0</v>
      </c>
      <c r="X17" s="222">
        <f>'Exh. No. BGM-4 7-11'!X16</f>
        <v>0</v>
      </c>
      <c r="Y17" s="222">
        <f>'Exh. No. BGM-4 7-11'!AA16</f>
        <v>4549</v>
      </c>
      <c r="Z17" s="222">
        <f>'Exh. No. BGM-4 7-11'!AB16</f>
        <v>0</v>
      </c>
      <c r="AA17" s="222">
        <f>'Exh. No. BGM-4 7-11'!AC16</f>
        <v>0</v>
      </c>
      <c r="AB17" s="222">
        <f>'Exh. No. BGM-4 7-11'!AD16</f>
        <v>0</v>
      </c>
      <c r="AC17" s="222">
        <f>'Exh. No. BGM-4 7-11'!AE16</f>
        <v>0</v>
      </c>
      <c r="AD17" s="222">
        <f>'Exh. No. BGM-4 7-11'!AF16</f>
        <v>0</v>
      </c>
      <c r="AE17" s="222">
        <f>'Exh. No. BGM-4 7-11'!AG16</f>
        <v>0</v>
      </c>
      <c r="AF17" s="222">
        <f>'Exh. No. BGM-4 7-11'!AH16</f>
        <v>0</v>
      </c>
      <c r="AG17" s="222">
        <f>'Exh. No. BGM-4 7-11'!AI16</f>
        <v>0</v>
      </c>
      <c r="AH17" s="222">
        <f>'Exh. No. BGM-4 7-11'!AJ16</f>
        <v>0</v>
      </c>
      <c r="AI17" s="222">
        <f>'Exh. No. BGM-4 7-11'!AK16</f>
        <v>0</v>
      </c>
      <c r="AJ17" s="222">
        <f>'Exh. No. BGM-4 7-11'!AL16</f>
        <v>0</v>
      </c>
      <c r="AK17" s="222">
        <f>'Exh. No. BGM-4 7-11'!AM16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-49234.76704350637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'Exh. No. BGM-4 7-11'!E21</f>
        <v>90669</v>
      </c>
      <c r="F22" s="221">
        <f>'Exh. No. BGM-4 7-11'!F21</f>
        <v>0</v>
      </c>
      <c r="G22" s="221">
        <f>'Exh. No. BGM-4 7-11'!G21</f>
        <v>0</v>
      </c>
      <c r="H22" s="221">
        <f>'Exh. No. BGM-4 7-11'!H21</f>
        <v>0</v>
      </c>
      <c r="I22" s="221">
        <f>'Exh. No. BGM-4 7-11'!I21</f>
        <v>0</v>
      </c>
      <c r="J22" s="221">
        <f>'Exh. No. BGM-4 7-11'!J21</f>
        <v>0</v>
      </c>
      <c r="K22" s="221">
        <f>'Exh. No. BGM-4 7-11'!K21</f>
        <v>0</v>
      </c>
      <c r="L22" s="221">
        <f>'Exh. No. BGM-4 7-11'!L21</f>
        <v>0</v>
      </c>
      <c r="M22" s="221">
        <f>'Exh. No. BGM-4 7-11'!M21</f>
        <v>0</v>
      </c>
      <c r="N22" s="221">
        <f>'Exh. No. BGM-4 7-11'!N21</f>
        <v>0</v>
      </c>
      <c r="O22" s="221">
        <f>'Exh. No. BGM-4 7-11'!O21</f>
        <v>0</v>
      </c>
      <c r="P22" s="221">
        <f>'Exh. No. BGM-4 7-11'!P21</f>
        <v>0</v>
      </c>
      <c r="Q22" s="221">
        <f>'Exh. No. BGM-4 7-11'!Q21</f>
        <v>0</v>
      </c>
      <c r="R22" s="221">
        <f>'Exh. No. BGM-4 7-11'!R21</f>
        <v>0</v>
      </c>
      <c r="S22" s="221">
        <f>'Exh. No. BGM-4 7-11'!S21</f>
        <v>2651</v>
      </c>
      <c r="T22" s="221">
        <f>'Exh. No. BGM-4 7-11'!T21</f>
        <v>-41801</v>
      </c>
      <c r="U22" s="221">
        <f>'Exh. No. BGM-4 7-11'!U21</f>
        <v>0</v>
      </c>
      <c r="V22" s="221">
        <f>'Exh. No. BGM-4 7-11'!V21</f>
        <v>0</v>
      </c>
      <c r="W22" s="221">
        <f>'Exh. No. BGM-4 7-11'!W21</f>
        <v>0</v>
      </c>
      <c r="X22" s="221">
        <f>'Exh. No. BGM-4 7-11'!X21</f>
        <v>0</v>
      </c>
      <c r="Y22" s="221">
        <f>'Exh. No. BGM-4 7-11'!AA21</f>
        <v>-51519</v>
      </c>
      <c r="Z22" s="221">
        <f>'Exh. No. BGM-4 7-11'!AB21</f>
        <v>0</v>
      </c>
      <c r="AA22" s="221">
        <f>'Exh. No. BGM-4 7-11'!AC21</f>
        <v>0</v>
      </c>
      <c r="AB22" s="221">
        <f>'Exh. No. BGM-4 7-11'!AD21</f>
        <v>0</v>
      </c>
      <c r="AC22" s="221">
        <f>'Exh. No. BGM-4 7-11'!AE21</f>
        <v>0</v>
      </c>
      <c r="AD22" s="221">
        <f>'Exh. No. BGM-4 7-11'!AF21</f>
        <v>0</v>
      </c>
      <c r="AE22" s="221">
        <f>'Exh. No. BGM-4 7-11'!AG21</f>
        <v>0</v>
      </c>
      <c r="AF22" s="221">
        <f>'Exh. No. BGM-4 7-11'!AH21</f>
        <v>0</v>
      </c>
      <c r="AG22" s="221">
        <f>'Exh. No. BGM-4 7-11'!AI21</f>
        <v>0</v>
      </c>
      <c r="AH22" s="221">
        <f>'Exh. No. BGM-4 7-11'!AJ21</f>
        <v>0</v>
      </c>
      <c r="AI22" s="221">
        <f>'Exh. No. BGM-4 7-11'!AK21</f>
        <v>0</v>
      </c>
      <c r="AJ22" s="221">
        <f>'Exh. No. BGM-4 7-11'!AL21</f>
        <v>0</v>
      </c>
      <c r="AK22" s="221">
        <f>'Exh. No. BGM-4 7-11'!AM21</f>
        <v>0</v>
      </c>
    </row>
    <row r="23" spans="1:37">
      <c r="A23" s="200">
        <v>6</v>
      </c>
      <c r="C23" s="202" t="s">
        <v>39</v>
      </c>
      <c r="D23" s="202"/>
      <c r="E23" s="221">
        <f>'Exh. No. BGM-4 7-11'!E22</f>
        <v>955</v>
      </c>
      <c r="F23" s="221">
        <f>'Exh. No. BGM-4 7-11'!F22</f>
        <v>0</v>
      </c>
      <c r="G23" s="221">
        <f>'Exh. No. BGM-4 7-11'!G22</f>
        <v>0</v>
      </c>
      <c r="H23" s="221">
        <f>'Exh. No. BGM-4 7-11'!H22</f>
        <v>0</v>
      </c>
      <c r="I23" s="221">
        <f>'Exh. No. BGM-4 7-11'!I22</f>
        <v>0</v>
      </c>
      <c r="J23" s="221">
        <f>'Exh. No. BGM-4 7-11'!J22</f>
        <v>0</v>
      </c>
      <c r="K23" s="221">
        <f>'Exh. No. BGM-4 7-11'!K22</f>
        <v>0</v>
      </c>
      <c r="L23" s="221">
        <f>'Exh. No. BGM-4 7-11'!L22</f>
        <v>0</v>
      </c>
      <c r="M23" s="221">
        <f>'Exh. No. BGM-4 7-11'!M22</f>
        <v>0</v>
      </c>
      <c r="N23" s="221">
        <f>'Exh. No. BGM-4 7-11'!N22</f>
        <v>0</v>
      </c>
      <c r="O23" s="221">
        <f>'Exh. No. BGM-4 7-11'!O22</f>
        <v>0</v>
      </c>
      <c r="P23" s="221">
        <f>'Exh. No. BGM-4 7-11'!P22</f>
        <v>0</v>
      </c>
      <c r="Q23" s="221">
        <f>'Exh. No. BGM-4 7-11'!Q22</f>
        <v>0</v>
      </c>
      <c r="R23" s="221">
        <f>'Exh. No. BGM-4 7-11'!R22</f>
        <v>0</v>
      </c>
      <c r="S23" s="221">
        <f>'Exh. No. BGM-4 7-11'!S22</f>
        <v>4</v>
      </c>
      <c r="T23" s="221">
        <f>'Exh. No. BGM-4 7-11'!T22</f>
        <v>0</v>
      </c>
      <c r="U23" s="221">
        <f>'Exh. No. BGM-4 7-11'!U22</f>
        <v>0</v>
      </c>
      <c r="V23" s="221">
        <f>'Exh. No. BGM-4 7-11'!V22</f>
        <v>0</v>
      </c>
      <c r="W23" s="221">
        <f>'Exh. No. BGM-4 7-11'!W22</f>
        <v>0</v>
      </c>
      <c r="X23" s="221">
        <f>'Exh. No. BGM-4 7-11'!X22</f>
        <v>0</v>
      </c>
      <c r="Y23" s="221">
        <f>'Exh. No. BGM-4 7-11'!AA22</f>
        <v>0</v>
      </c>
      <c r="Z23" s="221">
        <f>'Exh. No. BGM-4 7-11'!AB22</f>
        <v>0</v>
      </c>
      <c r="AA23" s="221">
        <f>'Exh. No. BGM-4 7-11'!AC22</f>
        <v>16</v>
      </c>
      <c r="AB23" s="221">
        <f>'Exh. No. BGM-4 7-11'!AD22</f>
        <v>0</v>
      </c>
      <c r="AC23" s="221">
        <f>'Exh. No. BGM-4 7-11'!AE22</f>
        <v>24</v>
      </c>
      <c r="AD23" s="221">
        <f>'Exh. No. BGM-4 7-11'!AF22</f>
        <v>0</v>
      </c>
      <c r="AE23" s="221">
        <f>'Exh. No. BGM-4 7-11'!AG22</f>
        <v>0</v>
      </c>
      <c r="AF23" s="221">
        <f>'Exh. No. BGM-4 7-11'!AH22</f>
        <v>0</v>
      </c>
      <c r="AG23" s="221">
        <f>'Exh. No. BGM-4 7-11'!AI22</f>
        <v>0</v>
      </c>
      <c r="AH23" s="221">
        <f>'Exh. No. BGM-4 7-11'!AJ22</f>
        <v>0</v>
      </c>
      <c r="AI23" s="221">
        <f>'Exh. No. BGM-4 7-11'!AK22</f>
        <v>0</v>
      </c>
      <c r="AJ23" s="221">
        <f>'Exh. No. BGM-4 7-11'!AL22</f>
        <v>0</v>
      </c>
      <c r="AK23" s="221">
        <f>'Exh. No. BGM-4 7-11'!AM22</f>
        <v>0</v>
      </c>
    </row>
    <row r="24" spans="1:37">
      <c r="A24" s="200">
        <v>7</v>
      </c>
      <c r="C24" s="202" t="s">
        <v>40</v>
      </c>
      <c r="D24" s="202"/>
      <c r="E24" s="222">
        <f>'Exh. No. BGM-4 7-11'!E23</f>
        <v>-292</v>
      </c>
      <c r="F24" s="222">
        <f>'Exh. No. BGM-4 7-11'!F23</f>
        <v>0</v>
      </c>
      <c r="G24" s="222">
        <f>'Exh. No. BGM-4 7-11'!G23</f>
        <v>0</v>
      </c>
      <c r="H24" s="222">
        <f>'Exh. No. BGM-4 7-11'!H23</f>
        <v>0</v>
      </c>
      <c r="I24" s="222">
        <f>'Exh. No. BGM-4 7-11'!I23</f>
        <v>0</v>
      </c>
      <c r="J24" s="222">
        <f>'Exh. No. BGM-4 7-11'!J23</f>
        <v>0</v>
      </c>
      <c r="K24" s="222">
        <f>'Exh. No. BGM-4 7-11'!K23</f>
        <v>0</v>
      </c>
      <c r="L24" s="222">
        <f>'Exh. No. BGM-4 7-11'!L23</f>
        <v>0</v>
      </c>
      <c r="M24" s="222">
        <f>'Exh. No. BGM-4 7-11'!M23</f>
        <v>0</v>
      </c>
      <c r="N24" s="222">
        <f>'Exh. No. BGM-4 7-11'!N23</f>
        <v>0</v>
      </c>
      <c r="O24" s="222">
        <f>'Exh. No. BGM-4 7-11'!O23</f>
        <v>0</v>
      </c>
      <c r="P24" s="222">
        <f>'Exh. No. BGM-4 7-11'!P23</f>
        <v>0</v>
      </c>
      <c r="Q24" s="222">
        <f>'Exh. No. BGM-4 7-11'!Q23</f>
        <v>0</v>
      </c>
      <c r="R24" s="222">
        <f>'Exh. No. BGM-4 7-11'!R23</f>
        <v>0</v>
      </c>
      <c r="S24" s="222">
        <f>'Exh. No. BGM-4 7-11'!S23</f>
        <v>0</v>
      </c>
      <c r="T24" s="222">
        <f>'Exh. No. BGM-4 7-11'!T23</f>
        <v>292</v>
      </c>
      <c r="U24" s="222">
        <f>'Exh. No. BGM-4 7-11'!U23</f>
        <v>0</v>
      </c>
      <c r="V24" s="222">
        <f>'Exh. No. BGM-4 7-11'!V23</f>
        <v>0</v>
      </c>
      <c r="W24" s="222">
        <f>'Exh. No. BGM-4 7-11'!W23</f>
        <v>0</v>
      </c>
      <c r="X24" s="222">
        <f>'Exh. No. BGM-4 7-11'!X23</f>
        <v>0</v>
      </c>
      <c r="Y24" s="222">
        <f>'Exh. No. BGM-4 7-11'!AA23</f>
        <v>0</v>
      </c>
      <c r="Z24" s="222">
        <f>'Exh. No. BGM-4 7-11'!AB23</f>
        <v>0</v>
      </c>
      <c r="AA24" s="222">
        <f>'Exh. No. BGM-4 7-11'!AC23</f>
        <v>0</v>
      </c>
      <c r="AB24" s="222">
        <f>'Exh. No. BGM-4 7-11'!AD23</f>
        <v>0</v>
      </c>
      <c r="AC24" s="222">
        <f>'Exh. No. BGM-4 7-11'!AE23</f>
        <v>0</v>
      </c>
      <c r="AD24" s="222">
        <f>'Exh. No. BGM-4 7-11'!AF23</f>
        <v>0</v>
      </c>
      <c r="AE24" s="222">
        <f>'Exh. No. BGM-4 7-11'!AG23</f>
        <v>0</v>
      </c>
      <c r="AF24" s="222">
        <f>'Exh. No. BGM-4 7-11'!AH23</f>
        <v>0</v>
      </c>
      <c r="AG24" s="222">
        <f>'Exh. No. BGM-4 7-11'!AI23</f>
        <v>0</v>
      </c>
      <c r="AH24" s="222">
        <f>'Exh. No. BGM-4 7-11'!AJ23</f>
        <v>0</v>
      </c>
      <c r="AI24" s="222">
        <f>'Exh. No. BGM-4 7-11'!AK23</f>
        <v>0</v>
      </c>
      <c r="AJ24" s="222">
        <f>'Exh. No. BGM-4 7-11'!AL23</f>
        <v>0</v>
      </c>
      <c r="AK24" s="222">
        <f>'Exh. No. BGM-4 7-11'!AM23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24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'Exh. No. BGM-4 7-11'!E27</f>
        <v>1532</v>
      </c>
      <c r="F28" s="221">
        <f>'Exh. No. BGM-4 7-11'!F27</f>
        <v>0</v>
      </c>
      <c r="G28" s="221">
        <f>'Exh. No. BGM-4 7-11'!G27</f>
        <v>0</v>
      </c>
      <c r="H28" s="221">
        <f>'Exh. No. BGM-4 7-11'!H27</f>
        <v>0</v>
      </c>
      <c r="I28" s="221">
        <f>'Exh. No. BGM-4 7-11'!I27</f>
        <v>0</v>
      </c>
      <c r="J28" s="221">
        <f>'Exh. No. BGM-4 7-11'!J27</f>
        <v>0</v>
      </c>
      <c r="K28" s="221">
        <f>'Exh. No. BGM-4 7-11'!K27</f>
        <v>0</v>
      </c>
      <c r="L28" s="221">
        <f>'Exh. No. BGM-4 7-11'!L27</f>
        <v>0</v>
      </c>
      <c r="M28" s="221">
        <f>'Exh. No. BGM-4 7-11'!M27</f>
        <v>0</v>
      </c>
      <c r="N28" s="221">
        <f>'Exh. No. BGM-4 7-11'!N27</f>
        <v>0</v>
      </c>
      <c r="O28" s="221">
        <f>'Exh. No. BGM-4 7-11'!O27</f>
        <v>0</v>
      </c>
      <c r="P28" s="221">
        <f>'Exh. No. BGM-4 7-11'!P27</f>
        <v>0</v>
      </c>
      <c r="Q28" s="221">
        <f>'Exh. No. BGM-4 7-11'!Q27</f>
        <v>0</v>
      </c>
      <c r="R28" s="221">
        <f>'Exh. No. BGM-4 7-11'!R27</f>
        <v>0</v>
      </c>
      <c r="S28" s="221">
        <f>'Exh. No. BGM-4 7-11'!S27</f>
        <v>0</v>
      </c>
      <c r="T28" s="221">
        <f>'Exh. No. BGM-4 7-11'!T27</f>
        <v>0</v>
      </c>
      <c r="U28" s="221">
        <f>'Exh. No. BGM-4 7-11'!U27</f>
        <v>0</v>
      </c>
      <c r="V28" s="221">
        <f>'Exh. No. BGM-4 7-11'!V27</f>
        <v>0</v>
      </c>
      <c r="W28" s="221">
        <f>'Exh. No. BGM-4 7-11'!W27</f>
        <v>0</v>
      </c>
      <c r="X28" s="221">
        <f>'Exh. No. BGM-4 7-11'!X27</f>
        <v>0</v>
      </c>
      <c r="Y28" s="221">
        <f>'Exh. No. BGM-4 7-11'!AA27</f>
        <v>0</v>
      </c>
      <c r="Z28" s="221">
        <f>'Exh. No. BGM-4 7-11'!AB27</f>
        <v>0</v>
      </c>
      <c r="AA28" s="221">
        <f>'Exh. No. BGM-4 7-11'!AC27</f>
        <v>0</v>
      </c>
      <c r="AB28" s="221">
        <f>'Exh. No. BGM-4 7-11'!AD27</f>
        <v>0</v>
      </c>
      <c r="AC28" s="221">
        <f>'Exh. No. BGM-4 7-11'!AE27</f>
        <v>0</v>
      </c>
      <c r="AD28" s="221">
        <f>'Exh. No. BGM-4 7-11'!AF27</f>
        <v>0</v>
      </c>
      <c r="AE28" s="221">
        <f>'Exh. No. BGM-4 7-11'!AG27</f>
        <v>0</v>
      </c>
      <c r="AF28" s="221">
        <f>'Exh. No. BGM-4 7-11'!AH27</f>
        <v>0</v>
      </c>
      <c r="AG28" s="221">
        <f>'Exh. No. BGM-4 7-11'!AI27</f>
        <v>0</v>
      </c>
      <c r="AH28" s="221">
        <f>'Exh. No. BGM-4 7-11'!AJ27</f>
        <v>0</v>
      </c>
      <c r="AI28" s="221">
        <f>'Exh. No. BGM-4 7-11'!AK27</f>
        <v>0</v>
      </c>
      <c r="AJ28" s="221">
        <f>'Exh. No. BGM-4 7-11'!AL27</f>
        <v>0</v>
      </c>
      <c r="AK28" s="221">
        <f>'Exh. No. BGM-4 7-11'!AM27</f>
        <v>0</v>
      </c>
    </row>
    <row r="29" spans="1:37">
      <c r="A29" s="200">
        <v>10</v>
      </c>
      <c r="C29" s="202" t="s">
        <v>200</v>
      </c>
      <c r="D29" s="202"/>
      <c r="E29" s="221">
        <f>'Exh. No. BGM-4 7-11'!E28</f>
        <v>627</v>
      </c>
      <c r="F29" s="221">
        <f>'Exh. No. BGM-4 7-11'!F28</f>
        <v>0</v>
      </c>
      <c r="G29" s="221">
        <f>'Exh. No. BGM-4 7-11'!G28</f>
        <v>0</v>
      </c>
      <c r="H29" s="221">
        <f>'Exh. No. BGM-4 7-11'!H28</f>
        <v>0</v>
      </c>
      <c r="I29" s="221">
        <f>'Exh. No. BGM-4 7-11'!I28</f>
        <v>0</v>
      </c>
      <c r="J29" s="221">
        <f>'Exh. No. BGM-4 7-11'!J28</f>
        <v>0</v>
      </c>
      <c r="K29" s="221">
        <f>'Exh. No. BGM-4 7-11'!K28</f>
        <v>0</v>
      </c>
      <c r="L29" s="221">
        <f>'Exh. No. BGM-4 7-11'!L28</f>
        <v>0</v>
      </c>
      <c r="M29" s="221">
        <f>'Exh. No. BGM-4 7-11'!M28</f>
        <v>0</v>
      </c>
      <c r="N29" s="221">
        <f>'Exh. No. BGM-4 7-11'!N28</f>
        <v>0</v>
      </c>
      <c r="O29" s="221">
        <f>'Exh. No. BGM-4 7-11'!O28</f>
        <v>0</v>
      </c>
      <c r="P29" s="221">
        <f>'Exh. No. BGM-4 7-11'!P28</f>
        <v>0</v>
      </c>
      <c r="Q29" s="221">
        <f>'Exh. No. BGM-4 7-11'!Q28</f>
        <v>0</v>
      </c>
      <c r="R29" s="221">
        <f>'Exh. No. BGM-4 7-11'!R28</f>
        <v>0</v>
      </c>
      <c r="S29" s="221">
        <f>'Exh. No. BGM-4 7-11'!S28</f>
        <v>0</v>
      </c>
      <c r="T29" s="221">
        <f>'Exh. No. BGM-4 7-11'!T28</f>
        <v>0</v>
      </c>
      <c r="U29" s="221">
        <f>'Exh. No. BGM-4 7-11'!U28</f>
        <v>0</v>
      </c>
      <c r="V29" s="221">
        <f>'Exh. No. BGM-4 7-11'!V28</f>
        <v>0</v>
      </c>
      <c r="W29" s="221">
        <f>'Exh. No. BGM-4 7-11'!W28</f>
        <v>0</v>
      </c>
      <c r="X29" s="221">
        <f>'Exh. No. BGM-4 7-11'!X28</f>
        <v>43</v>
      </c>
      <c r="Y29" s="221">
        <f>'Exh. No. BGM-4 7-11'!AA28</f>
        <v>0</v>
      </c>
      <c r="Z29" s="221">
        <f>'Exh. No. BGM-4 7-11'!AB28</f>
        <v>0</v>
      </c>
      <c r="AA29" s="221">
        <f>'Exh. No. BGM-4 7-11'!AC28</f>
        <v>0</v>
      </c>
      <c r="AB29" s="221">
        <f>'Exh. No. BGM-4 7-11'!AD28</f>
        <v>0</v>
      </c>
      <c r="AC29" s="221">
        <f>'Exh. No. BGM-4 7-11'!AE28</f>
        <v>0</v>
      </c>
      <c r="AD29" s="221">
        <f>'Exh. No. BGM-4 7-11'!AF28</f>
        <v>0</v>
      </c>
      <c r="AE29" s="221">
        <f>'Exh. No. BGM-4 7-11'!AG28</f>
        <v>0</v>
      </c>
      <c r="AF29" s="221">
        <f>'Exh. No. BGM-4 7-11'!AH28</f>
        <v>0</v>
      </c>
      <c r="AG29" s="221">
        <f>'Exh. No. BGM-4 7-11'!AI28</f>
        <v>-244</v>
      </c>
      <c r="AH29" s="221">
        <f>'Exh. No. BGM-4 7-11'!AJ28</f>
        <v>0</v>
      </c>
      <c r="AI29" s="221">
        <f>'Exh. No. BGM-4 7-11'!AK28</f>
        <v>0</v>
      </c>
      <c r="AJ29" s="221">
        <f>'Exh. No. BGM-4 7-11'!AL28</f>
        <v>0</v>
      </c>
      <c r="AK29" s="221">
        <f>'Exh. No. BGM-4 7-11'!AM28</f>
        <v>0</v>
      </c>
    </row>
    <row r="30" spans="1:37">
      <c r="A30" s="200">
        <v>11</v>
      </c>
      <c r="C30" s="202" t="s">
        <v>21</v>
      </c>
      <c r="D30" s="202"/>
      <c r="E30" s="222">
        <f>'Exh. No. BGM-4 7-11'!E29</f>
        <v>302</v>
      </c>
      <c r="F30" s="222">
        <f>'Exh. No. BGM-4 7-11'!F29</f>
        <v>0</v>
      </c>
      <c r="G30" s="222">
        <f>'Exh. No. BGM-4 7-11'!G29</f>
        <v>0</v>
      </c>
      <c r="H30" s="222">
        <f>'Exh. No. BGM-4 7-11'!H29</f>
        <v>0</v>
      </c>
      <c r="I30" s="222">
        <f>'Exh. No. BGM-4 7-11'!I29</f>
        <v>0</v>
      </c>
      <c r="J30" s="222">
        <f>'Exh. No. BGM-4 7-11'!J29</f>
        <v>0</v>
      </c>
      <c r="K30" s="222">
        <f>'Exh. No. BGM-4 7-11'!K29</f>
        <v>-78</v>
      </c>
      <c r="L30" s="222">
        <f>'Exh. No. BGM-4 7-11'!L29</f>
        <v>0</v>
      </c>
      <c r="M30" s="222">
        <f>'Exh. No. BGM-4 7-11'!M29</f>
        <v>0</v>
      </c>
      <c r="N30" s="222">
        <f>'Exh. No. BGM-4 7-11'!N29</f>
        <v>0</v>
      </c>
      <c r="O30" s="222">
        <f>'Exh. No. BGM-4 7-11'!O29</f>
        <v>0</v>
      </c>
      <c r="P30" s="222">
        <f>'Exh. No. BGM-4 7-11'!P29</f>
        <v>0</v>
      </c>
      <c r="Q30" s="222">
        <f>'Exh. No. BGM-4 7-11'!Q29</f>
        <v>0</v>
      </c>
      <c r="R30" s="222">
        <f>'Exh. No. BGM-4 7-11'!R29</f>
        <v>0</v>
      </c>
      <c r="S30" s="222">
        <f>'Exh. No. BGM-4 7-11'!S29</f>
        <v>0</v>
      </c>
      <c r="T30" s="222">
        <f>'Exh. No. BGM-4 7-11'!T29</f>
        <v>0</v>
      </c>
      <c r="U30" s="222">
        <f>'Exh. No. BGM-4 7-11'!U29</f>
        <v>0</v>
      </c>
      <c r="V30" s="222">
        <f>'Exh. No. BGM-4 7-11'!V29</f>
        <v>0</v>
      </c>
      <c r="W30" s="222">
        <f>'Exh. No. BGM-4 7-11'!W29</f>
        <v>0</v>
      </c>
      <c r="X30" s="222">
        <f>'Exh. No. BGM-4 7-11'!X29</f>
        <v>0</v>
      </c>
      <c r="Y30" s="222">
        <f>'Exh. No. BGM-4 7-11'!AA29</f>
        <v>0</v>
      </c>
      <c r="Z30" s="222">
        <f>'Exh. No. BGM-4 7-11'!AB29</f>
        <v>0</v>
      </c>
      <c r="AA30" s="222">
        <f>'Exh. No. BGM-4 7-11'!AC29</f>
        <v>0</v>
      </c>
      <c r="AB30" s="222">
        <f>'Exh. No. BGM-4 7-11'!AD29</f>
        <v>0</v>
      </c>
      <c r="AC30" s="222">
        <f>'Exh. No. BGM-4 7-11'!AE29</f>
        <v>0</v>
      </c>
      <c r="AD30" s="222">
        <f>'Exh. No. BGM-4 7-11'!AF29</f>
        <v>0</v>
      </c>
      <c r="AE30" s="222">
        <f>'Exh. No. BGM-4 7-11'!AG29</f>
        <v>0</v>
      </c>
      <c r="AF30" s="222">
        <f>'Exh. No. BGM-4 7-11'!AH29</f>
        <v>29</v>
      </c>
      <c r="AG30" s="222">
        <f>'Exh. No. BGM-4 7-11'!AI29</f>
        <v>0</v>
      </c>
      <c r="AH30" s="222">
        <f>'Exh. No. BGM-4 7-11'!AJ29</f>
        <v>0</v>
      </c>
      <c r="AI30" s="222">
        <f>'Exh. No. BGM-4 7-11'!AK29</f>
        <v>0</v>
      </c>
      <c r="AJ30" s="222">
        <f>'Exh. No. BGM-4 7-11'!AL29</f>
        <v>0</v>
      </c>
      <c r="AK30" s="222">
        <f>'Exh. No. BGM-4 7-11'!AM29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29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'Exh. No. BGM-4 7-11'!E33</f>
        <v>12316</v>
      </c>
      <c r="F34" s="221">
        <f>'Exh. No. BGM-4 7-11'!F33</f>
        <v>0</v>
      </c>
      <c r="G34" s="221">
        <f>'Exh. No. BGM-4 7-11'!G33</f>
        <v>0</v>
      </c>
      <c r="H34" s="221">
        <f>'Exh. No. BGM-4 7-11'!H33</f>
        <v>0</v>
      </c>
      <c r="I34" s="221">
        <f>'Exh. No. BGM-4 7-11'!I33</f>
        <v>0</v>
      </c>
      <c r="J34" s="221">
        <f>'Exh. No. BGM-4 7-11'!J33</f>
        <v>0</v>
      </c>
      <c r="K34" s="221">
        <f>'Exh. No. BGM-4 7-11'!K33</f>
        <v>0</v>
      </c>
      <c r="L34" s="221">
        <f>'Exh. No. BGM-4 7-11'!L33</f>
        <v>0</v>
      </c>
      <c r="M34" s="221">
        <f>'Exh. No. BGM-4 7-11'!M33</f>
        <v>0</v>
      </c>
      <c r="N34" s="221">
        <f>'Exh. No. BGM-4 7-11'!N33</f>
        <v>0</v>
      </c>
      <c r="O34" s="221">
        <f>'Exh. No. BGM-4 7-11'!O33</f>
        <v>0</v>
      </c>
      <c r="P34" s="221">
        <f>'Exh. No. BGM-4 7-11'!P33</f>
        <v>0</v>
      </c>
      <c r="Q34" s="221">
        <f>'Exh. No. BGM-4 7-11'!Q33</f>
        <v>0</v>
      </c>
      <c r="R34" s="221">
        <f>'Exh. No. BGM-4 7-11'!R33</f>
        <v>0</v>
      </c>
      <c r="S34" s="221">
        <f>'Exh. No. BGM-4 7-11'!S33</f>
        <v>0</v>
      </c>
      <c r="T34" s="221">
        <f>'Exh. No. BGM-4 7-11'!T33</f>
        <v>0</v>
      </c>
      <c r="U34" s="221">
        <f>'Exh. No. BGM-4 7-11'!U33</f>
        <v>-8</v>
      </c>
      <c r="V34" s="221">
        <f>'Exh. No. BGM-4 7-11'!V33</f>
        <v>0</v>
      </c>
      <c r="W34" s="221">
        <f>'Exh. No. BGM-4 7-11'!W33</f>
        <v>0</v>
      </c>
      <c r="X34" s="221">
        <f>'Exh. No. BGM-4 7-11'!X33</f>
        <v>0</v>
      </c>
      <c r="Y34" s="221">
        <f>'Exh. No. BGM-4 7-11'!AA33</f>
        <v>0</v>
      </c>
      <c r="Z34" s="221">
        <f>'Exh. No. BGM-4 7-11'!AB33</f>
        <v>0</v>
      </c>
      <c r="AA34" s="221">
        <f>'Exh. No. BGM-4 7-11'!AC33</f>
        <v>362</v>
      </c>
      <c r="AB34" s="221">
        <f>'Exh. No. BGM-4 7-11'!AD33</f>
        <v>0</v>
      </c>
      <c r="AC34" s="221">
        <f>'Exh. No. BGM-4 7-11'!AE33</f>
        <v>328</v>
      </c>
      <c r="AD34" s="221">
        <f>'Exh. No. BGM-4 7-11'!AF33</f>
        <v>0</v>
      </c>
      <c r="AE34" s="221">
        <f>'Exh. No. BGM-4 7-11'!AG33</f>
        <v>0</v>
      </c>
      <c r="AF34" s="221">
        <f>'Exh. No. BGM-4 7-11'!AH33</f>
        <v>0</v>
      </c>
      <c r="AG34" s="221">
        <f>'Exh. No. BGM-4 7-11'!AI33</f>
        <v>0</v>
      </c>
      <c r="AH34" s="221">
        <f>'Exh. No. BGM-4 7-11'!AJ33</f>
        <v>0</v>
      </c>
      <c r="AI34" s="221">
        <f>'Exh. No. BGM-4 7-11'!AK33</f>
        <v>0</v>
      </c>
      <c r="AJ34" s="221">
        <f>'Exh. No. BGM-4 7-11'!AL33</f>
        <v>0</v>
      </c>
      <c r="AK34" s="221">
        <f>'Exh. No. BGM-4 7-11'!AM33</f>
        <v>0</v>
      </c>
    </row>
    <row r="35" spans="1:37">
      <c r="A35" s="200">
        <v>14</v>
      </c>
      <c r="C35" s="202" t="s">
        <v>200</v>
      </c>
      <c r="D35" s="202"/>
      <c r="E35" s="223">
        <f>'Exh. No. BGM-4 7-11'!E34</f>
        <v>11642</v>
      </c>
      <c r="F35" s="223">
        <f>'Exh. No. BGM-4 7-11'!F34</f>
        <v>0</v>
      </c>
      <c r="G35" s="223">
        <f>'Exh. No. BGM-4 7-11'!G34</f>
        <v>0</v>
      </c>
      <c r="H35" s="223">
        <f>'Exh. No. BGM-4 7-11'!H34</f>
        <v>0</v>
      </c>
      <c r="I35" s="223">
        <f>'Exh. No. BGM-4 7-11'!I34</f>
        <v>0</v>
      </c>
      <c r="J35" s="223">
        <f>'Exh. No. BGM-4 7-11'!J34</f>
        <v>0</v>
      </c>
      <c r="K35" s="223">
        <f>'Exh. No. BGM-4 7-11'!K34</f>
        <v>0</v>
      </c>
      <c r="L35" s="223">
        <f>'Exh. No. BGM-4 7-11'!L34</f>
        <v>0</v>
      </c>
      <c r="M35" s="223">
        <f>'Exh. No. BGM-4 7-11'!M34</f>
        <v>0</v>
      </c>
      <c r="N35" s="223">
        <f>'Exh. No. BGM-4 7-11'!N34</f>
        <v>0</v>
      </c>
      <c r="O35" s="223">
        <f>'Exh. No. BGM-4 7-11'!O34</f>
        <v>0</v>
      </c>
      <c r="P35" s="223">
        <f>'Exh. No. BGM-4 7-11'!P34</f>
        <v>0</v>
      </c>
      <c r="Q35" s="223">
        <f>'Exh. No. BGM-4 7-11'!Q34</f>
        <v>0</v>
      </c>
      <c r="R35" s="223">
        <f>'Exh. No. BGM-4 7-11'!R34</f>
        <v>-13</v>
      </c>
      <c r="S35" s="223">
        <f>'Exh. No. BGM-4 7-11'!S34</f>
        <v>0</v>
      </c>
      <c r="T35" s="223">
        <f>'Exh. No. BGM-4 7-11'!T34</f>
        <v>0</v>
      </c>
      <c r="U35" s="223">
        <f>'Exh. No. BGM-4 7-11'!U34</f>
        <v>0</v>
      </c>
      <c r="V35" s="223">
        <f>'Exh. No. BGM-4 7-11'!V34</f>
        <v>0</v>
      </c>
      <c r="W35" s="223">
        <f>'Exh. No. BGM-4 7-11'!W34</f>
        <v>0</v>
      </c>
      <c r="X35" s="223">
        <f>'Exh. No. BGM-4 7-11'!X34</f>
        <v>567</v>
      </c>
      <c r="Y35" s="223">
        <f>'Exh. No. BGM-4 7-11'!AA34</f>
        <v>0</v>
      </c>
      <c r="Z35" s="223">
        <f>'Exh. No. BGM-4 7-11'!AB34</f>
        <v>0</v>
      </c>
      <c r="AA35" s="223">
        <f>'Exh. No. BGM-4 7-11'!AC34</f>
        <v>0</v>
      </c>
      <c r="AB35" s="223">
        <f>'Exh. No. BGM-4 7-11'!AD34</f>
        <v>0</v>
      </c>
      <c r="AC35" s="223">
        <f>'Exh. No. BGM-4 7-11'!AE34</f>
        <v>0</v>
      </c>
      <c r="AD35" s="223">
        <f>'Exh. No. BGM-4 7-11'!AF34</f>
        <v>0</v>
      </c>
      <c r="AE35" s="223">
        <f>'Exh. No. BGM-4 7-11'!AG34</f>
        <v>0</v>
      </c>
      <c r="AF35" s="223">
        <f>'Exh. No. BGM-4 7-11'!AH34</f>
        <v>0</v>
      </c>
      <c r="AG35" s="223">
        <f>'Exh. No. BGM-4 7-11'!AI34</f>
        <v>-731</v>
      </c>
      <c r="AH35" s="223">
        <f>'Exh. No. BGM-4 7-11'!AJ34</f>
        <v>347</v>
      </c>
      <c r="AI35" s="223">
        <f>'Exh. No. BGM-4 7-11'!AK34</f>
        <v>0</v>
      </c>
      <c r="AJ35" s="223">
        <f>'Exh. No. BGM-4 7-11'!AL34</f>
        <v>0</v>
      </c>
      <c r="AK35" s="223">
        <f>'Exh. No. BGM-4 7-11'!AM34</f>
        <v>0</v>
      </c>
    </row>
    <row r="36" spans="1:37">
      <c r="A36" s="200">
        <v>15</v>
      </c>
      <c r="C36" s="202" t="s">
        <v>21</v>
      </c>
      <c r="D36" s="202"/>
      <c r="E36" s="222">
        <f>'Exh. No. BGM-4 7-11'!E35</f>
        <v>14128</v>
      </c>
      <c r="F36" s="222">
        <f>'Exh. No. BGM-4 7-11'!F35</f>
        <v>0</v>
      </c>
      <c r="G36" s="222">
        <f>'Exh. No. BGM-4 7-11'!G35</f>
        <v>0</v>
      </c>
      <c r="H36" s="222">
        <f>'Exh. No. BGM-4 7-11'!H35</f>
        <v>0</v>
      </c>
      <c r="I36" s="222">
        <f>'Exh. No. BGM-4 7-11'!I35</f>
        <v>0</v>
      </c>
      <c r="J36" s="222">
        <f>'Exh. No. BGM-4 7-11'!J35</f>
        <v>-5184</v>
      </c>
      <c r="K36" s="222">
        <f>'Exh. No. BGM-4 7-11'!K35</f>
        <v>80</v>
      </c>
      <c r="L36" s="222">
        <f>'Exh. No. BGM-4 7-11'!L35</f>
        <v>0</v>
      </c>
      <c r="M36" s="222">
        <f>'Exh. No. BGM-4 7-11'!M35</f>
        <v>0</v>
      </c>
      <c r="N36" s="222">
        <f>'Exh. No. BGM-4 7-11'!N35</f>
        <v>0</v>
      </c>
      <c r="O36" s="222">
        <f>'Exh. No. BGM-4 7-11'!O35</f>
        <v>0</v>
      </c>
      <c r="P36" s="222">
        <f>'Exh. No. BGM-4 7-11'!P35</f>
        <v>0</v>
      </c>
      <c r="Q36" s="222">
        <f>'Exh. No. BGM-4 7-11'!Q35</f>
        <v>0</v>
      </c>
      <c r="R36" s="222">
        <f>'Exh. No. BGM-4 7-11'!R35</f>
        <v>0</v>
      </c>
      <c r="S36" s="222">
        <f>'Exh. No. BGM-4 7-11'!S35</f>
        <v>240</v>
      </c>
      <c r="T36" s="222">
        <f>'Exh. No. BGM-4 7-11'!T35</f>
        <v>194</v>
      </c>
      <c r="U36" s="222">
        <f>'Exh. No. BGM-4 7-11'!U35</f>
        <v>0</v>
      </c>
      <c r="V36" s="222">
        <f>'Exh. No. BGM-4 7-11'!V35</f>
        <v>0</v>
      </c>
      <c r="W36" s="222">
        <f>'Exh. No. BGM-4 7-11'!W35</f>
        <v>0</v>
      </c>
      <c r="X36" s="222">
        <f>'Exh. No. BGM-4 7-11'!X35</f>
        <v>0</v>
      </c>
      <c r="Y36" s="222">
        <f>'Exh. No. BGM-4 7-11'!AA35</f>
        <v>-2064</v>
      </c>
      <c r="Z36" s="222">
        <f>'Exh. No. BGM-4 7-11'!AB35</f>
        <v>0</v>
      </c>
      <c r="AA36" s="222">
        <f>'Exh. No. BGM-4 7-11'!AC35</f>
        <v>0</v>
      </c>
      <c r="AB36" s="222">
        <f>'Exh. No. BGM-4 7-11'!AD35</f>
        <v>0</v>
      </c>
      <c r="AC36" s="222">
        <f>'Exh. No. BGM-4 7-11'!AE35</f>
        <v>0</v>
      </c>
      <c r="AD36" s="222">
        <f>'Exh. No. BGM-4 7-11'!AF35</f>
        <v>0</v>
      </c>
      <c r="AE36" s="222">
        <f>'Exh. No. BGM-4 7-11'!AG35</f>
        <v>0</v>
      </c>
      <c r="AF36" s="222">
        <f>'Exh. No. BGM-4 7-11'!AH35</f>
        <v>447</v>
      </c>
      <c r="AG36" s="222">
        <f>'Exh. No. BGM-4 7-11'!AI35</f>
        <v>0</v>
      </c>
      <c r="AH36" s="222">
        <f>'Exh. No. BGM-4 7-11'!AJ35</f>
        <v>0</v>
      </c>
      <c r="AI36" s="222">
        <f>'Exh. No. BGM-4 7-11'!AK35</f>
        <v>0</v>
      </c>
      <c r="AJ36" s="222">
        <f>'Exh. No. BGM-4 7-11'!AL35</f>
        <v>0</v>
      </c>
      <c r="AK36" s="222">
        <f>'Exh. No. BGM-4 7-11'!AM35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-2064</v>
      </c>
      <c r="Z37" s="221">
        <f t="shared" ref="Z37" si="36">SUM(Z34:Z36)</f>
        <v>0</v>
      </c>
      <c r="AA37" s="221">
        <f t="shared" si="32"/>
        <v>362</v>
      </c>
      <c r="AB37" s="221">
        <f t="shared" ref="AB37" si="37">SUM(AB34:AB36)</f>
        <v>0</v>
      </c>
      <c r="AC37" s="221">
        <f t="shared" si="32"/>
        <v>328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447</v>
      </c>
      <c r="AG37" s="221">
        <f>SUM(AG34:AG36)</f>
        <v>-731</v>
      </c>
      <c r="AH37" s="221">
        <f t="shared" ref="AH37:AI37" si="40">SUM(AH34:AH36)</f>
        <v>347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'Exh. No. BGM-4 7-11'!E38</f>
        <v>7234</v>
      </c>
      <c r="F39" s="221">
        <f>'Exh. No. BGM-4 7-11'!F38</f>
        <v>0</v>
      </c>
      <c r="G39" s="221">
        <f>'Exh. No. BGM-4 7-11'!G38</f>
        <v>10</v>
      </c>
      <c r="H39" s="221">
        <f>'Exh. No. BGM-4 7-11'!H38</f>
        <v>0</v>
      </c>
      <c r="I39" s="221">
        <f>'Exh. No. BGM-4 7-11'!I38</f>
        <v>0</v>
      </c>
      <c r="J39" s="221">
        <f>'Exh. No. BGM-4 7-11'!J38</f>
        <v>0</v>
      </c>
      <c r="K39" s="221">
        <f>'Exh. No. BGM-4 7-11'!K38</f>
        <v>0</v>
      </c>
      <c r="L39" s="221">
        <f>'Exh. No. BGM-4 7-11'!L38</f>
        <v>-320</v>
      </c>
      <c r="M39" s="221">
        <f>'Exh. No. BGM-4 7-11'!M38</f>
        <v>0</v>
      </c>
      <c r="N39" s="221">
        <f>'Exh. No. BGM-4 7-11'!N38</f>
        <v>0</v>
      </c>
      <c r="O39" s="221">
        <f>'Exh. No. BGM-4 7-11'!O38</f>
        <v>0</v>
      </c>
      <c r="P39" s="221">
        <f>'Exh. No. BGM-4 7-11'!P38</f>
        <v>0</v>
      </c>
      <c r="Q39" s="221">
        <f>'Exh. No. BGM-4 7-11'!Q38</f>
        <v>0</v>
      </c>
      <c r="R39" s="221">
        <f>'Exh. No. BGM-4 7-11'!R38</f>
        <v>0</v>
      </c>
      <c r="S39" s="221">
        <f>'Exh. No. BGM-4 7-11'!S38</f>
        <v>24</v>
      </c>
      <c r="T39" s="221">
        <f>'Exh. No. BGM-4 7-11'!T38</f>
        <v>19</v>
      </c>
      <c r="U39" s="221">
        <f>'Exh. No. BGM-4 7-11'!U38</f>
        <v>0</v>
      </c>
      <c r="V39" s="221">
        <f>'Exh. No. BGM-4 7-11'!V38</f>
        <v>0</v>
      </c>
      <c r="W39" s="221">
        <f>'Exh. No. BGM-4 7-11'!W38</f>
        <v>0</v>
      </c>
      <c r="X39" s="221">
        <f>'Exh. No. BGM-4 7-11'!X38</f>
        <v>0</v>
      </c>
      <c r="Y39" s="221">
        <f>'Exh. No. BGM-4 7-11'!AA38</f>
        <v>-203</v>
      </c>
      <c r="Z39" s="221">
        <f>'Exh. No. BGM-4 7-11'!AB38</f>
        <v>0</v>
      </c>
      <c r="AA39" s="221">
        <f>'Exh. No. BGM-4 7-11'!AC38</f>
        <v>143</v>
      </c>
      <c r="AB39" s="221">
        <f>'Exh. No. BGM-4 7-11'!AD38</f>
        <v>0</v>
      </c>
      <c r="AC39" s="221">
        <f>'Exh. No. BGM-4 7-11'!AE38</f>
        <v>176</v>
      </c>
      <c r="AD39" s="221">
        <f>'Exh. No. BGM-4 7-11'!AF38</f>
        <v>0</v>
      </c>
      <c r="AE39" s="221">
        <f>'Exh. No. BGM-4 7-11'!AG38</f>
        <v>0</v>
      </c>
      <c r="AF39" s="221">
        <f>'Exh. No. BGM-4 7-11'!AH38</f>
        <v>0</v>
      </c>
      <c r="AG39" s="221">
        <f>'Exh. No. BGM-4 7-11'!AI38</f>
        <v>0</v>
      </c>
      <c r="AH39" s="221">
        <f>'Exh. No. BGM-4 7-11'!AJ38</f>
        <v>0</v>
      </c>
      <c r="AI39" s="221">
        <f>'Exh. No. BGM-4 7-11'!AK38</f>
        <v>0</v>
      </c>
      <c r="AJ39" s="221">
        <f>'Exh. No. BGM-4 7-11'!AL38</f>
        <v>31</v>
      </c>
      <c r="AK39" s="221">
        <f>'Exh. No. BGM-4 7-11'!AM38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'Exh. No. BGM-4 7-11'!E39</f>
        <v>8093</v>
      </c>
      <c r="F40" s="221">
        <f>'Exh. No. BGM-4 7-11'!F39</f>
        <v>0</v>
      </c>
      <c r="G40" s="221">
        <f>'Exh. No. BGM-4 7-11'!G39</f>
        <v>0</v>
      </c>
      <c r="H40" s="221">
        <f>'Exh. No. BGM-4 7-11'!H39</f>
        <v>0</v>
      </c>
      <c r="I40" s="221">
        <f>'Exh. No. BGM-4 7-11'!I39</f>
        <v>0</v>
      </c>
      <c r="J40" s="221">
        <f>'Exh. No. BGM-4 7-11'!J39</f>
        <v>0</v>
      </c>
      <c r="K40" s="221">
        <f>'Exh. No. BGM-4 7-11'!K39</f>
        <v>0</v>
      </c>
      <c r="L40" s="221">
        <f>'Exh. No. BGM-4 7-11'!L39</f>
        <v>0</v>
      </c>
      <c r="M40" s="221">
        <f>'Exh. No. BGM-4 7-11'!M39</f>
        <v>0</v>
      </c>
      <c r="N40" s="221">
        <f>'Exh. No. BGM-4 7-11'!N39</f>
        <v>0</v>
      </c>
      <c r="O40" s="221">
        <f>'Exh. No. BGM-4 7-11'!O39</f>
        <v>0</v>
      </c>
      <c r="P40" s="221">
        <f>'Exh. No. BGM-4 7-11'!P39</f>
        <v>0</v>
      </c>
      <c r="Q40" s="221">
        <f>'Exh. No. BGM-4 7-11'!Q39</f>
        <v>0</v>
      </c>
      <c r="R40" s="221">
        <f>'Exh. No. BGM-4 7-11'!R39</f>
        <v>0</v>
      </c>
      <c r="S40" s="221">
        <f>'Exh. No. BGM-4 7-11'!S39</f>
        <v>0</v>
      </c>
      <c r="T40" s="221">
        <f>'Exh. No. BGM-4 7-11'!T39</f>
        <v>-6860</v>
      </c>
      <c r="U40" s="221">
        <f>'Exh. No. BGM-4 7-11'!U39</f>
        <v>-1</v>
      </c>
      <c r="V40" s="221">
        <f>'Exh. No. BGM-4 7-11'!V39</f>
        <v>0</v>
      </c>
      <c r="W40" s="221">
        <f>'Exh. No. BGM-4 7-11'!W39</f>
        <v>0</v>
      </c>
      <c r="X40" s="221">
        <f>'Exh. No. BGM-4 7-11'!X39</f>
        <v>0</v>
      </c>
      <c r="Y40" s="221">
        <f>'Exh. No. BGM-4 7-11'!AA39</f>
        <v>0</v>
      </c>
      <c r="Z40" s="221">
        <f>'Exh. No. BGM-4 7-11'!AB39</f>
        <v>0</v>
      </c>
      <c r="AA40" s="221">
        <f>'Exh. No. BGM-4 7-11'!AC39</f>
        <v>11</v>
      </c>
      <c r="AB40" s="221">
        <f>'Exh. No. BGM-4 7-11'!AD39</f>
        <v>0</v>
      </c>
      <c r="AC40" s="221">
        <f>'Exh. No. BGM-4 7-11'!AE39</f>
        <v>16</v>
      </c>
      <c r="AD40" s="221">
        <f>'Exh. No. BGM-4 7-11'!AF39</f>
        <v>0</v>
      </c>
      <c r="AE40" s="221">
        <f>'Exh. No. BGM-4 7-11'!AG39</f>
        <v>0</v>
      </c>
      <c r="AF40" s="221">
        <f>'Exh. No. BGM-4 7-11'!AH39</f>
        <v>0</v>
      </c>
      <c r="AG40" s="221">
        <f>'Exh. No. BGM-4 7-11'!AI39</f>
        <v>0</v>
      </c>
      <c r="AH40" s="221">
        <f>'Exh. No. BGM-4 7-11'!AJ39</f>
        <v>0</v>
      </c>
      <c r="AI40" s="221">
        <f>'Exh. No. BGM-4 7-11'!AK39</f>
        <v>0</v>
      </c>
      <c r="AJ40" s="221">
        <f>'Exh. No. BGM-4 7-11'!AL39</f>
        <v>0</v>
      </c>
      <c r="AK40" s="221">
        <f>'Exh. No. BGM-4 7-11'!AM39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'Exh. No. BGM-4 7-11'!E40</f>
        <v>0</v>
      </c>
      <c r="F41" s="221">
        <f>'Exh. No. BGM-4 7-11'!F40</f>
        <v>0</v>
      </c>
      <c r="G41" s="221">
        <f>'Exh. No. BGM-4 7-11'!G40</f>
        <v>0</v>
      </c>
      <c r="H41" s="221">
        <f>'Exh. No. BGM-4 7-11'!H40</f>
        <v>0</v>
      </c>
      <c r="I41" s="221">
        <f>'Exh. No. BGM-4 7-11'!I40</f>
        <v>0</v>
      </c>
      <c r="J41" s="221">
        <f>'Exh. No. BGM-4 7-11'!J40</f>
        <v>0</v>
      </c>
      <c r="K41" s="221">
        <f>'Exh. No. BGM-4 7-11'!K40</f>
        <v>0</v>
      </c>
      <c r="L41" s="221">
        <f>'Exh. No. BGM-4 7-11'!L40</f>
        <v>0</v>
      </c>
      <c r="M41" s="221">
        <f>'Exh. No. BGM-4 7-11'!M40</f>
        <v>0</v>
      </c>
      <c r="N41" s="221">
        <f>'Exh. No. BGM-4 7-11'!N40</f>
        <v>0</v>
      </c>
      <c r="O41" s="221">
        <f>'Exh. No. BGM-4 7-11'!O40</f>
        <v>0</v>
      </c>
      <c r="P41" s="221">
        <f>'Exh. No. BGM-4 7-11'!P40</f>
        <v>0</v>
      </c>
      <c r="Q41" s="221">
        <f>'Exh. No. BGM-4 7-11'!Q40</f>
        <v>0</v>
      </c>
      <c r="R41" s="221">
        <f>'Exh. No. BGM-4 7-11'!R40</f>
        <v>0</v>
      </c>
      <c r="S41" s="221">
        <f>'Exh. No. BGM-4 7-11'!S40</f>
        <v>0</v>
      </c>
      <c r="T41" s="221">
        <f>'Exh. No. BGM-4 7-11'!T40</f>
        <v>0</v>
      </c>
      <c r="U41" s="221">
        <f>'Exh. No. BGM-4 7-11'!U40</f>
        <v>0</v>
      </c>
      <c r="V41" s="221">
        <f>'Exh. No. BGM-4 7-11'!V40</f>
        <v>0</v>
      </c>
      <c r="W41" s="221">
        <f>'Exh. No. BGM-4 7-11'!W40</f>
        <v>0</v>
      </c>
      <c r="X41" s="221">
        <f>'Exh. No. BGM-4 7-11'!X40</f>
        <v>0</v>
      </c>
      <c r="Y41" s="221">
        <f>'Exh. No. BGM-4 7-11'!AA40</f>
        <v>0</v>
      </c>
      <c r="Z41" s="221">
        <f>'Exh. No. BGM-4 7-11'!AB40</f>
        <v>0</v>
      </c>
      <c r="AA41" s="221">
        <f>'Exh. No. BGM-4 7-11'!AC40</f>
        <v>0</v>
      </c>
      <c r="AB41" s="221">
        <f>'Exh. No. BGM-4 7-11'!AD40</f>
        <v>0</v>
      </c>
      <c r="AC41" s="221">
        <f>'Exh. No. BGM-4 7-11'!AE40</f>
        <v>0</v>
      </c>
      <c r="AD41" s="221">
        <f>'Exh. No. BGM-4 7-11'!AF40</f>
        <v>0</v>
      </c>
      <c r="AE41" s="221">
        <f>'Exh. No. BGM-4 7-11'!AG40</f>
        <v>0</v>
      </c>
      <c r="AF41" s="221">
        <f>'Exh. No. BGM-4 7-11'!AH40</f>
        <v>0</v>
      </c>
      <c r="AG41" s="221">
        <f>'Exh. No. BGM-4 7-11'!AI40</f>
        <v>0</v>
      </c>
      <c r="AH41" s="221">
        <f>'Exh. No. BGM-4 7-11'!AJ40</f>
        <v>0</v>
      </c>
      <c r="AI41" s="221">
        <f>'Exh. No. BGM-4 7-11'!AK40</f>
        <v>0</v>
      </c>
      <c r="AJ41" s="221">
        <f>'Exh. No. BGM-4 7-11'!AL40</f>
        <v>0</v>
      </c>
      <c r="AK41" s="221">
        <f>'Exh. No. BGM-4 7-11'!AM40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'Exh. No. BGM-4 7-11'!E43</f>
        <v>15045</v>
      </c>
      <c r="F44" s="221">
        <f>'Exh. No. BGM-4 7-11'!F43</f>
        <v>0</v>
      </c>
      <c r="G44" s="221">
        <f>'Exh. No. BGM-4 7-11'!G43</f>
        <v>0</v>
      </c>
      <c r="H44" s="221">
        <f>'Exh. No. BGM-4 7-11'!H43</f>
        <v>0</v>
      </c>
      <c r="I44" s="221">
        <f>'Exh. No. BGM-4 7-11'!I43</f>
        <v>0</v>
      </c>
      <c r="J44" s="221">
        <f>'Exh. No. BGM-4 7-11'!J43</f>
        <v>0</v>
      </c>
      <c r="K44" s="221">
        <f>'Exh. No. BGM-4 7-11'!K43</f>
        <v>0</v>
      </c>
      <c r="L44" s="221">
        <f>'Exh. No. BGM-4 7-11'!L43</f>
        <v>0</v>
      </c>
      <c r="M44" s="221">
        <f>'Exh. No. BGM-4 7-11'!M43</f>
        <v>-50</v>
      </c>
      <c r="N44" s="221">
        <f>'Exh. No. BGM-4 7-11'!N43</f>
        <v>54</v>
      </c>
      <c r="O44" s="221">
        <f>'Exh. No. BGM-4 7-11'!O43</f>
        <v>0</v>
      </c>
      <c r="P44" s="221">
        <f>'Exh. No. BGM-4 7-11'!P43</f>
        <v>-17</v>
      </c>
      <c r="Q44" s="221">
        <f>'Exh. No. BGM-4 7-11'!Q43</f>
        <v>0</v>
      </c>
      <c r="R44" s="221">
        <f>'Exh. No. BGM-4 7-11'!R43</f>
        <v>0</v>
      </c>
      <c r="S44" s="221">
        <f>'Exh. No. BGM-4 7-11'!S43</f>
        <v>13</v>
      </c>
      <c r="T44" s="221">
        <f>'Exh. No. BGM-4 7-11'!T43</f>
        <v>10</v>
      </c>
      <c r="U44" s="221">
        <f>'Exh. No. BGM-4 7-11'!U43</f>
        <v>-848.33953822484295</v>
      </c>
      <c r="V44" s="221">
        <f>'Exh. No. BGM-4 7-11'!V43</f>
        <v>-72</v>
      </c>
      <c r="W44" s="221">
        <f>'Exh. No. BGM-4 7-11'!W43</f>
        <v>0</v>
      </c>
      <c r="X44" s="221">
        <f>'Exh. No. BGM-4 7-11'!X43</f>
        <v>0</v>
      </c>
      <c r="Y44" s="221">
        <f>'Exh. No. BGM-4 7-11'!AA43</f>
        <v>-108</v>
      </c>
      <c r="Z44" s="221">
        <f>'Exh. No. BGM-4 7-11'!AB43</f>
        <v>0</v>
      </c>
      <c r="AA44" s="221">
        <f>'Exh. No. BGM-4 7-11'!AC43</f>
        <v>166.374</v>
      </c>
      <c r="AB44" s="221">
        <f>'Exh. No. BGM-4 7-11'!AD43</f>
        <v>102</v>
      </c>
      <c r="AC44" s="221">
        <f>'Exh. No. BGM-4 7-11'!AE43</f>
        <v>-375.40460475374823</v>
      </c>
      <c r="AD44" s="221">
        <f>'Exh. No. BGM-4 7-11'!AF43</f>
        <v>11</v>
      </c>
      <c r="AE44" s="221">
        <f>'Exh. No. BGM-4 7-11'!AG43</f>
        <v>582</v>
      </c>
      <c r="AF44" s="221">
        <f>'Exh. No. BGM-4 7-11'!AH43</f>
        <v>0</v>
      </c>
      <c r="AG44" s="221">
        <f>'Exh. No. BGM-4 7-11'!AI43</f>
        <v>0</v>
      </c>
      <c r="AH44" s="221">
        <f>'Exh. No. BGM-4 7-11'!AJ43</f>
        <v>0</v>
      </c>
      <c r="AI44" s="221">
        <f>'Exh. No. BGM-4 7-11'!AK43</f>
        <v>-14</v>
      </c>
      <c r="AJ44" s="221">
        <f>'Exh. No. BGM-4 7-11'!AL43</f>
        <v>0</v>
      </c>
      <c r="AK44" s="221">
        <f>'Exh. No. BGM-4 7-11'!AM43</f>
        <v>0</v>
      </c>
    </row>
    <row r="45" spans="1:37">
      <c r="A45" s="200">
        <v>21</v>
      </c>
      <c r="C45" s="202" t="s">
        <v>200</v>
      </c>
      <c r="D45" s="202"/>
      <c r="E45" s="221">
        <f>'Exh. No. BGM-4 7-11'!E44</f>
        <v>8492</v>
      </c>
      <c r="F45" s="221">
        <f>'Exh. No. BGM-4 7-11'!F44</f>
        <v>0</v>
      </c>
      <c r="G45" s="221">
        <f>'Exh. No. BGM-4 7-11'!G44</f>
        <v>0</v>
      </c>
      <c r="H45" s="221">
        <f>'Exh. No. BGM-4 7-11'!H44</f>
        <v>0</v>
      </c>
      <c r="I45" s="221">
        <f>'Exh. No. BGM-4 7-11'!I44</f>
        <v>0</v>
      </c>
      <c r="J45" s="221">
        <f>'Exh. No. BGM-4 7-11'!J44</f>
        <v>0</v>
      </c>
      <c r="K45" s="221">
        <f>'Exh. No. BGM-4 7-11'!K44</f>
        <v>0</v>
      </c>
      <c r="L45" s="221">
        <f>'Exh. No. BGM-4 7-11'!L44</f>
        <v>0</v>
      </c>
      <c r="M45" s="221">
        <f>'Exh. No. BGM-4 7-11'!M44</f>
        <v>0</v>
      </c>
      <c r="N45" s="221">
        <f>'Exh. No. BGM-4 7-11'!N44</f>
        <v>0</v>
      </c>
      <c r="O45" s="221">
        <f>'Exh. No. BGM-4 7-11'!O44</f>
        <v>0</v>
      </c>
      <c r="P45" s="221">
        <f>'Exh. No. BGM-4 7-11'!P44</f>
        <v>0</v>
      </c>
      <c r="Q45" s="221">
        <f>'Exh. No. BGM-4 7-11'!Q44</f>
        <v>0</v>
      </c>
      <c r="R45" s="221">
        <f>'Exh. No. BGM-4 7-11'!R44</f>
        <v>0</v>
      </c>
      <c r="S45" s="221">
        <f>'Exh. No. BGM-4 7-11'!S44</f>
        <v>0</v>
      </c>
      <c r="T45" s="221">
        <f>'Exh. No. BGM-4 7-11'!T44</f>
        <v>0</v>
      </c>
      <c r="U45" s="221">
        <f>'Exh. No. BGM-4 7-11'!U44</f>
        <v>0</v>
      </c>
      <c r="V45" s="221">
        <f>'Exh. No. BGM-4 7-11'!V44</f>
        <v>0</v>
      </c>
      <c r="W45" s="221">
        <f>'Exh. No. BGM-4 7-11'!W44</f>
        <v>0</v>
      </c>
      <c r="X45" s="221">
        <f>'Exh. No. BGM-4 7-11'!X44</f>
        <v>961</v>
      </c>
      <c r="Y45" s="221">
        <f>'Exh. No. BGM-4 7-11'!AA44</f>
        <v>0</v>
      </c>
      <c r="Z45" s="221">
        <f>'Exh. No. BGM-4 7-11'!AB44</f>
        <v>0</v>
      </c>
      <c r="AA45" s="221">
        <f>'Exh. No. BGM-4 7-11'!AC44</f>
        <v>0</v>
      </c>
      <c r="AB45" s="221">
        <f>'Exh. No. BGM-4 7-11'!AD44</f>
        <v>0</v>
      </c>
      <c r="AC45" s="221">
        <f>'Exh. No. BGM-4 7-11'!AE44</f>
        <v>0</v>
      </c>
      <c r="AD45" s="221">
        <f>'Exh. No. BGM-4 7-11'!AF44</f>
        <v>0</v>
      </c>
      <c r="AE45" s="221">
        <f>'Exh. No. BGM-4 7-11'!AG44</f>
        <v>0</v>
      </c>
      <c r="AF45" s="221">
        <f>'Exh. No. BGM-4 7-11'!AH44</f>
        <v>0</v>
      </c>
      <c r="AG45" s="221">
        <f>'Exh. No. BGM-4 7-11'!AI44</f>
        <v>-543</v>
      </c>
      <c r="AH45" s="221">
        <f>'Exh. No. BGM-4 7-11'!AJ44</f>
        <v>477.14286912448222</v>
      </c>
      <c r="AI45" s="221">
        <f>'Exh. No. BGM-4 7-11'!AK44</f>
        <v>0</v>
      </c>
      <c r="AJ45" s="221">
        <f>'Exh. No. BGM-4 7-11'!AL44</f>
        <v>0</v>
      </c>
      <c r="AK45" s="221">
        <f>'Exh. No. BGM-4 7-11'!AM44</f>
        <v>0</v>
      </c>
    </row>
    <row r="46" spans="1:37">
      <c r="A46" s="200">
        <v>22</v>
      </c>
      <c r="C46" s="9" t="s">
        <v>411</v>
      </c>
      <c r="D46" s="202"/>
      <c r="E46" s="221">
        <f>'Exh. No. BGM-4 7-11'!E45</f>
        <v>-1559</v>
      </c>
      <c r="F46" s="221">
        <f>'Exh. No. BGM-4 7-11'!F45</f>
        <v>0</v>
      </c>
      <c r="G46" s="221">
        <f>'Exh. No. BGM-4 7-11'!G45</f>
        <v>0</v>
      </c>
      <c r="H46" s="221">
        <f>'Exh. No. BGM-4 7-11'!H45</f>
        <v>0</v>
      </c>
      <c r="I46" s="221">
        <f>'Exh. No. BGM-4 7-11'!I45</f>
        <v>0</v>
      </c>
      <c r="J46" s="221">
        <f>'Exh. No. BGM-4 7-11'!J45</f>
        <v>0</v>
      </c>
      <c r="K46" s="221">
        <f>'Exh. No. BGM-4 7-11'!K45</f>
        <v>0</v>
      </c>
      <c r="L46" s="221">
        <f>'Exh. No. BGM-4 7-11'!L45</f>
        <v>0</v>
      </c>
      <c r="M46" s="221">
        <f>'Exh. No. BGM-4 7-11'!M45</f>
        <v>0</v>
      </c>
      <c r="N46" s="221">
        <f>'Exh. No. BGM-4 7-11'!N45</f>
        <v>0</v>
      </c>
      <c r="O46" s="221">
        <f>'Exh. No. BGM-4 7-11'!O45</f>
        <v>0</v>
      </c>
      <c r="P46" s="221">
        <f>'Exh. No. BGM-4 7-11'!P45</f>
        <v>0</v>
      </c>
      <c r="Q46" s="221">
        <f>'Exh. No. BGM-4 7-11'!Q45</f>
        <v>0</v>
      </c>
      <c r="R46" s="221">
        <f>'Exh. No. BGM-4 7-11'!R45</f>
        <v>0</v>
      </c>
      <c r="S46" s="221">
        <f>'Exh. No. BGM-4 7-11'!S45</f>
        <v>0</v>
      </c>
      <c r="T46" s="221">
        <f>'Exh. No. BGM-4 7-11'!T45</f>
        <v>1083</v>
      </c>
      <c r="U46" s="221">
        <f>'Exh. No. BGM-4 7-11'!U45</f>
        <v>0</v>
      </c>
      <c r="V46" s="221">
        <f>'Exh. No. BGM-4 7-11'!V45</f>
        <v>0</v>
      </c>
      <c r="W46" s="221">
        <f>'Exh. No. BGM-4 7-11'!W45</f>
        <v>0</v>
      </c>
      <c r="X46" s="221">
        <f>'Exh. No. BGM-4 7-11'!X45</f>
        <v>0</v>
      </c>
      <c r="Y46" s="221">
        <f>'Exh. No. BGM-4 7-11'!AA45</f>
        <v>0</v>
      </c>
      <c r="Z46" s="221">
        <f>'Exh. No. BGM-4 7-11'!AB45</f>
        <v>1745</v>
      </c>
      <c r="AA46" s="221">
        <f>'Exh. No. BGM-4 7-11'!AC45</f>
        <v>0</v>
      </c>
      <c r="AB46" s="221">
        <f>'Exh. No. BGM-4 7-11'!AD45</f>
        <v>0</v>
      </c>
      <c r="AC46" s="221">
        <f>'Exh. No. BGM-4 7-11'!AE45</f>
        <v>0</v>
      </c>
      <c r="AD46" s="221">
        <f>'Exh. No. BGM-4 7-11'!AF45</f>
        <v>0</v>
      </c>
      <c r="AE46" s="221">
        <f>'Exh. No. BGM-4 7-11'!AG45</f>
        <v>0</v>
      </c>
      <c r="AF46" s="221">
        <f>'Exh. No. BGM-4 7-11'!AH45</f>
        <v>0</v>
      </c>
      <c r="AG46" s="221">
        <f>'Exh. No. BGM-4 7-11'!AI45</f>
        <v>0</v>
      </c>
      <c r="AH46" s="221">
        <f>'Exh. No. BGM-4 7-11'!AJ45</f>
        <v>0</v>
      </c>
      <c r="AI46" s="221">
        <f>'Exh. No. BGM-4 7-11'!AK45</f>
        <v>0</v>
      </c>
      <c r="AJ46" s="221">
        <f>'Exh. No. BGM-4 7-11'!AL45</f>
        <v>836</v>
      </c>
      <c r="AK46" s="221">
        <f>'Exh. No. BGM-4 7-11'!AM45</f>
        <v>0</v>
      </c>
    </row>
    <row r="47" spans="1:37">
      <c r="A47" s="200">
        <v>23</v>
      </c>
      <c r="C47" s="202" t="s">
        <v>21</v>
      </c>
      <c r="D47" s="202"/>
      <c r="E47" s="222">
        <f>'Exh. No. BGM-4 7-11'!E46</f>
        <v>0</v>
      </c>
      <c r="F47" s="222">
        <f>'Exh. No. BGM-4 7-11'!F46</f>
        <v>0</v>
      </c>
      <c r="G47" s="222">
        <f>'Exh. No. BGM-4 7-11'!G46</f>
        <v>0</v>
      </c>
      <c r="H47" s="222">
        <f>'Exh. No. BGM-4 7-11'!H46</f>
        <v>0</v>
      </c>
      <c r="I47" s="222">
        <f>'Exh. No. BGM-4 7-11'!I46</f>
        <v>0</v>
      </c>
      <c r="J47" s="222">
        <f>'Exh. No. BGM-4 7-11'!J46</f>
        <v>0</v>
      </c>
      <c r="K47" s="222">
        <f>'Exh. No. BGM-4 7-11'!K46</f>
        <v>0</v>
      </c>
      <c r="L47" s="222">
        <f>'Exh. No. BGM-4 7-11'!L46</f>
        <v>0</v>
      </c>
      <c r="M47" s="222">
        <f>'Exh. No. BGM-4 7-11'!M46</f>
        <v>0</v>
      </c>
      <c r="N47" s="222">
        <f>'Exh. No. BGM-4 7-11'!N46</f>
        <v>0</v>
      </c>
      <c r="O47" s="222">
        <f>'Exh. No. BGM-4 7-11'!O46</f>
        <v>0</v>
      </c>
      <c r="P47" s="222">
        <f>'Exh. No. BGM-4 7-11'!P46</f>
        <v>0</v>
      </c>
      <c r="Q47" s="222">
        <f>'Exh. No. BGM-4 7-11'!Q46</f>
        <v>0</v>
      </c>
      <c r="R47" s="222">
        <f>'Exh. No. BGM-4 7-11'!R46</f>
        <v>0</v>
      </c>
      <c r="S47" s="222">
        <f>'Exh. No. BGM-4 7-11'!S46</f>
        <v>0</v>
      </c>
      <c r="T47" s="222">
        <f>'Exh. No. BGM-4 7-11'!T46</f>
        <v>0</v>
      </c>
      <c r="U47" s="222">
        <f>'Exh. No. BGM-4 7-11'!U46</f>
        <v>0</v>
      </c>
      <c r="V47" s="222">
        <f>'Exh. No. BGM-4 7-11'!V46</f>
        <v>0</v>
      </c>
      <c r="W47" s="222">
        <f>'Exh. No. BGM-4 7-11'!W46</f>
        <v>0</v>
      </c>
      <c r="X47" s="222">
        <f>'Exh. No. BGM-4 7-11'!X46</f>
        <v>0</v>
      </c>
      <c r="Y47" s="222">
        <f>'Exh. No. BGM-4 7-11'!AA46</f>
        <v>0</v>
      </c>
      <c r="Z47" s="222">
        <f>'Exh. No. BGM-4 7-11'!AB46</f>
        <v>0</v>
      </c>
      <c r="AA47" s="222">
        <f>'Exh. No. BGM-4 7-11'!AC46</f>
        <v>0</v>
      </c>
      <c r="AB47" s="222">
        <f>'Exh. No. BGM-4 7-11'!AD46</f>
        <v>0</v>
      </c>
      <c r="AC47" s="222">
        <f>'Exh. No. BGM-4 7-11'!AE46</f>
        <v>0</v>
      </c>
      <c r="AD47" s="222">
        <f>'Exh. No. BGM-4 7-11'!AF46</f>
        <v>0</v>
      </c>
      <c r="AE47" s="222">
        <f>'Exh. No. BGM-4 7-11'!AG46</f>
        <v>0</v>
      </c>
      <c r="AF47" s="222">
        <f>'Exh. No. BGM-4 7-11'!AH46</f>
        <v>0</v>
      </c>
      <c r="AG47" s="222">
        <f>'Exh. No. BGM-4 7-11'!AI46</f>
        <v>0</v>
      </c>
      <c r="AH47" s="222">
        <f>'Exh. No. BGM-4 7-11'!AJ46</f>
        <v>0</v>
      </c>
      <c r="AI47" s="222">
        <f>'Exh. No. BGM-4 7-11'!AK46</f>
        <v>0</v>
      </c>
      <c r="AJ47" s="222">
        <f>'Exh. No. BGM-4 7-11'!AL46</f>
        <v>0</v>
      </c>
      <c r="AK47" s="222">
        <f>'Exh. No. BGM-4 7-11'!AM46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54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-848.33953822484295</v>
      </c>
      <c r="V48" s="222">
        <f t="shared" ref="V48" si="45">SUM(V44:V47)</f>
        <v>-72</v>
      </c>
      <c r="W48" s="222">
        <f>SUM(W44:W47)</f>
        <v>0</v>
      </c>
      <c r="X48" s="222">
        <f>SUM(X44:X47)</f>
        <v>961</v>
      </c>
      <c r="Y48" s="222">
        <f>SUM(Y44:Y47)</f>
        <v>-108</v>
      </c>
      <c r="Z48" s="222">
        <f t="shared" ref="Z48" si="46">SUM(Z44:Z47)</f>
        <v>1745</v>
      </c>
      <c r="AA48" s="222">
        <f t="shared" si="42"/>
        <v>166.374</v>
      </c>
      <c r="AB48" s="222">
        <f t="shared" ref="AB48" si="47">SUM(AB44:AB47)</f>
        <v>102</v>
      </c>
      <c r="AC48" s="222">
        <f t="shared" si="42"/>
        <v>-375.40460475374823</v>
      </c>
      <c r="AD48" s="222">
        <f t="shared" ref="AD48" si="48">SUM(AD44:AD47)</f>
        <v>11</v>
      </c>
      <c r="AE48" s="222">
        <f t="shared" ref="AE48" si="49">SUM(AE44:AE47)</f>
        <v>582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477.14286912448222</v>
      </c>
      <c r="AI48" s="222">
        <f t="shared" si="50"/>
        <v>-14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54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-857.33953822484295</v>
      </c>
      <c r="V49" s="222">
        <f t="shared" ref="V49" si="56">V21+V25+V31+V37+V39+V40+V41+V48</f>
        <v>-72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-53894</v>
      </c>
      <c r="Z49" s="222">
        <f t="shared" ref="Z49" si="57">Z21+Z25+Z31+Z37+Z39+Z40+Z41+Z48</f>
        <v>1745</v>
      </c>
      <c r="AA49" s="222">
        <f t="shared" si="53"/>
        <v>698.37400000000002</v>
      </c>
      <c r="AB49" s="222">
        <f t="shared" ref="AB49" si="58">AB21+AB25+AB31+AB37+AB39+AB40+AB41+AB48</f>
        <v>102</v>
      </c>
      <c r="AC49" s="222">
        <f t="shared" si="53"/>
        <v>168.59539524625177</v>
      </c>
      <c r="AD49" s="222">
        <f t="shared" ref="AD49" si="59">AD21+AD25+AD31+AD37+AD39+AD40+AD41+AD48</f>
        <v>11</v>
      </c>
      <c r="AE49" s="222">
        <f t="shared" ref="AE49" si="60">AE21+AE25+AE31+AE37+AE39+AE40+AE41+AE48</f>
        <v>582</v>
      </c>
      <c r="AF49" s="222">
        <f t="shared" si="53"/>
        <v>476</v>
      </c>
      <c r="AG49" s="222">
        <f>AG21+AG25+AG31+AG37+AG39+AG40+AG41+AG48</f>
        <v>-1518</v>
      </c>
      <c r="AH49" s="222">
        <f t="shared" ref="AH49:AI49" si="61">AH21+AH25+AH31+AH37+AH39+AH40+AH41+AH48</f>
        <v>824.14286912448222</v>
      </c>
      <c r="AI49" s="222">
        <f t="shared" si="61"/>
        <v>-14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-54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971.33953822484295</v>
      </c>
      <c r="V51" s="221">
        <f t="shared" ref="V51" si="66">V18-V49</f>
        <v>72</v>
      </c>
      <c r="W51" s="221">
        <f>W18-W49</f>
        <v>0</v>
      </c>
      <c r="X51" s="221">
        <f>X18-X49</f>
        <v>-1571</v>
      </c>
      <c r="Y51" s="221">
        <f>Y18-Y49</f>
        <v>4659.2329564936299</v>
      </c>
      <c r="Z51" s="221">
        <f t="shared" ref="Z51" si="67">Z18-Z49</f>
        <v>-1745</v>
      </c>
      <c r="AA51" s="221">
        <f t="shared" si="63"/>
        <v>-698.37400000000002</v>
      </c>
      <c r="AB51" s="221">
        <f t="shared" ref="AB51" si="68">AB18-AB49</f>
        <v>-102</v>
      </c>
      <c r="AC51" s="221">
        <f t="shared" si="63"/>
        <v>-168.59539524625177</v>
      </c>
      <c r="AD51" s="221">
        <f t="shared" ref="AD51" si="69">AD18-AD49</f>
        <v>-11</v>
      </c>
      <c r="AE51" s="221">
        <f t="shared" ref="AE51" si="70">AE18-AE49</f>
        <v>-582</v>
      </c>
      <c r="AF51" s="221">
        <f t="shared" si="63"/>
        <v>-476</v>
      </c>
      <c r="AG51" s="221">
        <f>AG18-AG49</f>
        <v>1518</v>
      </c>
      <c r="AH51" s="221">
        <f t="shared" ref="AH51:AI51" si="71">AH18-AH49</f>
        <v>-824.14286912448222</v>
      </c>
      <c r="AI51" s="221">
        <f t="shared" si="71"/>
        <v>14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'Exh. No. BGM-4 7-11'!E53</f>
        <v>2557</v>
      </c>
      <c r="F54" s="221">
        <f>'Exh. No. BGM-4 7-11'!F53</f>
        <v>0</v>
      </c>
      <c r="G54" s="221">
        <f>'Exh. No. BGM-4 7-11'!G53</f>
        <v>-2.1</v>
      </c>
      <c r="H54" s="221">
        <f>'Exh. No. BGM-4 7-11'!H53</f>
        <v>0</v>
      </c>
      <c r="I54" s="221">
        <f>'Exh. No. BGM-4 7-11'!I53</f>
        <v>0</v>
      </c>
      <c r="J54" s="221">
        <f>'Exh. No. BGM-4 7-11'!J53</f>
        <v>-2.94</v>
      </c>
      <c r="K54" s="221">
        <f>'Exh. No. BGM-4 7-11'!K53</f>
        <v>-0.42</v>
      </c>
      <c r="L54" s="221">
        <f>'Exh. No. BGM-4 7-11'!L53</f>
        <v>67.2</v>
      </c>
      <c r="M54" s="221">
        <f>'Exh. No. BGM-4 7-11'!M53</f>
        <v>10.5</v>
      </c>
      <c r="N54" s="221">
        <f>'Exh. No. BGM-4 7-11'!N53</f>
        <v>-11.34</v>
      </c>
      <c r="O54" s="221">
        <f>'Exh. No. BGM-4 7-11'!O53</f>
        <v>0</v>
      </c>
      <c r="P54" s="221">
        <f>'Exh. No. BGM-4 7-11'!P53</f>
        <v>3.57</v>
      </c>
      <c r="Q54" s="221">
        <f>'Exh. No. BGM-4 7-11'!Q53</f>
        <v>0</v>
      </c>
      <c r="R54" s="221">
        <f>'Exh. No. BGM-4 7-11'!R53</f>
        <v>2.73</v>
      </c>
      <c r="S54" s="221">
        <f>'Exh. No. BGM-4 7-11'!S53</f>
        <v>1.26</v>
      </c>
      <c r="T54" s="221">
        <f>'Exh. No. BGM-4 7-11'!T53</f>
        <v>90.09</v>
      </c>
      <c r="U54" s="221">
        <f>'Exh. No. BGM-4 7-11'!U53</f>
        <v>203.98130302721702</v>
      </c>
      <c r="V54" s="221">
        <f>'Exh. No. BGM-4 7-11'!V53</f>
        <v>15.12</v>
      </c>
      <c r="W54" s="221">
        <f>'Exh. No. BGM-4 7-11'!W53</f>
        <v>176</v>
      </c>
      <c r="X54" s="221">
        <f>'Exh. No. BGM-4 7-11'!X53</f>
        <v>-329.90999999999997</v>
      </c>
      <c r="Y54" s="221">
        <f>'Exh. No. BGM-4 7-11'!AA53</f>
        <v>978.43892086366225</v>
      </c>
      <c r="Z54" s="221">
        <f>'Exh. No. BGM-4 7-11'!AB53</f>
        <v>-366.45</v>
      </c>
      <c r="AA54" s="221">
        <f>'Exh. No. BGM-4 7-11'!AC53</f>
        <v>-146.65853999999999</v>
      </c>
      <c r="AB54" s="221">
        <f>'Exh. No. BGM-4 7-11'!AD53</f>
        <v>-21.419999999999998</v>
      </c>
      <c r="AC54" s="221">
        <f>'Exh. No. BGM-4 7-11'!AE53</f>
        <v>-35.405033001712873</v>
      </c>
      <c r="AD54" s="221">
        <f>'Exh. No. BGM-4 7-11'!AF53</f>
        <v>-2.31</v>
      </c>
      <c r="AE54" s="221">
        <f>'Exh. No. BGM-4 7-11'!AG53</f>
        <v>-122.22</v>
      </c>
      <c r="AF54" s="221">
        <f>'Exh. No. BGM-4 7-11'!AH53</f>
        <v>-99.96</v>
      </c>
      <c r="AG54" s="221">
        <f>'Exh. No. BGM-4 7-11'!AI53</f>
        <v>318.77999999999997</v>
      </c>
      <c r="AH54" s="221">
        <f>'Exh. No. BGM-4 7-11'!AJ53</f>
        <v>-173.07000251614127</v>
      </c>
      <c r="AI54" s="221">
        <f>'Exh. No. BGM-4 7-11'!AK53</f>
        <v>2.94</v>
      </c>
      <c r="AJ54" s="221">
        <f>'Exh. No. BGM-4 7-11'!AL53</f>
        <v>-182.07</v>
      </c>
      <c r="AK54" s="221">
        <f>'Exh. No. BGM-4 7-11'!AM53</f>
        <v>0</v>
      </c>
    </row>
    <row r="55" spans="1:37">
      <c r="A55" s="200">
        <v>28</v>
      </c>
      <c r="B55" s="202" t="s">
        <v>181</v>
      </c>
      <c r="D55" s="202"/>
      <c r="E55" s="221">
        <f>'Exh. No. BGM-4 7-11'!E54</f>
        <v>0</v>
      </c>
      <c r="F55" s="221">
        <f>'Exh. No. BGM-4 7-11'!F54</f>
        <v>6.9919289999999998</v>
      </c>
      <c r="G55" s="221">
        <f>'Exh. No. BGM-4 7-11'!G54</f>
        <v>3.9248999999999999E-2</v>
      </c>
      <c r="H55" s="221">
        <f>'Exh. No. BGM-4 7-11'!H54</f>
        <v>0</v>
      </c>
      <c r="I55" s="221">
        <f>'Exh. No. BGM-4 7-11'!I54</f>
        <v>33.855066000000001</v>
      </c>
      <c r="J55" s="221">
        <f>'Exh. No. BGM-4 7-11'!J54</f>
        <v>0</v>
      </c>
      <c r="K55" s="221">
        <f>'Exh. No. BGM-4 7-11'!K54</f>
        <v>0</v>
      </c>
      <c r="L55" s="221">
        <f>'Exh. No. BGM-4 7-11'!L54</f>
        <v>0</v>
      </c>
      <c r="M55" s="221">
        <f>'Exh. No. BGM-4 7-11'!M54</f>
        <v>0</v>
      </c>
      <c r="N55" s="221">
        <f>'Exh. No. BGM-4 7-11'!N54</f>
        <v>0</v>
      </c>
      <c r="O55" s="221">
        <f>'Exh. No. BGM-4 7-11'!O54</f>
        <v>0</v>
      </c>
      <c r="P55" s="221">
        <f>'Exh. No. BGM-4 7-11'!P54</f>
        <v>0</v>
      </c>
      <c r="Q55" s="221">
        <f>'Exh. No. BGM-4 7-11'!Q54</f>
        <v>0</v>
      </c>
      <c r="R55" s="221">
        <f>'Exh. No. BGM-4 7-11'!R54</f>
        <v>0</v>
      </c>
      <c r="S55" s="221">
        <f>'Exh. No. BGM-4 7-11'!S54</f>
        <v>0</v>
      </c>
      <c r="T55" s="221">
        <f>'Exh. No. BGM-4 7-11'!T54</f>
        <v>0</v>
      </c>
      <c r="U55" s="221">
        <f>'Exh. No. BGM-4 7-11'!U54</f>
        <v>0</v>
      </c>
      <c r="V55" s="221">
        <f>'Exh. No. BGM-4 7-11'!V54</f>
        <v>0</v>
      </c>
      <c r="W55" s="221">
        <f>'Exh. No. BGM-4 7-11'!W54</f>
        <v>0</v>
      </c>
      <c r="X55" s="221">
        <f>'Exh. No. BGM-4 7-11'!X54</f>
        <v>-180.94349700000001</v>
      </c>
      <c r="Y55" s="221">
        <f>'Exh. No. BGM-4 7-11'!AA54</f>
        <v>0</v>
      </c>
      <c r="Z55" s="221">
        <f>'Exh. No. BGM-4 7-11'!AB54</f>
        <v>-0.53266500000000006</v>
      </c>
      <c r="AA55" s="221">
        <f>'Exh. No. BGM-4 7-11'!AC54</f>
        <v>0</v>
      </c>
      <c r="AB55" s="221">
        <f>'Exh. No. BGM-4 7-11'!AD54</f>
        <v>0</v>
      </c>
      <c r="AC55" s="221">
        <f>'Exh. No. BGM-4 7-11'!AE54</f>
        <v>1.8785076030000001</v>
      </c>
      <c r="AD55" s="221">
        <f>'Exh. No. BGM-4 7-11'!AF54</f>
        <v>0</v>
      </c>
      <c r="AE55" s="221">
        <f>'Exh. No. BGM-4 7-11'!AG54</f>
        <v>0</v>
      </c>
      <c r="AF55" s="221">
        <f>'Exh. No. BGM-4 7-11'!AH54</f>
        <v>0</v>
      </c>
      <c r="AG55" s="221">
        <f>'Exh. No. BGM-4 7-11'!AI54</f>
        <v>0</v>
      </c>
      <c r="AH55" s="221">
        <f>'Exh. No. BGM-4 7-11'!AJ54</f>
        <v>-124.76038083215256</v>
      </c>
      <c r="AI55" s="221">
        <f>'Exh. No. BGM-4 7-11'!AK54</f>
        <v>0</v>
      </c>
      <c r="AJ55" s="221">
        <f>'Exh. No. BGM-4 7-11'!AL54</f>
        <v>0</v>
      </c>
      <c r="AK55" s="221">
        <f>'Exh. No. BGM-4 7-11'!AM54</f>
        <v>0</v>
      </c>
    </row>
    <row r="56" spans="1:37">
      <c r="A56" s="200">
        <v>29</v>
      </c>
      <c r="B56" s="202" t="s">
        <v>57</v>
      </c>
      <c r="D56" s="202"/>
      <c r="E56" s="221">
        <f>'Exh. No. BGM-4 7-11'!E55</f>
        <v>54</v>
      </c>
      <c r="F56" s="221">
        <f>'Exh. No. BGM-4 7-11'!F55</f>
        <v>0</v>
      </c>
      <c r="G56" s="221">
        <f>'Exh. No. BGM-4 7-11'!G55</f>
        <v>0</v>
      </c>
      <c r="H56" s="221">
        <f>'Exh. No. BGM-4 7-11'!H55</f>
        <v>0</v>
      </c>
      <c r="I56" s="221">
        <f>'Exh. No. BGM-4 7-11'!I55</f>
        <v>0</v>
      </c>
      <c r="J56" s="221">
        <f>'Exh. No. BGM-4 7-11'!J55</f>
        <v>0</v>
      </c>
      <c r="K56" s="221">
        <f>'Exh. No. BGM-4 7-11'!K55</f>
        <v>0</v>
      </c>
      <c r="L56" s="221">
        <f>'Exh. No. BGM-4 7-11'!L55</f>
        <v>0</v>
      </c>
      <c r="M56" s="221">
        <f>'Exh. No. BGM-4 7-11'!M55</f>
        <v>0</v>
      </c>
      <c r="N56" s="221">
        <f>'Exh. No. BGM-4 7-11'!N55</f>
        <v>0</v>
      </c>
      <c r="O56" s="221">
        <f>'Exh. No. BGM-4 7-11'!O55</f>
        <v>0</v>
      </c>
      <c r="P56" s="221">
        <f>'Exh. No. BGM-4 7-11'!P55</f>
        <v>0</v>
      </c>
      <c r="Q56" s="221">
        <f>'Exh. No. BGM-4 7-11'!Q55</f>
        <v>0</v>
      </c>
      <c r="R56" s="221">
        <f>'Exh. No. BGM-4 7-11'!R55</f>
        <v>0</v>
      </c>
      <c r="S56" s="221">
        <f>'Exh. No. BGM-4 7-11'!S55</f>
        <v>0</v>
      </c>
      <c r="T56" s="221">
        <f>'Exh. No. BGM-4 7-11'!T55</f>
        <v>339</v>
      </c>
      <c r="U56" s="221">
        <f>'Exh. No. BGM-4 7-11'!U55</f>
        <v>0</v>
      </c>
      <c r="V56" s="221">
        <f>'Exh. No. BGM-4 7-11'!V55</f>
        <v>0</v>
      </c>
      <c r="W56" s="221">
        <f>'Exh. No. BGM-4 7-11'!W55</f>
        <v>0</v>
      </c>
      <c r="X56" s="221">
        <f>'Exh. No. BGM-4 7-11'!X55</f>
        <v>0</v>
      </c>
      <c r="Y56" s="221">
        <f>'Exh. No. BGM-4 7-11'!AA55</f>
        <v>0</v>
      </c>
      <c r="Z56" s="221">
        <f>'Exh. No. BGM-4 7-11'!AB55</f>
        <v>0</v>
      </c>
      <c r="AA56" s="221">
        <f>'Exh. No. BGM-4 7-11'!AC55</f>
        <v>0</v>
      </c>
      <c r="AB56" s="221">
        <f>'Exh. No. BGM-4 7-11'!AD55</f>
        <v>0</v>
      </c>
      <c r="AC56" s="221">
        <f>'Exh. No. BGM-4 7-11'!AE55</f>
        <v>0</v>
      </c>
      <c r="AD56" s="221">
        <f>'Exh. No. BGM-4 7-11'!AF55</f>
        <v>0</v>
      </c>
      <c r="AE56" s="221">
        <f>'Exh. No. BGM-4 7-11'!AG55</f>
        <v>0</v>
      </c>
      <c r="AF56" s="221">
        <f>'Exh. No. BGM-4 7-11'!AH55</f>
        <v>0</v>
      </c>
      <c r="AG56" s="221">
        <f>'Exh. No. BGM-4 7-11'!AI55</f>
        <v>0</v>
      </c>
      <c r="AH56" s="221">
        <f>'Exh. No. BGM-4 7-11'!AJ55</f>
        <v>0</v>
      </c>
      <c r="AI56" s="221">
        <f>'Exh. No. BGM-4 7-11'!AK55</f>
        <v>0</v>
      </c>
      <c r="AJ56" s="221">
        <f>'Exh. No. BGM-4 7-11'!AL55</f>
        <v>0</v>
      </c>
      <c r="AK56" s="221">
        <f>'Exh. No. BGM-4 7-11'!AM55</f>
        <v>0</v>
      </c>
    </row>
    <row r="57" spans="1:37">
      <c r="A57" s="200">
        <v>30</v>
      </c>
      <c r="B57" s="202" t="s">
        <v>58</v>
      </c>
      <c r="D57" s="202"/>
      <c r="E57" s="222">
        <f>'Exh. No. BGM-4 7-11'!E56</f>
        <v>-15</v>
      </c>
      <c r="F57" s="222">
        <f>'Exh. No. BGM-4 7-11'!F56</f>
        <v>0</v>
      </c>
      <c r="G57" s="222">
        <f>'Exh. No. BGM-4 7-11'!G56</f>
        <v>0</v>
      </c>
      <c r="H57" s="222">
        <f>'Exh. No. BGM-4 7-11'!H56</f>
        <v>0</v>
      </c>
      <c r="I57" s="222">
        <f>'Exh. No. BGM-4 7-11'!I56</f>
        <v>0</v>
      </c>
      <c r="J57" s="222">
        <f>'Exh. No. BGM-4 7-11'!J56</f>
        <v>0</v>
      </c>
      <c r="K57" s="222">
        <f>'Exh. No. BGM-4 7-11'!K56</f>
        <v>0</v>
      </c>
      <c r="L57" s="222">
        <f>'Exh. No. BGM-4 7-11'!L56</f>
        <v>0</v>
      </c>
      <c r="M57" s="222">
        <f>'Exh. No. BGM-4 7-11'!M56</f>
        <v>0</v>
      </c>
      <c r="N57" s="222">
        <f>'Exh. No. BGM-4 7-11'!N56</f>
        <v>0</v>
      </c>
      <c r="O57" s="222">
        <f>'Exh. No. BGM-4 7-11'!O56</f>
        <v>0</v>
      </c>
      <c r="P57" s="222">
        <f>'Exh. No. BGM-4 7-11'!P56</f>
        <v>0</v>
      </c>
      <c r="Q57" s="222">
        <f>'Exh. No. BGM-4 7-11'!Q56</f>
        <v>0</v>
      </c>
      <c r="R57" s="222">
        <f>'Exh. No. BGM-4 7-11'!R56</f>
        <v>0</v>
      </c>
      <c r="S57" s="222">
        <f>'Exh. No. BGM-4 7-11'!S56</f>
        <v>0</v>
      </c>
      <c r="T57" s="222">
        <f>'Exh. No. BGM-4 7-11'!T56</f>
        <v>0</v>
      </c>
      <c r="U57" s="222">
        <f>'Exh. No. BGM-4 7-11'!U56</f>
        <v>0</v>
      </c>
      <c r="V57" s="222">
        <f>'Exh. No. BGM-4 7-11'!V56</f>
        <v>0</v>
      </c>
      <c r="W57" s="222">
        <f>'Exh. No. BGM-4 7-11'!W56</f>
        <v>0</v>
      </c>
      <c r="X57" s="222">
        <f>'Exh. No. BGM-4 7-11'!X56</f>
        <v>0</v>
      </c>
      <c r="Y57" s="222">
        <f>'Exh. No. BGM-4 7-11'!AA56</f>
        <v>0</v>
      </c>
      <c r="Z57" s="222">
        <f>'Exh. No. BGM-4 7-11'!AB56</f>
        <v>0</v>
      </c>
      <c r="AA57" s="222">
        <f>'Exh. No. BGM-4 7-11'!AC56</f>
        <v>0</v>
      </c>
      <c r="AB57" s="222">
        <f>'Exh. No. BGM-4 7-11'!AD56</f>
        <v>0</v>
      </c>
      <c r="AC57" s="222">
        <f>'Exh. No. BGM-4 7-11'!AE56</f>
        <v>0</v>
      </c>
      <c r="AD57" s="222">
        <f>'Exh. No. BGM-4 7-11'!AF56</f>
        <v>0</v>
      </c>
      <c r="AE57" s="222">
        <f>'Exh. No. BGM-4 7-11'!AG56</f>
        <v>0</v>
      </c>
      <c r="AF57" s="222">
        <f>'Exh. No. BGM-4 7-11'!AH56</f>
        <v>0</v>
      </c>
      <c r="AG57" s="222">
        <f>'Exh. No. BGM-4 7-11'!AI56</f>
        <v>0</v>
      </c>
      <c r="AH57" s="222">
        <f>'Exh. No. BGM-4 7-11'!AJ56</f>
        <v>0</v>
      </c>
      <c r="AI57" s="222">
        <f>'Exh. No. BGM-4 7-11'!AK56</f>
        <v>0</v>
      </c>
      <c r="AJ57" s="222">
        <f>'Exh. No. BGM-4 7-11'!AL56</f>
        <v>0</v>
      </c>
      <c r="AK57" s="222">
        <f>'Exh. No. BGM-4 7-11'!AM56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-6.9919289999999998</v>
      </c>
      <c r="G59" s="344">
        <f t="shared" si="73"/>
        <v>-7.9392490000000002</v>
      </c>
      <c r="H59" s="344">
        <f t="shared" si="73"/>
        <v>0</v>
      </c>
      <c r="I59" s="344">
        <f t="shared" ref="I59" si="74">I51-SUM(I54:I57)</f>
        <v>-33.855066000000001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-42.66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767.35823519762596</v>
      </c>
      <c r="V59" s="344">
        <f t="shared" ref="V59" si="76">V51-SUM(V54:V57)</f>
        <v>56.88</v>
      </c>
      <c r="W59" s="344">
        <f>W51-SUM(W54:W57)</f>
        <v>-176</v>
      </c>
      <c r="X59" s="344">
        <f>X51-SUM(X54:X57)</f>
        <v>-1060.1465029999999</v>
      </c>
      <c r="Y59" s="344">
        <f>Y51-SUM(Y54:Y57)</f>
        <v>3680.7940356299678</v>
      </c>
      <c r="Z59" s="344">
        <f t="shared" ref="Z59" si="77">Z51-SUM(Z54:Z57)</f>
        <v>-1378.017335</v>
      </c>
      <c r="AA59" s="344">
        <f t="shared" si="73"/>
        <v>-551.71546000000001</v>
      </c>
      <c r="AB59" s="344">
        <f t="shared" ref="AB59" si="78">AB51-SUM(AB54:AB57)</f>
        <v>-80.58</v>
      </c>
      <c r="AC59" s="344">
        <f t="shared" si="73"/>
        <v>-135.06886984753891</v>
      </c>
      <c r="AD59" s="344">
        <f t="shared" ref="AD59" si="79">AD51-SUM(AD54:AD57)</f>
        <v>-8.69</v>
      </c>
      <c r="AE59" s="344">
        <f t="shared" ref="AE59" si="80">AE51-SUM(AE54:AE57)</f>
        <v>-459.78</v>
      </c>
      <c r="AF59" s="344">
        <f t="shared" si="73"/>
        <v>-376.04</v>
      </c>
      <c r="AG59" s="344">
        <f>AG51-SUM(AG54:AG57)</f>
        <v>1199.22</v>
      </c>
      <c r="AH59" s="344">
        <f t="shared" ref="AH59:AI59" si="81">AH51-SUM(AH54:AH57)</f>
        <v>-526.3124857761884</v>
      </c>
      <c r="AI59" s="344">
        <f t="shared" si="81"/>
        <v>11.06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'Exh. No. BGM-4 7-11'!E62</f>
        <v>28442</v>
      </c>
      <c r="F63" s="301">
        <f>'Exh. No. BGM-4 7-11'!F62</f>
        <v>0</v>
      </c>
      <c r="G63" s="301">
        <f>'Exh. No. BGM-4 7-11'!G62</f>
        <v>0</v>
      </c>
      <c r="H63" s="301">
        <f>'Exh. No. BGM-4 7-11'!H62</f>
        <v>0</v>
      </c>
      <c r="I63" s="301">
        <f>'Exh. No. BGM-4 7-11'!I62</f>
        <v>0</v>
      </c>
      <c r="J63" s="301">
        <f>'Exh. No. BGM-4 7-11'!J62</f>
        <v>0</v>
      </c>
      <c r="K63" s="301">
        <f>'Exh. No. BGM-4 7-11'!K62</f>
        <v>0</v>
      </c>
      <c r="L63" s="301">
        <f>'Exh. No. BGM-4 7-11'!L62</f>
        <v>0</v>
      </c>
      <c r="M63" s="301">
        <f>'Exh. No. BGM-4 7-11'!M62</f>
        <v>0</v>
      </c>
      <c r="N63" s="301">
        <f>'Exh. No. BGM-4 7-11'!N62</f>
        <v>0</v>
      </c>
      <c r="O63" s="301">
        <f>'Exh. No. BGM-4 7-11'!O62</f>
        <v>0</v>
      </c>
      <c r="P63" s="301">
        <f>'Exh. No. BGM-4 7-11'!P62</f>
        <v>0</v>
      </c>
      <c r="Q63" s="301">
        <f>'Exh. No. BGM-4 7-11'!Q62</f>
        <v>0</v>
      </c>
      <c r="R63" s="301">
        <f>'Exh. No. BGM-4 7-11'!R62</f>
        <v>0</v>
      </c>
      <c r="S63" s="301">
        <f>'Exh. No. BGM-4 7-11'!S62</f>
        <v>0</v>
      </c>
      <c r="T63" s="301">
        <f>'Exh. No. BGM-4 7-11'!T62</f>
        <v>0</v>
      </c>
      <c r="U63" s="301">
        <f>'Exh. No. BGM-4 7-11'!U62</f>
        <v>0</v>
      </c>
      <c r="V63" s="301">
        <f>'Exh. No. BGM-4 7-11'!V62</f>
        <v>0</v>
      </c>
      <c r="W63" s="301">
        <f>'Exh. No. BGM-4 7-11'!W62</f>
        <v>0</v>
      </c>
      <c r="X63" s="301">
        <f>'Exh. No. BGM-4 7-11'!X62</f>
        <v>600</v>
      </c>
      <c r="Y63" s="301">
        <f>'Exh. No. BGM-4 7-11'!AA62</f>
        <v>0</v>
      </c>
      <c r="Z63" s="301">
        <f>'Exh. No. BGM-4 7-11'!AB62</f>
        <v>0</v>
      </c>
      <c r="AA63" s="301">
        <f>'Exh. No. BGM-4 7-11'!AC62</f>
        <v>0</v>
      </c>
      <c r="AB63" s="301">
        <f>'Exh. No. BGM-4 7-11'!AD62</f>
        <v>0</v>
      </c>
      <c r="AC63" s="301">
        <f>'Exh. No. BGM-4 7-11'!AE62</f>
        <v>-335.029</v>
      </c>
      <c r="AD63" s="301">
        <f>'Exh. No. BGM-4 7-11'!AF62</f>
        <v>0</v>
      </c>
      <c r="AE63" s="301">
        <f>'Exh. No. BGM-4 7-11'!AG62</f>
        <v>0</v>
      </c>
      <c r="AF63" s="301">
        <f>'Exh. No. BGM-4 7-11'!AH62</f>
        <v>0</v>
      </c>
      <c r="AG63" s="301">
        <f>'Exh. No. BGM-4 7-11'!AI62</f>
        <v>0</v>
      </c>
      <c r="AH63" s="301">
        <f>'Exh. No. BGM-4 7-11'!AJ62</f>
        <v>0</v>
      </c>
      <c r="AI63" s="301">
        <f>'Exh. No. BGM-4 7-11'!AK62</f>
        <v>0</v>
      </c>
      <c r="AJ63" s="301">
        <f>'Exh. No. BGM-4 7-11'!AL62</f>
        <v>0</v>
      </c>
      <c r="AK63" s="301">
        <f>'Exh. No. BGM-4 7-11'!AM62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'Exh. No. BGM-4 7-11'!E63</f>
        <v>462636</v>
      </c>
      <c r="F64" s="221">
        <f>'Exh. No. BGM-4 7-11'!F63</f>
        <v>0</v>
      </c>
      <c r="G64" s="221">
        <f>'Exh. No. BGM-4 7-11'!G63</f>
        <v>0</v>
      </c>
      <c r="H64" s="221">
        <f>'Exh. No. BGM-4 7-11'!H63</f>
        <v>0</v>
      </c>
      <c r="I64" s="221">
        <f>'Exh. No. BGM-4 7-11'!I63</f>
        <v>-7041</v>
      </c>
      <c r="J64" s="221">
        <f>'Exh. No. BGM-4 7-11'!J63</f>
        <v>0</v>
      </c>
      <c r="K64" s="221">
        <f>'Exh. No. BGM-4 7-11'!K63</f>
        <v>0</v>
      </c>
      <c r="L64" s="221">
        <f>'Exh. No. BGM-4 7-11'!L63</f>
        <v>0</v>
      </c>
      <c r="M64" s="221">
        <f>'Exh. No. BGM-4 7-11'!M63</f>
        <v>0</v>
      </c>
      <c r="N64" s="221">
        <f>'Exh. No. BGM-4 7-11'!N63</f>
        <v>0</v>
      </c>
      <c r="O64" s="221">
        <f>'Exh. No. BGM-4 7-11'!O63</f>
        <v>0</v>
      </c>
      <c r="P64" s="221">
        <f>'Exh. No. BGM-4 7-11'!P63</f>
        <v>0</v>
      </c>
      <c r="Q64" s="221">
        <f>'Exh. No. BGM-4 7-11'!Q63</f>
        <v>0</v>
      </c>
      <c r="R64" s="221">
        <f>'Exh. No. BGM-4 7-11'!R63</f>
        <v>0</v>
      </c>
      <c r="S64" s="221">
        <f>'Exh. No. BGM-4 7-11'!S63</f>
        <v>0</v>
      </c>
      <c r="T64" s="221">
        <f>'Exh. No. BGM-4 7-11'!T63</f>
        <v>0</v>
      </c>
      <c r="U64" s="221">
        <f>'Exh. No. BGM-4 7-11'!U63</f>
        <v>0</v>
      </c>
      <c r="V64" s="221">
        <f>'Exh. No. BGM-4 7-11'!V63</f>
        <v>0</v>
      </c>
      <c r="W64" s="221">
        <f>'Exh. No. BGM-4 7-11'!W63</f>
        <v>0</v>
      </c>
      <c r="X64" s="221">
        <f>'Exh. No. BGM-4 7-11'!X63</f>
        <v>24409</v>
      </c>
      <c r="Y64" s="221">
        <f>'Exh. No. BGM-4 7-11'!AA63</f>
        <v>0</v>
      </c>
      <c r="Z64" s="221">
        <f>'Exh. No. BGM-4 7-11'!AB63</f>
        <v>0</v>
      </c>
      <c r="AA64" s="221">
        <f>'Exh. No. BGM-4 7-11'!AC63</f>
        <v>0</v>
      </c>
      <c r="AB64" s="221">
        <f>'Exh. No. BGM-4 7-11'!AD63</f>
        <v>0</v>
      </c>
      <c r="AC64" s="221">
        <f>'Exh. No. BGM-4 7-11'!AE63</f>
        <v>0</v>
      </c>
      <c r="AD64" s="221">
        <f>'Exh. No. BGM-4 7-11'!AF63</f>
        <v>0</v>
      </c>
      <c r="AE64" s="221">
        <f>'Exh. No. BGM-4 7-11'!AG63</f>
        <v>0</v>
      </c>
      <c r="AF64" s="221">
        <f>'Exh. No. BGM-4 7-11'!AH63</f>
        <v>0</v>
      </c>
      <c r="AG64" s="221">
        <f>'Exh. No. BGM-4 7-11'!AI63</f>
        <v>0</v>
      </c>
      <c r="AH64" s="221">
        <f>'Exh. No. BGM-4 7-11'!AJ63</f>
        <v>14592</v>
      </c>
      <c r="AI64" s="221">
        <f>'Exh. No. BGM-4 7-11'!AK63</f>
        <v>0</v>
      </c>
      <c r="AJ64" s="221">
        <f>'Exh. No. BGM-4 7-11'!AL63</f>
        <v>0</v>
      </c>
      <c r="AK64" s="221">
        <f>'Exh. No. BGM-4 7-11'!AM63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'Exh. No. BGM-4 7-11'!E64</f>
        <v>114053</v>
      </c>
      <c r="F65" s="222">
        <f>'Exh. No. BGM-4 7-11'!F64</f>
        <v>0</v>
      </c>
      <c r="G65" s="222">
        <f>'Exh. No. BGM-4 7-11'!G64</f>
        <v>0</v>
      </c>
      <c r="H65" s="222">
        <f>'Exh. No. BGM-4 7-11'!H64</f>
        <v>0</v>
      </c>
      <c r="I65" s="222">
        <f>'Exh. No. BGM-4 7-11'!I64</f>
        <v>0</v>
      </c>
      <c r="J65" s="222">
        <f>'Exh. No. BGM-4 7-11'!J64</f>
        <v>0</v>
      </c>
      <c r="K65" s="222">
        <f>'Exh. No. BGM-4 7-11'!K64</f>
        <v>0</v>
      </c>
      <c r="L65" s="222">
        <f>'Exh. No. BGM-4 7-11'!L64</f>
        <v>0</v>
      </c>
      <c r="M65" s="222">
        <f>'Exh. No. BGM-4 7-11'!M64</f>
        <v>0</v>
      </c>
      <c r="N65" s="222">
        <f>'Exh. No. BGM-4 7-11'!N64</f>
        <v>0</v>
      </c>
      <c r="O65" s="222">
        <f>'Exh. No. BGM-4 7-11'!O64</f>
        <v>0</v>
      </c>
      <c r="P65" s="222">
        <f>'Exh. No. BGM-4 7-11'!P64</f>
        <v>0</v>
      </c>
      <c r="Q65" s="222">
        <f>'Exh. No. BGM-4 7-11'!Q64</f>
        <v>0</v>
      </c>
      <c r="R65" s="222">
        <f>'Exh. No. BGM-4 7-11'!R64</f>
        <v>0</v>
      </c>
      <c r="S65" s="222">
        <f>'Exh. No. BGM-4 7-11'!S64</f>
        <v>0</v>
      </c>
      <c r="T65" s="222">
        <f>'Exh. No. BGM-4 7-11'!T64</f>
        <v>0</v>
      </c>
      <c r="U65" s="222">
        <f>'Exh. No. BGM-4 7-11'!U64</f>
        <v>0</v>
      </c>
      <c r="V65" s="222">
        <f>'Exh. No. BGM-4 7-11'!V64</f>
        <v>0</v>
      </c>
      <c r="W65" s="222">
        <f>'Exh. No. BGM-4 7-11'!W64</f>
        <v>0</v>
      </c>
      <c r="X65" s="222">
        <f>'Exh. No. BGM-4 7-11'!X64</f>
        <v>12935</v>
      </c>
      <c r="Y65" s="222">
        <f>'Exh. No. BGM-4 7-11'!AA64</f>
        <v>0</v>
      </c>
      <c r="Z65" s="222">
        <f>'Exh. No. BGM-4 7-11'!AB64</f>
        <v>0</v>
      </c>
      <c r="AA65" s="222">
        <f>'Exh. No. BGM-4 7-11'!AC64</f>
        <v>0</v>
      </c>
      <c r="AB65" s="222">
        <f>'Exh. No. BGM-4 7-11'!AD64</f>
        <v>0</v>
      </c>
      <c r="AC65" s="222">
        <f>'Exh. No. BGM-4 7-11'!AE64</f>
        <v>0</v>
      </c>
      <c r="AD65" s="222">
        <f>'Exh. No. BGM-4 7-11'!AF64</f>
        <v>0</v>
      </c>
      <c r="AE65" s="222">
        <f>'Exh. No. BGM-4 7-11'!AG64</f>
        <v>0</v>
      </c>
      <c r="AF65" s="222">
        <f>'Exh. No. BGM-4 7-11'!AH64</f>
        <v>0</v>
      </c>
      <c r="AG65" s="222">
        <f>'Exh. No. BGM-4 7-11'!AI64</f>
        <v>0</v>
      </c>
      <c r="AH65" s="222">
        <f>'Exh. No. BGM-4 7-11'!AJ64</f>
        <v>8918.825901935541</v>
      </c>
      <c r="AI65" s="222">
        <f>'Exh. No. BGM-4 7-11'!AK64</f>
        <v>0</v>
      </c>
      <c r="AJ65" s="222">
        <f>'Exh. No. BGM-4 7-11'!AL64</f>
        <v>0</v>
      </c>
      <c r="AK65" s="222">
        <f>'Exh. No. BGM-4 7-11'!AM64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-335.029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23510.825901935539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'Exh. No. BGM-4 7-11'!E68</f>
        <v>-11051</v>
      </c>
      <c r="F69" s="221">
        <f>'Exh. No. BGM-4 7-11'!F68</f>
        <v>0</v>
      </c>
      <c r="G69" s="221">
        <f>'Exh. No. BGM-4 7-11'!G68</f>
        <v>0</v>
      </c>
      <c r="H69" s="221">
        <f>'Exh. No. BGM-4 7-11'!H68</f>
        <v>0</v>
      </c>
      <c r="I69" s="221">
        <f>'Exh. No. BGM-4 7-11'!I68</f>
        <v>0</v>
      </c>
      <c r="J69" s="221">
        <f>'Exh. No. BGM-4 7-11'!J68</f>
        <v>0</v>
      </c>
      <c r="K69" s="221">
        <f>'Exh. No. BGM-4 7-11'!K68</f>
        <v>0</v>
      </c>
      <c r="L69" s="221">
        <f>'Exh. No. BGM-4 7-11'!L68</f>
        <v>0</v>
      </c>
      <c r="M69" s="221">
        <f>'Exh. No. BGM-4 7-11'!M68</f>
        <v>0</v>
      </c>
      <c r="N69" s="221">
        <f>'Exh. No. BGM-4 7-11'!N68</f>
        <v>0</v>
      </c>
      <c r="O69" s="221">
        <f>'Exh. No. BGM-4 7-11'!O68</f>
        <v>0</v>
      </c>
      <c r="P69" s="221">
        <f>'Exh. No. BGM-4 7-11'!P68</f>
        <v>0</v>
      </c>
      <c r="Q69" s="221">
        <f>'Exh. No. BGM-4 7-11'!Q68</f>
        <v>0</v>
      </c>
      <c r="R69" s="221">
        <f>'Exh. No. BGM-4 7-11'!R68</f>
        <v>0</v>
      </c>
      <c r="S69" s="221">
        <f>'Exh. No. BGM-4 7-11'!S68</f>
        <v>0</v>
      </c>
      <c r="T69" s="221">
        <f>'Exh. No. BGM-4 7-11'!T68</f>
        <v>0</v>
      </c>
      <c r="U69" s="221">
        <f>'Exh. No. BGM-4 7-11'!U68</f>
        <v>0</v>
      </c>
      <c r="V69" s="221">
        <f>'Exh. No. BGM-4 7-11'!V68</f>
        <v>0</v>
      </c>
      <c r="W69" s="221">
        <f>'Exh. No. BGM-4 7-11'!W68</f>
        <v>0</v>
      </c>
      <c r="X69" s="221">
        <f>'Exh. No. BGM-4 7-11'!X68</f>
        <v>-431</v>
      </c>
      <c r="Y69" s="221">
        <f>'Exh. No. BGM-4 7-11'!AA68</f>
        <v>0</v>
      </c>
      <c r="Z69" s="221">
        <f>'Exh. No. BGM-4 7-11'!AB68</f>
        <v>0</v>
      </c>
      <c r="AA69" s="221">
        <f>'Exh. No. BGM-4 7-11'!AC68</f>
        <v>0</v>
      </c>
      <c r="AB69" s="221">
        <f>'Exh. No. BGM-4 7-11'!AD68</f>
        <v>0</v>
      </c>
      <c r="AC69" s="221">
        <f>'Exh. No. BGM-4 7-11'!AE68</f>
        <v>0</v>
      </c>
      <c r="AD69" s="221">
        <f>'Exh. No. BGM-4 7-11'!AF68</f>
        <v>0</v>
      </c>
      <c r="AE69" s="221">
        <f>'Exh. No. BGM-4 7-11'!AG68</f>
        <v>0</v>
      </c>
      <c r="AF69" s="221">
        <f>'Exh. No. BGM-4 7-11'!AH68</f>
        <v>0</v>
      </c>
      <c r="AG69" s="221">
        <f>'Exh. No. BGM-4 7-11'!AI68</f>
        <v>0</v>
      </c>
      <c r="AH69" s="221">
        <f>'Exh. No. BGM-4 7-11'!AJ68</f>
        <v>0</v>
      </c>
      <c r="AI69" s="221">
        <f>'Exh. No. BGM-4 7-11'!AK68</f>
        <v>0</v>
      </c>
      <c r="AJ69" s="221">
        <f>'Exh. No. BGM-4 7-11'!AL68</f>
        <v>0</v>
      </c>
      <c r="AK69" s="221">
        <f>'Exh. No. BGM-4 7-11'!AM68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'Exh. No. BGM-4 7-11'!E69</f>
        <v>-145402</v>
      </c>
      <c r="F70" s="221">
        <f>'Exh. No. BGM-4 7-11'!F69</f>
        <v>0</v>
      </c>
      <c r="G70" s="221">
        <f>'Exh. No. BGM-4 7-11'!G69</f>
        <v>0</v>
      </c>
      <c r="H70" s="221">
        <f>'Exh. No. BGM-4 7-11'!H69</f>
        <v>0</v>
      </c>
      <c r="I70" s="221">
        <f>'Exh. No. BGM-4 7-11'!I69</f>
        <v>433</v>
      </c>
      <c r="J70" s="221">
        <f>'Exh. No. BGM-4 7-11'!J69</f>
        <v>0</v>
      </c>
      <c r="K70" s="221">
        <f>'Exh. No. BGM-4 7-11'!K69</f>
        <v>0</v>
      </c>
      <c r="L70" s="221">
        <f>'Exh. No. BGM-4 7-11'!L69</f>
        <v>0</v>
      </c>
      <c r="M70" s="221">
        <f>'Exh. No. BGM-4 7-11'!M69</f>
        <v>0</v>
      </c>
      <c r="N70" s="221">
        <f>'Exh. No. BGM-4 7-11'!N69</f>
        <v>0</v>
      </c>
      <c r="O70" s="221">
        <f>'Exh. No. BGM-4 7-11'!O69</f>
        <v>0</v>
      </c>
      <c r="P70" s="221">
        <f>'Exh. No. BGM-4 7-11'!P69</f>
        <v>0</v>
      </c>
      <c r="Q70" s="221">
        <f>'Exh. No. BGM-4 7-11'!Q69</f>
        <v>0</v>
      </c>
      <c r="R70" s="221">
        <f>'Exh. No. BGM-4 7-11'!R69</f>
        <v>0</v>
      </c>
      <c r="S70" s="221">
        <f>'Exh. No. BGM-4 7-11'!S69</f>
        <v>0</v>
      </c>
      <c r="T70" s="221">
        <f>'Exh. No. BGM-4 7-11'!T69</f>
        <v>0</v>
      </c>
      <c r="U70" s="221">
        <f>'Exh. No. BGM-4 7-11'!U69</f>
        <v>0</v>
      </c>
      <c r="V70" s="221">
        <f>'Exh. No. BGM-4 7-11'!V69</f>
        <v>0</v>
      </c>
      <c r="W70" s="221">
        <f>'Exh. No. BGM-4 7-11'!W69</f>
        <v>0</v>
      </c>
      <c r="X70" s="221">
        <f>'Exh. No. BGM-4 7-11'!X69</f>
        <v>-3208</v>
      </c>
      <c r="Y70" s="221">
        <f>'Exh. No. BGM-4 7-11'!AA69</f>
        <v>0</v>
      </c>
      <c r="Z70" s="221">
        <f>'Exh. No. BGM-4 7-11'!AB69</f>
        <v>0</v>
      </c>
      <c r="AA70" s="221">
        <f>'Exh. No. BGM-4 7-11'!AC69</f>
        <v>0</v>
      </c>
      <c r="AB70" s="221">
        <f>'Exh. No. BGM-4 7-11'!AD69</f>
        <v>0</v>
      </c>
      <c r="AC70" s="221">
        <f>'Exh. No. BGM-4 7-11'!AE69</f>
        <v>0</v>
      </c>
      <c r="AD70" s="221">
        <f>'Exh. No. BGM-4 7-11'!AF69</f>
        <v>0</v>
      </c>
      <c r="AE70" s="221">
        <f>'Exh. No. BGM-4 7-11'!AG69</f>
        <v>0</v>
      </c>
      <c r="AF70" s="221">
        <f>'Exh. No. BGM-4 7-11'!AH69</f>
        <v>0</v>
      </c>
      <c r="AG70" s="221">
        <f>'Exh. No. BGM-4 7-11'!AI69</f>
        <v>0</v>
      </c>
      <c r="AH70" s="221">
        <f>'Exh. No. BGM-4 7-11'!AJ69</f>
        <v>-156</v>
      </c>
      <c r="AI70" s="221">
        <f>'Exh. No. BGM-4 7-11'!AK69</f>
        <v>0</v>
      </c>
      <c r="AJ70" s="221">
        <f>'Exh. No. BGM-4 7-11'!AL69</f>
        <v>0</v>
      </c>
      <c r="AK70" s="221">
        <f>'Exh. No. BGM-4 7-11'!AM69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'Exh. No. BGM-4 7-11'!E70</f>
        <v>-32354</v>
      </c>
      <c r="F71" s="222">
        <f>'Exh. No. BGM-4 7-11'!F70</f>
        <v>0</v>
      </c>
      <c r="G71" s="222">
        <f>'Exh. No. BGM-4 7-11'!G70</f>
        <v>0</v>
      </c>
      <c r="H71" s="222">
        <f>'Exh. No. BGM-4 7-11'!H70</f>
        <v>0</v>
      </c>
      <c r="I71" s="222">
        <f>'Exh. No. BGM-4 7-11'!I70</f>
        <v>0</v>
      </c>
      <c r="J71" s="222">
        <f>'Exh. No. BGM-4 7-11'!J70</f>
        <v>0</v>
      </c>
      <c r="K71" s="222">
        <f>'Exh. No. BGM-4 7-11'!K70</f>
        <v>0</v>
      </c>
      <c r="L71" s="222">
        <f>'Exh. No. BGM-4 7-11'!L70</f>
        <v>0</v>
      </c>
      <c r="M71" s="222">
        <f>'Exh. No. BGM-4 7-11'!M70</f>
        <v>0</v>
      </c>
      <c r="N71" s="222">
        <f>'Exh. No. BGM-4 7-11'!N70</f>
        <v>0</v>
      </c>
      <c r="O71" s="222">
        <f>'Exh. No. BGM-4 7-11'!O70</f>
        <v>0</v>
      </c>
      <c r="P71" s="222">
        <f>'Exh. No. BGM-4 7-11'!P70</f>
        <v>0</v>
      </c>
      <c r="Q71" s="222">
        <f>'Exh. No. BGM-4 7-11'!Q70</f>
        <v>0</v>
      </c>
      <c r="R71" s="222">
        <f>'Exh. No. BGM-4 7-11'!R70</f>
        <v>0</v>
      </c>
      <c r="S71" s="222">
        <f>'Exh. No. BGM-4 7-11'!S70</f>
        <v>0</v>
      </c>
      <c r="T71" s="222">
        <f>'Exh. No. BGM-4 7-11'!T70</f>
        <v>0</v>
      </c>
      <c r="U71" s="222">
        <f>'Exh. No. BGM-4 7-11'!U70</f>
        <v>0</v>
      </c>
      <c r="V71" s="222">
        <f>'Exh. No. BGM-4 7-11'!V70</f>
        <v>0</v>
      </c>
      <c r="W71" s="222">
        <f>'Exh. No. BGM-4 7-11'!W70</f>
        <v>0</v>
      </c>
      <c r="X71" s="222">
        <f>'Exh. No. BGM-4 7-11'!X70</f>
        <v>-2338</v>
      </c>
      <c r="Y71" s="222">
        <f>'Exh. No. BGM-4 7-11'!AA70</f>
        <v>0</v>
      </c>
      <c r="Z71" s="222">
        <f>'Exh. No. BGM-4 7-11'!AB70</f>
        <v>0</v>
      </c>
      <c r="AA71" s="222">
        <f>'Exh. No. BGM-4 7-11'!AC70</f>
        <v>0</v>
      </c>
      <c r="AB71" s="222">
        <f>'Exh. No. BGM-4 7-11'!AD70</f>
        <v>0</v>
      </c>
      <c r="AC71" s="222">
        <f>'Exh. No. BGM-4 7-11'!AE70</f>
        <v>0</v>
      </c>
      <c r="AD71" s="222">
        <f>'Exh. No. BGM-4 7-11'!AF70</f>
        <v>0</v>
      </c>
      <c r="AE71" s="222">
        <f>'Exh. No. BGM-4 7-11'!AG70</f>
        <v>0</v>
      </c>
      <c r="AF71" s="222">
        <f>'Exh. No. BGM-4 7-11'!AH70</f>
        <v>0</v>
      </c>
      <c r="AG71" s="222">
        <f>'Exh. No. BGM-4 7-11'!AI70</f>
        <v>0</v>
      </c>
      <c r="AH71" s="222">
        <f>'Exh. No. BGM-4 7-11'!AJ70</f>
        <v>-497</v>
      </c>
      <c r="AI71" s="222">
        <f>'Exh. No. BGM-4 7-11'!AK70</f>
        <v>0</v>
      </c>
      <c r="AJ71" s="222">
        <f>'Exh. No. BGM-4 7-11'!AL70</f>
        <v>0</v>
      </c>
      <c r="AK71" s="222">
        <f>'Exh. No. BGM-4 7-11'!AM70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-653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-335.029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22857.825901935539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'Exh. No. BGM-4 7-11'!E73</f>
        <v>-88908</v>
      </c>
      <c r="F74" s="222">
        <f>'Exh. No. BGM-4 7-11'!F73</f>
        <v>-1247</v>
      </c>
      <c r="G74" s="222">
        <f>'Exh. No. BGM-4 7-11'!G73</f>
        <v>0</v>
      </c>
      <c r="H74" s="222">
        <f>'Exh. No. BGM-4 7-11'!H73</f>
        <v>0</v>
      </c>
      <c r="I74" s="222">
        <f>'Exh. No. BGM-4 7-11'!I73</f>
        <v>570</v>
      </c>
      <c r="J74" s="222">
        <f>'Exh. No. BGM-4 7-11'!J73</f>
        <v>0</v>
      </c>
      <c r="K74" s="222">
        <f>'Exh. No. BGM-4 7-11'!K73</f>
        <v>0</v>
      </c>
      <c r="L74" s="222">
        <f>'Exh. No. BGM-4 7-11'!L73</f>
        <v>0</v>
      </c>
      <c r="M74" s="222">
        <f>'Exh. No. BGM-4 7-11'!M73</f>
        <v>0</v>
      </c>
      <c r="N74" s="222">
        <f>'Exh. No. BGM-4 7-11'!N73</f>
        <v>0</v>
      </c>
      <c r="O74" s="222">
        <f>'Exh. No. BGM-4 7-11'!O73</f>
        <v>0</v>
      </c>
      <c r="P74" s="222">
        <f>'Exh. No. BGM-4 7-11'!P73</f>
        <v>0</v>
      </c>
      <c r="Q74" s="222">
        <f>'Exh. No. BGM-4 7-11'!Q73</f>
        <v>0</v>
      </c>
      <c r="R74" s="222">
        <f>'Exh. No. BGM-4 7-11'!R73</f>
        <v>0</v>
      </c>
      <c r="S74" s="222">
        <f>'Exh. No. BGM-4 7-11'!S73</f>
        <v>0</v>
      </c>
      <c r="T74" s="222">
        <f>'Exh. No. BGM-4 7-11'!T73</f>
        <v>0</v>
      </c>
      <c r="U74" s="222">
        <f>'Exh. No. BGM-4 7-11'!U73</f>
        <v>0</v>
      </c>
      <c r="V74" s="222">
        <f>'Exh. No. BGM-4 7-11'!V73</f>
        <v>0</v>
      </c>
      <c r="W74" s="222">
        <f>'Exh. No. BGM-4 7-11'!W73</f>
        <v>0</v>
      </c>
      <c r="X74" s="222">
        <f>'Exh. No. BGM-4 7-11'!X73</f>
        <v>304</v>
      </c>
      <c r="Y74" s="222">
        <f>'Exh. No. BGM-4 7-11'!AA73</f>
        <v>0</v>
      </c>
      <c r="Z74" s="222">
        <f>'Exh. No. BGM-4 7-11'!AB73</f>
        <v>0</v>
      </c>
      <c r="AA74" s="222">
        <f>'Exh. No. BGM-4 7-11'!AC73</f>
        <v>0</v>
      </c>
      <c r="AB74" s="222">
        <f>'Exh. No. BGM-4 7-11'!AD73</f>
        <v>0</v>
      </c>
      <c r="AC74" s="222">
        <f>'Exh. No. BGM-4 7-11'!AE73</f>
        <v>0</v>
      </c>
      <c r="AD74" s="222">
        <f>'Exh. No. BGM-4 7-11'!AF73</f>
        <v>0</v>
      </c>
      <c r="AE74" s="222">
        <f>'Exh. No. BGM-4 7-11'!AG73</f>
        <v>0</v>
      </c>
      <c r="AF74" s="222">
        <f>'Exh. No. BGM-4 7-11'!AH73</f>
        <v>0</v>
      </c>
      <c r="AG74" s="222">
        <f>'Exh. No. BGM-4 7-11'!AI73</f>
        <v>0</v>
      </c>
      <c r="AH74" s="222">
        <f>'Exh. No. BGM-4 7-11'!AJ73</f>
        <v>-607</v>
      </c>
      <c r="AI74" s="222">
        <f>'Exh. No. BGM-4 7-11'!AK73</f>
        <v>0</v>
      </c>
      <c r="AJ74" s="222">
        <f>'Exh. No. BGM-4 7-11'!AL73</f>
        <v>0</v>
      </c>
      <c r="AK74" s="222">
        <f>'Exh. No. BGM-4 7-11'!AM73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-335.029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22250.825901935539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'Exh. No. BGM-4 7-11'!E75</f>
        <v>8355</v>
      </c>
      <c r="F76" s="221">
        <f>'Exh. No. BGM-4 7-11'!F75</f>
        <v>0</v>
      </c>
      <c r="G76" s="221">
        <f>'Exh. No. BGM-4 7-11'!G75</f>
        <v>0</v>
      </c>
      <c r="H76" s="221">
        <f>'Exh. No. BGM-4 7-11'!H75</f>
        <v>0</v>
      </c>
      <c r="I76" s="221">
        <f>'Exh. No. BGM-4 7-11'!I75</f>
        <v>0</v>
      </c>
      <c r="J76" s="221">
        <f>'Exh. No. BGM-4 7-11'!J75</f>
        <v>0</v>
      </c>
      <c r="K76" s="221">
        <f>'Exh. No. BGM-4 7-11'!K75</f>
        <v>0</v>
      </c>
      <c r="L76" s="221">
        <f>'Exh. No. BGM-4 7-11'!L75</f>
        <v>0</v>
      </c>
      <c r="M76" s="221">
        <f>'Exh. No. BGM-4 7-11'!M75</f>
        <v>0</v>
      </c>
      <c r="N76" s="221">
        <f>'Exh. No. BGM-4 7-11'!N75</f>
        <v>0</v>
      </c>
      <c r="O76" s="221">
        <f>'Exh. No. BGM-4 7-11'!O75</f>
        <v>0</v>
      </c>
      <c r="P76" s="221">
        <f>'Exh. No. BGM-4 7-11'!P75</f>
        <v>0</v>
      </c>
      <c r="Q76" s="221">
        <f>'Exh. No. BGM-4 7-11'!Q75</f>
        <v>0</v>
      </c>
      <c r="R76" s="221">
        <f>'Exh. No. BGM-4 7-11'!R75</f>
        <v>0</v>
      </c>
      <c r="S76" s="221">
        <f>'Exh. No. BGM-4 7-11'!S75</f>
        <v>0</v>
      </c>
      <c r="T76" s="221">
        <f>'Exh. No. BGM-4 7-11'!T75</f>
        <v>0</v>
      </c>
      <c r="U76" s="221">
        <f>'Exh. No. BGM-4 7-11'!U75</f>
        <v>0</v>
      </c>
      <c r="V76" s="221">
        <f>'Exh. No. BGM-4 7-11'!V75</f>
        <v>0</v>
      </c>
      <c r="W76" s="221">
        <f>'Exh. No. BGM-4 7-11'!W75</f>
        <v>0</v>
      </c>
      <c r="X76" s="221">
        <f>'Exh. No. BGM-4 7-11'!X75</f>
        <v>0</v>
      </c>
      <c r="Y76" s="221">
        <f>'Exh. No. BGM-4 7-11'!AA75</f>
        <v>0</v>
      </c>
      <c r="Z76" s="221">
        <f>'Exh. No. BGM-4 7-11'!AB75</f>
        <v>0</v>
      </c>
      <c r="AA76" s="221">
        <f>'Exh. No. BGM-4 7-11'!AC75</f>
        <v>0</v>
      </c>
      <c r="AB76" s="221">
        <f>'Exh. No. BGM-4 7-11'!AD75</f>
        <v>0</v>
      </c>
      <c r="AC76" s="221">
        <f>'Exh. No. BGM-4 7-11'!AE75</f>
        <v>0</v>
      </c>
      <c r="AD76" s="221">
        <f>'Exh. No. BGM-4 7-11'!AF75</f>
        <v>0</v>
      </c>
      <c r="AE76" s="221">
        <f>'Exh. No. BGM-4 7-11'!AG75</f>
        <v>0</v>
      </c>
      <c r="AF76" s="221">
        <f>'Exh. No. BGM-4 7-11'!AH75</f>
        <v>0</v>
      </c>
      <c r="AG76" s="221">
        <f>'Exh. No. BGM-4 7-11'!AI75</f>
        <v>0</v>
      </c>
      <c r="AH76" s="221">
        <f>'Exh. No. BGM-4 7-11'!AJ75</f>
        <v>0</v>
      </c>
      <c r="AI76" s="221">
        <f>'Exh. No. BGM-4 7-11'!AK75</f>
        <v>0</v>
      </c>
      <c r="AJ76" s="221">
        <f>'Exh. No. BGM-4 7-11'!AL75</f>
        <v>0</v>
      </c>
      <c r="AK76" s="221">
        <f>'Exh. No. BGM-4 7-11'!AM75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'Exh. No. BGM-4 7-11'!E76</f>
        <v>0</v>
      </c>
      <c r="F77" s="221">
        <f>'Exh. No. BGM-4 7-11'!F76</f>
        <v>0</v>
      </c>
      <c r="G77" s="221">
        <f>'Exh. No. BGM-4 7-11'!G76</f>
        <v>0</v>
      </c>
      <c r="H77" s="221">
        <f>'Exh. No. BGM-4 7-11'!H76</f>
        <v>0</v>
      </c>
      <c r="I77" s="221">
        <f>'Exh. No. BGM-4 7-11'!I76</f>
        <v>0</v>
      </c>
      <c r="J77" s="221">
        <f>'Exh. No. BGM-4 7-11'!J76</f>
        <v>0</v>
      </c>
      <c r="K77" s="221">
        <f>'Exh. No. BGM-4 7-11'!K76</f>
        <v>0</v>
      </c>
      <c r="L77" s="221">
        <f>'Exh. No. BGM-4 7-11'!L76</f>
        <v>0</v>
      </c>
      <c r="M77" s="221">
        <f>'Exh. No. BGM-4 7-11'!M76</f>
        <v>0</v>
      </c>
      <c r="N77" s="221">
        <f>'Exh. No. BGM-4 7-11'!N76</f>
        <v>0</v>
      </c>
      <c r="O77" s="221">
        <f>'Exh. No. BGM-4 7-11'!O76</f>
        <v>0</v>
      </c>
      <c r="P77" s="221">
        <f>'Exh. No. BGM-4 7-11'!P76</f>
        <v>0</v>
      </c>
      <c r="Q77" s="221">
        <f>'Exh. No. BGM-4 7-11'!Q76</f>
        <v>0</v>
      </c>
      <c r="R77" s="221">
        <f>'Exh. No. BGM-4 7-11'!R76</f>
        <v>0</v>
      </c>
      <c r="S77" s="221">
        <f>'Exh. No. BGM-4 7-11'!S76</f>
        <v>0</v>
      </c>
      <c r="T77" s="221">
        <f>'Exh. No. BGM-4 7-11'!T76</f>
        <v>0</v>
      </c>
      <c r="U77" s="221">
        <f>'Exh. No. BGM-4 7-11'!U76</f>
        <v>0</v>
      </c>
      <c r="V77" s="221">
        <f>'Exh. No. BGM-4 7-11'!V76</f>
        <v>0</v>
      </c>
      <c r="W77" s="221">
        <f>'Exh. No. BGM-4 7-11'!W76</f>
        <v>0</v>
      </c>
      <c r="X77" s="221">
        <f>'Exh. No. BGM-4 7-11'!X76</f>
        <v>0</v>
      </c>
      <c r="Y77" s="221">
        <f>'Exh. No. BGM-4 7-11'!AA76</f>
        <v>0</v>
      </c>
      <c r="Z77" s="221">
        <f>'Exh. No. BGM-4 7-11'!AB76</f>
        <v>0</v>
      </c>
      <c r="AA77" s="221">
        <f>'Exh. No. BGM-4 7-11'!AC76</f>
        <v>0</v>
      </c>
      <c r="AB77" s="221">
        <f>'Exh. No. BGM-4 7-11'!AD76</f>
        <v>0</v>
      </c>
      <c r="AC77" s="221">
        <f>'Exh. No. BGM-4 7-11'!AE76</f>
        <v>0</v>
      </c>
      <c r="AD77" s="221">
        <f>'Exh. No. BGM-4 7-11'!AF76</f>
        <v>0</v>
      </c>
      <c r="AE77" s="221">
        <f>'Exh. No. BGM-4 7-11'!AG76</f>
        <v>0</v>
      </c>
      <c r="AF77" s="221">
        <f>'Exh. No. BGM-4 7-11'!AH76</f>
        <v>0</v>
      </c>
      <c r="AG77" s="221">
        <f>'Exh. No. BGM-4 7-11'!AI76</f>
        <v>0</v>
      </c>
      <c r="AH77" s="221">
        <f>'Exh. No. BGM-4 7-11'!AJ76</f>
        <v>0</v>
      </c>
      <c r="AI77" s="221">
        <f>'Exh. No. BGM-4 7-11'!AK76</f>
        <v>0</v>
      </c>
      <c r="AJ77" s="221">
        <f>'Exh. No. BGM-4 7-11'!AL76</f>
        <v>0</v>
      </c>
      <c r="AK77" s="221">
        <f>'Exh. No. BGM-4 7-11'!AM76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'Exh. No. BGM-4 7-11'!E77</f>
        <v>5338</v>
      </c>
      <c r="F78" s="221">
        <f>'Exh. No. BGM-4 7-11'!F77</f>
        <v>0</v>
      </c>
      <c r="G78" s="221">
        <f>'Exh. No. BGM-4 7-11'!G77</f>
        <v>-7</v>
      </c>
      <c r="H78" s="221">
        <f>'Exh. No. BGM-4 7-11'!H77</f>
        <v>0</v>
      </c>
      <c r="I78" s="221">
        <f>'Exh. No. BGM-4 7-11'!I77</f>
        <v>0</v>
      </c>
      <c r="J78" s="221">
        <f>'Exh. No. BGM-4 7-11'!J77</f>
        <v>0</v>
      </c>
      <c r="K78" s="221">
        <f>'Exh. No. BGM-4 7-11'!K77</f>
        <v>0</v>
      </c>
      <c r="L78" s="221">
        <f>'Exh. No. BGM-4 7-11'!L77</f>
        <v>0</v>
      </c>
      <c r="M78" s="221">
        <f>'Exh. No. BGM-4 7-11'!M77</f>
        <v>0</v>
      </c>
      <c r="N78" s="221">
        <f>'Exh. No. BGM-4 7-11'!N77</f>
        <v>0</v>
      </c>
      <c r="O78" s="221">
        <f>'Exh. No. BGM-4 7-11'!O77</f>
        <v>0</v>
      </c>
      <c r="P78" s="221">
        <f>'Exh. No. BGM-4 7-11'!P77</f>
        <v>0</v>
      </c>
      <c r="Q78" s="221">
        <f>'Exh. No. BGM-4 7-11'!Q77</f>
        <v>0</v>
      </c>
      <c r="R78" s="221">
        <f>'Exh. No. BGM-4 7-11'!R77</f>
        <v>0</v>
      </c>
      <c r="S78" s="221">
        <f>'Exh. No. BGM-4 7-11'!S77</f>
        <v>0</v>
      </c>
      <c r="T78" s="221">
        <f>'Exh. No. BGM-4 7-11'!T77</f>
        <v>0</v>
      </c>
      <c r="U78" s="221">
        <f>'Exh. No. BGM-4 7-11'!U77</f>
        <v>0</v>
      </c>
      <c r="V78" s="221">
        <f>'Exh. No. BGM-4 7-11'!V77</f>
        <v>0</v>
      </c>
      <c r="W78" s="221">
        <f>'Exh. No. BGM-4 7-11'!W77</f>
        <v>0</v>
      </c>
      <c r="X78" s="221">
        <f>'Exh. No. BGM-4 7-11'!X77</f>
        <v>0</v>
      </c>
      <c r="Y78" s="221">
        <f>'Exh. No. BGM-4 7-11'!AA77</f>
        <v>0</v>
      </c>
      <c r="Z78" s="221">
        <f>'Exh. No. BGM-4 7-11'!AB77</f>
        <v>95</v>
      </c>
      <c r="AA78" s="221">
        <f>'Exh. No. BGM-4 7-11'!AC77</f>
        <v>0</v>
      </c>
      <c r="AB78" s="221">
        <f>'Exh. No. BGM-4 7-11'!AD77</f>
        <v>0</v>
      </c>
      <c r="AC78" s="221">
        <f>'Exh. No. BGM-4 7-11'!AE77</f>
        <v>0</v>
      </c>
      <c r="AD78" s="221">
        <f>'Exh. No. BGM-4 7-11'!AF77</f>
        <v>0</v>
      </c>
      <c r="AE78" s="221">
        <f>'Exh. No. BGM-4 7-11'!AG77</f>
        <v>0</v>
      </c>
      <c r="AF78" s="221">
        <f>'Exh. No. BGM-4 7-11'!AH77</f>
        <v>0</v>
      </c>
      <c r="AG78" s="221">
        <f>'Exh. No. BGM-4 7-11'!AI77</f>
        <v>0</v>
      </c>
      <c r="AH78" s="221">
        <f>'Exh. No. BGM-4 7-11'!AJ77</f>
        <v>0</v>
      </c>
      <c r="AI78" s="221">
        <f>'Exh. No. BGM-4 7-11'!AK77</f>
        <v>0</v>
      </c>
      <c r="AJ78" s="221">
        <f>'Exh. No. BGM-4 7-11'!AL77</f>
        <v>0</v>
      </c>
      <c r="AK78" s="221">
        <f>'Exh. No. BGM-4 7-11'!AM77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'Exh. No. BGM-4 7-11'!E78</f>
        <v>7549</v>
      </c>
      <c r="F79" s="222">
        <f>'Exh. No. BGM-4 7-11'!F78</f>
        <v>0</v>
      </c>
      <c r="G79" s="222">
        <f>'Exh. No. BGM-4 7-11'!G78</f>
        <v>0</v>
      </c>
      <c r="H79" s="222">
        <f>'Exh. No. BGM-4 7-11'!H78</f>
        <v>0</v>
      </c>
      <c r="I79" s="222">
        <f>'Exh. No. BGM-4 7-11'!I78</f>
        <v>0</v>
      </c>
      <c r="J79" s="222">
        <f>'Exh. No. BGM-4 7-11'!J78</f>
        <v>0</v>
      </c>
      <c r="K79" s="222">
        <f>'Exh. No. BGM-4 7-11'!K78</f>
        <v>0</v>
      </c>
      <c r="L79" s="222">
        <f>'Exh. No. BGM-4 7-11'!L78</f>
        <v>0</v>
      </c>
      <c r="M79" s="222">
        <f>'Exh. No. BGM-4 7-11'!M78</f>
        <v>0</v>
      </c>
      <c r="N79" s="222">
        <f>'Exh. No. BGM-4 7-11'!N78</f>
        <v>0</v>
      </c>
      <c r="O79" s="222">
        <f>'Exh. No. BGM-4 7-11'!O78</f>
        <v>0</v>
      </c>
      <c r="P79" s="222">
        <f>'Exh. No. BGM-4 7-11'!P78</f>
        <v>0</v>
      </c>
      <c r="Q79" s="222">
        <f>'Exh. No. BGM-4 7-11'!Q78</f>
        <v>0</v>
      </c>
      <c r="R79" s="222">
        <f>'Exh. No. BGM-4 7-11'!R78</f>
        <v>0</v>
      </c>
      <c r="S79" s="222">
        <f>'Exh. No. BGM-4 7-11'!S78</f>
        <v>0</v>
      </c>
      <c r="T79" s="222">
        <f>'Exh. No. BGM-4 7-11'!T78</f>
        <v>0</v>
      </c>
      <c r="U79" s="222">
        <f>'Exh. No. BGM-4 7-11'!U78</f>
        <v>0</v>
      </c>
      <c r="V79" s="222">
        <f>'Exh. No. BGM-4 7-11'!V78</f>
        <v>0</v>
      </c>
      <c r="W79" s="222">
        <f>'Exh. No. BGM-4 7-11'!W78</f>
        <v>0</v>
      </c>
      <c r="X79" s="222">
        <f>'Exh. No. BGM-4 7-11'!X78</f>
        <v>0</v>
      </c>
      <c r="Y79" s="222">
        <f>'Exh. No. BGM-4 7-11'!AA78</f>
        <v>0</v>
      </c>
      <c r="Z79" s="222">
        <f>'Exh. No. BGM-4 7-11'!AB78</f>
        <v>0</v>
      </c>
      <c r="AA79" s="222">
        <f>'Exh. No. BGM-4 7-11'!AC78</f>
        <v>0</v>
      </c>
      <c r="AB79" s="222">
        <f>'Exh. No. BGM-4 7-11'!AD78</f>
        <v>0</v>
      </c>
      <c r="AC79" s="222">
        <f>'Exh. No. BGM-4 7-11'!AE78</f>
        <v>0</v>
      </c>
      <c r="AD79" s="222">
        <f>'Exh. No. BGM-4 7-11'!AF78</f>
        <v>0</v>
      </c>
      <c r="AE79" s="222">
        <f>'Exh. No. BGM-4 7-11'!AG78</f>
        <v>0</v>
      </c>
      <c r="AF79" s="222">
        <f>'Exh. No. BGM-4 7-11'!AH78</f>
        <v>0</v>
      </c>
      <c r="AG79" s="222">
        <f>'Exh. No. BGM-4 7-11'!AI78</f>
        <v>0</v>
      </c>
      <c r="AH79" s="222">
        <f>'Exh. No. BGM-4 7-11'!AJ78</f>
        <v>0</v>
      </c>
      <c r="AI79" s="222">
        <f>'Exh. No. BGM-4 7-11'!AK78</f>
        <v>0</v>
      </c>
      <c r="AJ79" s="222">
        <f>'Exh. No. BGM-4 7-11'!AL78</f>
        <v>0</v>
      </c>
      <c r="AK79" s="222">
        <f>'Exh. No. BGM-4 7-11'!AM78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-335.029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22250.825901935539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2" customWidth="1"/>
    <col min="19" max="19" width="12.5703125" style="428" customWidth="1"/>
    <col min="20" max="21" width="11.42578125" style="428"/>
    <col min="22" max="28" width="11.42578125" style="459"/>
    <col min="29" max="16384" width="11.42578125" style="36"/>
  </cols>
  <sheetData>
    <row r="1" spans="1:28" ht="18.75">
      <c r="A1" s="836" t="s">
        <v>490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349"/>
    </row>
    <row r="2" spans="1:28" ht="18.75">
      <c r="A2" s="836" t="s">
        <v>112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349"/>
    </row>
    <row r="3" spans="1:28" ht="18.75">
      <c r="A3" s="836" t="s">
        <v>170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5"/>
      <c r="S4" s="435"/>
      <c r="T4" s="435"/>
      <c r="U4" s="435"/>
      <c r="V4" s="435"/>
      <c r="W4" s="435"/>
      <c r="X4" s="435"/>
      <c r="Y4" s="435"/>
      <c r="Z4" s="435"/>
      <c r="AA4" s="428"/>
      <c r="AB4" s="428"/>
    </row>
    <row r="5" spans="1:28" ht="14.25">
      <c r="H5" s="147" t="s">
        <v>147</v>
      </c>
      <c r="S5" s="435"/>
      <c r="T5" s="435"/>
      <c r="U5" s="435"/>
      <c r="V5" s="435"/>
      <c r="W5" s="435"/>
      <c r="X5" s="435"/>
      <c r="Y5" s="435"/>
      <c r="Z5" s="435"/>
    </row>
    <row r="6" spans="1:28">
      <c r="S6" s="435"/>
      <c r="T6" s="435"/>
      <c r="U6" s="435"/>
      <c r="V6" s="435"/>
      <c r="W6" s="435"/>
      <c r="X6" s="435"/>
      <c r="Y6" s="435"/>
      <c r="Z6" s="435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824" t="s">
        <v>163</v>
      </c>
      <c r="M7" s="824"/>
      <c r="N7" s="824"/>
      <c r="P7" s="122"/>
      <c r="Q7" s="122"/>
      <c r="R7" s="435"/>
      <c r="S7" s="435"/>
      <c r="T7" s="435"/>
      <c r="U7" s="435"/>
      <c r="V7" s="435"/>
      <c r="W7" s="435"/>
      <c r="X7" s="435"/>
      <c r="Y7" s="435"/>
      <c r="Z7" s="435"/>
      <c r="AA7" s="428"/>
      <c r="AB7" s="428"/>
    </row>
    <row r="8" spans="1:28" s="49" customFormat="1">
      <c r="A8" s="36"/>
      <c r="B8" s="36"/>
      <c r="C8" s="36"/>
      <c r="D8" s="36"/>
      <c r="E8" s="837" t="s">
        <v>164</v>
      </c>
      <c r="F8" s="837"/>
      <c r="G8" s="52"/>
      <c r="H8" s="837"/>
      <c r="I8" s="837"/>
      <c r="J8" s="36"/>
      <c r="K8" s="824" t="s">
        <v>165</v>
      </c>
      <c r="L8" s="824"/>
      <c r="N8" s="824" t="s">
        <v>166</v>
      </c>
      <c r="O8" s="824"/>
      <c r="P8" s="122"/>
      <c r="Q8" s="122"/>
      <c r="R8" s="435"/>
      <c r="S8" s="435"/>
      <c r="T8" s="435"/>
      <c r="U8" s="435"/>
      <c r="V8" s="435"/>
      <c r="W8" s="435"/>
      <c r="X8" s="435"/>
      <c r="Y8" s="435"/>
      <c r="Z8" s="435"/>
      <c r="AA8" s="428"/>
      <c r="AB8" s="428"/>
    </row>
    <row r="9" spans="1:28" s="49" customFormat="1">
      <c r="A9" s="36"/>
      <c r="B9" s="36"/>
      <c r="C9" s="36"/>
      <c r="D9" s="36"/>
      <c r="E9" s="835" t="s">
        <v>69</v>
      </c>
      <c r="F9" s="835"/>
      <c r="G9" s="54"/>
      <c r="H9" s="835" t="s">
        <v>69</v>
      </c>
      <c r="I9" s="835"/>
      <c r="J9" s="36"/>
      <c r="K9" s="835" t="s">
        <v>69</v>
      </c>
      <c r="L9" s="835"/>
      <c r="N9" s="37" t="s">
        <v>167</v>
      </c>
      <c r="O9" s="37" t="s">
        <v>19</v>
      </c>
      <c r="P9" s="122"/>
      <c r="Q9" s="122"/>
      <c r="R9" s="435"/>
      <c r="S9" s="435"/>
      <c r="T9" s="435"/>
      <c r="U9" s="435"/>
      <c r="V9" s="435"/>
      <c r="W9" s="435"/>
      <c r="X9" s="435"/>
      <c r="Y9" s="435"/>
      <c r="Z9" s="435"/>
      <c r="AA9" s="428"/>
      <c r="AB9" s="428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'Exh. No. BGM-4 6'!E27</f>
        <v>0.75511799999999996</v>
      </c>
      <c r="O10" s="130">
        <f>'Exh. No. BGM-4 4-5'!N15</f>
        <v>6.9000000000000006E-2</v>
      </c>
      <c r="S10" s="435"/>
      <c r="T10" s="517"/>
      <c r="U10" s="517"/>
      <c r="V10" s="517"/>
      <c r="W10" s="518"/>
      <c r="X10" s="518"/>
      <c r="Y10" s="435"/>
      <c r="Z10" s="435"/>
    </row>
    <row r="11" spans="1:28">
      <c r="A11" s="218">
        <f>'Exh. No. BGM-4 7-11'!E$10</f>
        <v>1</v>
      </c>
      <c r="B11" s="56" t="str">
        <f>TRIM(CONCATENATE('Exh. No. BGM-4 7-11'!E$7," ",'Exh. No. BGM-4 7-11'!E$8," ",'Exh. No. BGM-4 7-11'!E$9))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'Exh. No. BGM-4 7-11'!E$58</f>
        <v>24614</v>
      </c>
      <c r="I11" s="58">
        <f>'Exh. No. BGM-4 7-11'!E$81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19"/>
      <c r="T11" s="166"/>
      <c r="U11" s="435"/>
      <c r="V11" s="166"/>
      <c r="W11" s="435"/>
      <c r="X11" s="166"/>
      <c r="Y11" s="435"/>
      <c r="Z11" s="435"/>
    </row>
    <row r="12" spans="1:28" s="67" customFormat="1">
      <c r="A12" s="218">
        <f>'Exh. No. BGM-4 7-11'!F$10</f>
        <v>1.01</v>
      </c>
      <c r="B12" s="56" t="str">
        <f>TRIM(CONCATENATE('Exh. No. BGM-4 7-11'!F$7," ",'Exh. No. BGM-4 7-11'!F$8," ",'Exh. No. BGM-4 7-11'!F$9))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'Exh. No. BGM-4 7-11'!F$58</f>
        <v>-6.9919289999999998</v>
      </c>
      <c r="I12" s="65">
        <f>'Exh. No. BGM-4 7-11'!F$81</f>
        <v>-1247</v>
      </c>
      <c r="J12" s="68"/>
      <c r="K12" s="131">
        <f t="shared" ref="K12:K14" si="0">H12-E12</f>
        <v>-0.26187000000000005</v>
      </c>
      <c r="L12" s="131">
        <f t="shared" ref="L12:L14" si="1">I12-F12</f>
        <v>0</v>
      </c>
      <c r="N12" s="134">
        <f t="shared" ref="N12:N14" si="2">K12/$N$10*-1</f>
        <v>0.34679348128371995</v>
      </c>
      <c r="O12" s="134">
        <f t="shared" ref="O12:O14" si="3">L12*$O$10/$N$10</f>
        <v>0</v>
      </c>
      <c r="P12" s="164">
        <f t="shared" ref="P12:P14" si="4">N12+O12</f>
        <v>0.34679348128371995</v>
      </c>
      <c r="Q12" s="125"/>
      <c r="R12" s="462"/>
      <c r="S12" s="519"/>
      <c r="T12" s="166"/>
      <c r="U12" s="435"/>
      <c r="V12" s="166"/>
      <c r="W12" s="435"/>
      <c r="X12" s="166"/>
      <c r="Y12" s="435"/>
      <c r="Z12" s="435"/>
      <c r="AA12" s="459"/>
      <c r="AB12" s="459"/>
    </row>
    <row r="13" spans="1:28" s="67" customFormat="1">
      <c r="A13" s="218">
        <f>'Exh. No. BGM-4 7-11'!G$10</f>
        <v>1.02</v>
      </c>
      <c r="B13" s="56" t="str">
        <f>TRIM(CONCATENATE('Exh. No. BGM-4 7-11'!G$7," ",'Exh. No. BGM-4 7-11'!G$8," ",'Exh. No. BGM-4 7-11'!G$9))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'Exh. No. BGM-4 7-11'!G$58</f>
        <v>-7.9392490000000002</v>
      </c>
      <c r="I13" s="65">
        <f>'Exh. No. BGM-4 7-11'!G$81</f>
        <v>-7</v>
      </c>
      <c r="J13" s="68"/>
      <c r="K13" s="131">
        <f t="shared" si="0"/>
        <v>-1.4700000000003044E-3</v>
      </c>
      <c r="L13" s="131">
        <f t="shared" si="1"/>
        <v>0</v>
      </c>
      <c r="N13" s="134">
        <f t="shared" si="2"/>
        <v>1.9467156126596167E-3</v>
      </c>
      <c r="O13" s="134">
        <f t="shared" si="3"/>
        <v>0</v>
      </c>
      <c r="P13" s="164">
        <f t="shared" si="4"/>
        <v>1.9467156126596167E-3</v>
      </c>
      <c r="Q13" s="124"/>
      <c r="R13" s="462"/>
      <c r="S13" s="519"/>
      <c r="T13" s="166"/>
      <c r="U13" s="435"/>
      <c r="V13" s="166"/>
      <c r="W13" s="435"/>
      <c r="X13" s="166"/>
      <c r="Y13" s="435"/>
      <c r="Z13" s="435"/>
      <c r="AA13" s="459"/>
      <c r="AB13" s="459"/>
    </row>
    <row r="14" spans="1:28" s="67" customFormat="1">
      <c r="A14" s="218">
        <f>'Exh. No. BGM-4 7-11'!H$10</f>
        <v>1.03</v>
      </c>
      <c r="B14" s="56" t="str">
        <f>TRIM(CONCATENATE('Exh. No. BGM-4 7-11'!H$7," ",'Exh. No. BGM-4 7-11'!H$8," ",'Exh. No. BGM-4 7-11'!H$9))</f>
        <v>Working Capital</v>
      </c>
      <c r="C14" s="57"/>
      <c r="D14" s="57"/>
      <c r="E14" s="58">
        <v>0</v>
      </c>
      <c r="F14" s="58">
        <v>0</v>
      </c>
      <c r="G14" s="65"/>
      <c r="H14" s="65">
        <f>'Exh. No. BGM-4 7-11'!H$58</f>
        <v>0</v>
      </c>
      <c r="I14" s="65">
        <f>'Exh. No. BGM-4 7-11'!H$81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2"/>
      <c r="S14" s="435"/>
      <c r="T14" s="170"/>
      <c r="U14" s="435"/>
      <c r="V14" s="170"/>
      <c r="W14" s="435"/>
      <c r="X14" s="170"/>
      <c r="Y14" s="435"/>
      <c r="Z14" s="435"/>
      <c r="AA14" s="459"/>
      <c r="AB14" s="459"/>
    </row>
    <row r="15" spans="1:28" s="67" customFormat="1">
      <c r="A15" s="218">
        <f>'Exh. No. BGM-4 7-11'!I$10</f>
        <v>1.04</v>
      </c>
      <c r="B15" s="56" t="str">
        <f>TRIM(CONCATENATE('Exh. No. BGM-4 7-11'!I$7," ",'Exh. No. BGM-4 7-11'!I$8," ",'Exh. No. BGM-4 7-11'!I$9))</f>
        <v>Remove AMI Rate Base</v>
      </c>
      <c r="C15" s="430"/>
      <c r="D15" s="430"/>
      <c r="E15" s="58">
        <v>-32.587085999999999</v>
      </c>
      <c r="F15" s="58">
        <v>-6038</v>
      </c>
      <c r="G15" s="65"/>
      <c r="H15" s="65">
        <f>'Exh. No. BGM-4 7-11'!I$58</f>
        <v>-33.855066000000001</v>
      </c>
      <c r="I15" s="65">
        <f>'Exh. No. BGM-4 7-11'!I$81</f>
        <v>-6038</v>
      </c>
      <c r="J15" s="68"/>
      <c r="K15" s="434">
        <f t="shared" ref="K15" si="5">H15-E15</f>
        <v>-1.2679800000000014</v>
      </c>
      <c r="L15" s="434">
        <f t="shared" ref="L15" si="6">I15-F15</f>
        <v>0</v>
      </c>
      <c r="N15" s="438">
        <f t="shared" ref="N15" si="7">K15/$N$10*-1</f>
        <v>1.6791812670337636</v>
      </c>
      <c r="O15" s="438">
        <f t="shared" ref="O15" si="8">L15*$O$10/$N$10</f>
        <v>0</v>
      </c>
      <c r="P15" s="439">
        <f t="shared" ref="P15" si="9">N15+O15</f>
        <v>1.6791812670337636</v>
      </c>
      <c r="Q15" s="462"/>
      <c r="R15" s="462"/>
      <c r="S15" s="435"/>
      <c r="T15" s="170"/>
      <c r="U15" s="435"/>
      <c r="V15" s="170"/>
      <c r="W15" s="435"/>
      <c r="X15" s="170"/>
      <c r="Y15" s="435"/>
      <c r="Z15" s="435"/>
      <c r="AA15" s="459"/>
      <c r="AB15" s="459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5"/>
      <c r="T16" s="435"/>
      <c r="U16" s="435"/>
      <c r="V16" s="435"/>
      <c r="W16" s="435"/>
      <c r="X16" s="435"/>
      <c r="Y16" s="435"/>
      <c r="Z16" s="435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24565.213756000001</v>
      </c>
      <c r="I17" s="59">
        <f>SUM(I11:I16)</f>
        <v>341366</v>
      </c>
      <c r="J17" s="49"/>
      <c r="K17" s="59">
        <f>SUM(K11:K16)</f>
        <v>-1.5313200000000018</v>
      </c>
      <c r="L17" s="59">
        <f>SUM(L11:L16)</f>
        <v>0</v>
      </c>
      <c r="N17" s="59">
        <f>SUM(N11:N16)</f>
        <v>2.0279214639301433</v>
      </c>
      <c r="O17" s="59">
        <f>SUM(O11:O16)</f>
        <v>0</v>
      </c>
      <c r="S17" s="435"/>
      <c r="T17" s="435"/>
      <c r="U17" s="435"/>
      <c r="V17" s="435"/>
      <c r="W17" s="435"/>
      <c r="X17" s="435"/>
      <c r="Y17" s="435"/>
      <c r="Z17" s="435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19"/>
      <c r="T18" s="170"/>
      <c r="U18" s="435"/>
      <c r="V18" s="170"/>
      <c r="W18" s="435"/>
      <c r="X18" s="435"/>
      <c r="Y18" s="435"/>
      <c r="Z18" s="435"/>
    </row>
    <row r="19" spans="1:28" s="67" customFormat="1">
      <c r="A19" s="467">
        <f>'Exh. No. BGM-4 7-11'!J$10</f>
        <v>2.0099999999999998</v>
      </c>
      <c r="B19" s="56" t="str">
        <f>TRIM(CONCATENATE('Exh. No. BGM-4 7-11'!J$7," ",'Exh. No. BGM-4 7-11'!J$8," ",'Exh. No. BGM-4 7-11'!J$9))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'Exh. No. BGM-4 7-11'!J$58</f>
        <v>-11.06</v>
      </c>
      <c r="I19" s="65">
        <f>'Exh. No. BGM-4 7-11'!J$81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2"/>
      <c r="S19" s="519"/>
      <c r="T19" s="170"/>
      <c r="U19" s="435"/>
      <c r="V19" s="171"/>
      <c r="W19" s="435"/>
      <c r="X19" s="435"/>
      <c r="Y19" s="435"/>
      <c r="Z19" s="435"/>
      <c r="AA19" s="459"/>
      <c r="AB19" s="459"/>
    </row>
    <row r="20" spans="1:28" s="67" customFormat="1">
      <c r="A20" s="467">
        <f>'Exh. No. BGM-4 7-11'!K$10</f>
        <v>2.0199999999999996</v>
      </c>
      <c r="B20" s="56" t="str">
        <f>TRIM(CONCATENATE('Exh. No. BGM-4 7-11'!K$7," ",'Exh. No. BGM-4 7-11'!K$8," ",'Exh. No. BGM-4 7-11'!K$9))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'Exh. No. BGM-4 7-11'!K$58</f>
        <v>-1.58</v>
      </c>
      <c r="I20" s="65">
        <f>'Exh. No. BGM-4 7-11'!K$81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2"/>
      <c r="S20" s="519"/>
      <c r="T20" s="170"/>
      <c r="U20" s="435"/>
      <c r="V20" s="170"/>
      <c r="W20" s="435"/>
      <c r="X20" s="435"/>
      <c r="Y20" s="435"/>
      <c r="Z20" s="435"/>
      <c r="AA20" s="459"/>
      <c r="AB20" s="459"/>
    </row>
    <row r="21" spans="1:28" s="67" customFormat="1">
      <c r="A21" s="467">
        <f>'Exh. No. BGM-4 7-11'!L$10</f>
        <v>2.0299999999999994</v>
      </c>
      <c r="B21" s="56" t="str">
        <f>TRIM(CONCATENATE('Exh. No. BGM-4 7-11'!L$7," ",'Exh. No. BGM-4 7-11'!L$8," ",'Exh. No. BGM-4 7-11'!L$9))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'Exh. No. BGM-4 7-11'!L$58</f>
        <v>252.8</v>
      </c>
      <c r="I21" s="65">
        <f>'Exh. No. BGM-4 7-11'!L$81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2"/>
      <c r="S21" s="170"/>
      <c r="T21" s="126"/>
      <c r="U21" s="435"/>
      <c r="V21" s="435"/>
      <c r="W21" s="435"/>
      <c r="X21" s="435"/>
      <c r="Y21" s="435"/>
      <c r="Z21" s="435"/>
      <c r="AA21" s="459"/>
      <c r="AB21" s="459"/>
    </row>
    <row r="22" spans="1:28" s="67" customFormat="1">
      <c r="A22" s="467">
        <f>'Exh. No. BGM-4 7-11'!M$10</f>
        <v>2.0399999999999991</v>
      </c>
      <c r="B22" s="56" t="str">
        <f>TRIM(CONCATENATE('Exh. No. BGM-4 7-11'!M$7," ",'Exh. No. BGM-4 7-11'!M$8," ",'Exh. No. BGM-4 7-11'!M$9))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'Exh. No. BGM-4 7-11'!M$58</f>
        <v>39.5</v>
      </c>
      <c r="I22" s="65">
        <f>'Exh. No. BGM-4 7-11'!M$81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2"/>
      <c r="S22" s="170"/>
      <c r="T22" s="435"/>
      <c r="U22" s="435"/>
      <c r="V22" s="435"/>
      <c r="W22" s="435"/>
      <c r="X22" s="435"/>
      <c r="Y22" s="435"/>
      <c r="Z22" s="435"/>
      <c r="AA22" s="459"/>
      <c r="AB22" s="459"/>
    </row>
    <row r="23" spans="1:28" s="67" customFormat="1">
      <c r="A23" s="467">
        <f>'Exh. No. BGM-4 7-11'!N$10</f>
        <v>2.0499999999999989</v>
      </c>
      <c r="B23" s="56" t="str">
        <f>TRIM(CONCATENATE('Exh. No. BGM-4 7-11'!N$7," ",'Exh. No. BGM-4 7-11'!N$8," ",'Exh. No. BGM-4 7-11'!N$9))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'Exh. No. BGM-4 7-11'!N$58</f>
        <v>-42.66</v>
      </c>
      <c r="I23" s="65">
        <f>'Exh. No. BGM-4 7-11'!N$81</f>
        <v>0</v>
      </c>
      <c r="J23" s="68"/>
      <c r="K23" s="131">
        <f t="shared" si="10"/>
        <v>0</v>
      </c>
      <c r="L23" s="131">
        <f t="shared" si="11"/>
        <v>0</v>
      </c>
      <c r="M23" s="36"/>
      <c r="N23" s="134">
        <f t="shared" si="12"/>
        <v>0</v>
      </c>
      <c r="O23" s="134">
        <f t="shared" si="13"/>
        <v>0</v>
      </c>
      <c r="P23" s="164">
        <f t="shared" si="14"/>
        <v>0</v>
      </c>
      <c r="Q23" s="125"/>
      <c r="R23" s="462"/>
      <c r="S23" s="435"/>
      <c r="T23" s="435"/>
      <c r="U23" s="435"/>
      <c r="V23" s="435"/>
      <c r="W23" s="435"/>
      <c r="X23" s="435"/>
      <c r="Y23" s="435"/>
      <c r="Z23" s="435"/>
      <c r="AA23" s="459"/>
      <c r="AB23" s="459"/>
    </row>
    <row r="24" spans="1:28" s="67" customFormat="1">
      <c r="A24" s="467">
        <f>'Exh. No. BGM-4 7-11'!O$10</f>
        <v>2.0599999999999987</v>
      </c>
      <c r="B24" s="56" t="str">
        <f>TRIM(CONCATENATE('Exh. No. BGM-4 7-11'!O$7," ",'Exh. No. BGM-4 7-11'!O$8," ",'Exh. No. BGM-4 7-11'!O$9))</f>
        <v>FIT / DFIT Expense</v>
      </c>
      <c r="C24" s="57"/>
      <c r="D24" s="57"/>
      <c r="E24" s="65">
        <v>0</v>
      </c>
      <c r="F24" s="65">
        <v>0</v>
      </c>
      <c r="G24" s="65"/>
      <c r="H24" s="65">
        <f>'Exh. No. BGM-4 7-11'!O$58</f>
        <v>0</v>
      </c>
      <c r="I24" s="65">
        <f>'Exh. No. BGM-4 7-11'!O$81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2"/>
      <c r="S24" s="170"/>
      <c r="T24" s="435"/>
      <c r="U24" s="435"/>
      <c r="V24" s="435"/>
      <c r="W24" s="435"/>
      <c r="X24" s="435"/>
      <c r="Y24" s="435"/>
      <c r="Z24" s="435"/>
      <c r="AA24" s="459"/>
      <c r="AB24" s="459"/>
    </row>
    <row r="25" spans="1:28" s="67" customFormat="1">
      <c r="A25" s="467">
        <f>'Exh. No. BGM-4 7-11'!P$10</f>
        <v>2.0699999999999985</v>
      </c>
      <c r="B25" s="56" t="str">
        <f>TRIM(CONCATENATE('Exh. No. BGM-4 7-11'!P$7," ",'Exh. No. BGM-4 7-11'!P$8," ",'Exh. No. BGM-4 7-11'!P$9))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'Exh. No. BGM-4 7-11'!P$58</f>
        <v>13.43</v>
      </c>
      <c r="I25" s="65">
        <f>'Exh. No. BGM-4 7-11'!P$81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2"/>
      <c r="S25" s="435"/>
      <c r="T25" s="435"/>
      <c r="U25" s="435"/>
      <c r="V25" s="435"/>
      <c r="W25" s="435"/>
      <c r="X25" s="435"/>
      <c r="Y25" s="435"/>
      <c r="Z25" s="435"/>
      <c r="AA25" s="459"/>
      <c r="AB25" s="459"/>
    </row>
    <row r="26" spans="1:28" s="67" customFormat="1">
      <c r="A26" s="467">
        <f>'Exh. No. BGM-4 7-11'!Q$10</f>
        <v>2.0799999999999983</v>
      </c>
      <c r="B26" s="56" t="str">
        <f>TRIM(CONCATENATE('Exh. No. BGM-4 7-11'!Q$7," ",'Exh. No. BGM-4 7-11'!Q$8," ",'Exh. No. BGM-4 7-11'!Q$9))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'Exh. No. BGM-4 7-11'!Q$58</f>
        <v>0</v>
      </c>
      <c r="I26" s="65">
        <f>'Exh. No. BGM-4 7-11'!Q$81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2"/>
      <c r="S26" s="170"/>
      <c r="T26" s="435"/>
      <c r="U26" s="435"/>
      <c r="V26" s="435"/>
      <c r="W26" s="435"/>
      <c r="X26" s="435"/>
      <c r="Y26" s="435"/>
      <c r="Z26" s="435"/>
      <c r="AA26" s="459"/>
      <c r="AB26" s="459"/>
    </row>
    <row r="27" spans="1:28" s="67" customFormat="1">
      <c r="A27" s="467">
        <f>'Exh. No. BGM-4 7-11'!R$10</f>
        <v>2.0899999999999981</v>
      </c>
      <c r="B27" s="56" t="str">
        <f>TRIM(CONCATENATE('Exh. No. BGM-4 7-11'!R$7," ",'Exh. No. BGM-4 7-11'!R$8," ",'Exh. No. BGM-4 7-11'!R$9))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'Exh. No. BGM-4 7-11'!R$58</f>
        <v>10.27</v>
      </c>
      <c r="I27" s="65">
        <f>'Exh. No. BGM-4 7-11'!R$81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2"/>
      <c r="S27" s="435"/>
      <c r="T27" s="435"/>
      <c r="U27" s="435"/>
      <c r="V27" s="435"/>
      <c r="W27" s="435"/>
      <c r="X27" s="435"/>
      <c r="Y27" s="435"/>
      <c r="Z27" s="435"/>
      <c r="AA27" s="459"/>
      <c r="AB27" s="459"/>
    </row>
    <row r="28" spans="1:28" s="57" customFormat="1">
      <c r="A28" s="467">
        <f>'Exh. No. BGM-4 7-11'!S$10</f>
        <v>2.0999999999999979</v>
      </c>
      <c r="B28" s="56" t="str">
        <f>TRIM(CONCATENATE('Exh. No. BGM-4 7-11'!S$7," ",'Exh. No. BGM-4 7-11'!S$8," ",'Exh. No. BGM-4 7-11'!S$9))</f>
        <v>Weather Normalization / Gas Cost Adjust</v>
      </c>
      <c r="E28" s="65">
        <v>4.74</v>
      </c>
      <c r="F28" s="65">
        <v>0</v>
      </c>
      <c r="G28" s="65"/>
      <c r="H28" s="65">
        <f>'Exh. No. BGM-4 7-11'!S$58</f>
        <v>4.74</v>
      </c>
      <c r="I28" s="65">
        <f>'Exh. No. BGM-4 7-11'!S$81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2"/>
      <c r="S28" s="435"/>
      <c r="T28" s="435"/>
      <c r="U28" s="435"/>
      <c r="V28" s="435"/>
      <c r="W28" s="435"/>
      <c r="X28" s="435"/>
      <c r="Y28" s="435"/>
      <c r="Z28" s="435"/>
      <c r="AA28" s="459"/>
      <c r="AB28" s="459"/>
    </row>
    <row r="29" spans="1:28" s="430" customFormat="1">
      <c r="A29" s="467">
        <f>'Exh. No. BGM-4 7-11'!T$10</f>
        <v>2.1099999999999977</v>
      </c>
      <c r="B29" s="56" t="str">
        <f>TRIM(CONCATENATE('Exh. No. BGM-4 7-11'!T$7," ",'Exh. No. BGM-4 7-11'!T$8," ",'Exh. No. BGM-4 7-11'!T$9))</f>
        <v>Eliminate Adder Schedules</v>
      </c>
      <c r="E29" s="65">
        <v>-9.0000000000031832E-2</v>
      </c>
      <c r="F29" s="65">
        <v>0</v>
      </c>
      <c r="G29" s="65"/>
      <c r="H29" s="65">
        <f>'Exh. No. BGM-4 7-11'!T$58</f>
        <v>-9.0000000000031832E-2</v>
      </c>
      <c r="I29" s="65">
        <f>'Exh. No. BGM-4 7-11'!T$81</f>
        <v>0</v>
      </c>
      <c r="J29" s="66"/>
      <c r="K29" s="434">
        <f t="shared" ref="K29" si="21">H29-E29</f>
        <v>0</v>
      </c>
      <c r="L29" s="434">
        <f t="shared" ref="L29" si="22">I29-F29</f>
        <v>0</v>
      </c>
      <c r="M29" s="427"/>
      <c r="N29" s="438">
        <f>K29/$N$10*-1</f>
        <v>0</v>
      </c>
      <c r="O29" s="438">
        <f>L29*$O$10/$N$10</f>
        <v>0</v>
      </c>
      <c r="P29" s="439">
        <f>N29+O29</f>
        <v>0</v>
      </c>
      <c r="Q29" s="437"/>
      <c r="R29" s="462"/>
      <c r="S29" s="170"/>
      <c r="T29" s="435"/>
      <c r="U29" s="435"/>
      <c r="V29" s="435"/>
      <c r="W29" s="435"/>
      <c r="X29" s="435"/>
      <c r="Y29" s="435"/>
      <c r="Z29" s="435"/>
      <c r="AA29" s="459"/>
      <c r="AB29" s="459"/>
    </row>
    <row r="30" spans="1:28" s="125" customFormat="1">
      <c r="A30" s="467">
        <f>'Exh. No. BGM-4 7-11'!U$10</f>
        <v>2.1199999999999974</v>
      </c>
      <c r="B30" s="119" t="str">
        <f>TRIM(CONCATENATE('Exh. No. BGM-4 7-11'!U$7," ",'Exh. No. BGM-4 7-11'!U$8," ",'Exh. No. BGM-4 7-11'!U$9))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'Exh. No. BGM-4 7-11'!U$58</f>
        <v>767.35823519762596</v>
      </c>
      <c r="I30" s="121">
        <f>'Exh. No. BGM-4 7-11'!U$81</f>
        <v>0</v>
      </c>
      <c r="J30" s="126"/>
      <c r="K30" s="131">
        <f t="shared" si="10"/>
        <v>377.09823519762597</v>
      </c>
      <c r="L30" s="131">
        <f t="shared" si="11"/>
        <v>0</v>
      </c>
      <c r="M30" s="133"/>
      <c r="N30" s="134">
        <f t="shared" si="12"/>
        <v>-499.38981086085352</v>
      </c>
      <c r="O30" s="134">
        <f t="shared" si="13"/>
        <v>0</v>
      </c>
      <c r="P30" s="164">
        <f t="shared" si="14"/>
        <v>-499.38981086085352</v>
      </c>
      <c r="R30" s="462"/>
      <c r="S30" s="435"/>
      <c r="T30" s="435"/>
      <c r="U30" s="435"/>
      <c r="V30" s="435"/>
      <c r="W30" s="435"/>
      <c r="X30" s="435"/>
      <c r="Y30" s="435"/>
      <c r="Z30" s="435"/>
      <c r="AA30" s="462"/>
      <c r="AB30" s="462"/>
    </row>
    <row r="31" spans="1:28" s="125" customFormat="1">
      <c r="A31" s="467">
        <f>'Exh. No. BGM-4 7-11'!V$10</f>
        <v>2.1299999999999972</v>
      </c>
      <c r="B31" s="119" t="str">
        <f>TRIM(CONCATENATE('Exh. No. BGM-4 7-11'!V$7," ",'Exh. No. BGM-4 7-11'!V$8," ",'Exh. No. BGM-4 7-11'!V$9))</f>
        <v>Restating Incentives Expense</v>
      </c>
      <c r="C31" s="437"/>
      <c r="D31" s="437"/>
      <c r="E31" s="121">
        <v>56.88</v>
      </c>
      <c r="F31" s="121">
        <v>0</v>
      </c>
      <c r="G31" s="121"/>
      <c r="H31" s="121">
        <f>'Exh. No. BGM-4 7-11'!V$58</f>
        <v>56.88</v>
      </c>
      <c r="I31" s="121">
        <f>'Exh. No. BGM-4 7-11'!V$81</f>
        <v>0</v>
      </c>
      <c r="J31" s="126"/>
      <c r="K31" s="434">
        <f t="shared" ref="K31:L33" si="23">H31-E31</f>
        <v>0</v>
      </c>
      <c r="L31" s="434">
        <f t="shared" si="23"/>
        <v>0</v>
      </c>
      <c r="M31" s="133"/>
      <c r="N31" s="438">
        <f>K31/$N$10*-1</f>
        <v>0</v>
      </c>
      <c r="O31" s="438">
        <f>L31*$O$10/$N$10</f>
        <v>0</v>
      </c>
      <c r="P31" s="439">
        <f>N31+O31</f>
        <v>0</v>
      </c>
      <c r="Q31" s="462"/>
      <c r="R31" s="462"/>
      <c r="S31" s="435"/>
      <c r="T31" s="435"/>
      <c r="U31" s="435"/>
      <c r="V31" s="462"/>
      <c r="W31" s="462"/>
      <c r="X31" s="462"/>
      <c r="Y31" s="462"/>
      <c r="Z31" s="462"/>
      <c r="AA31" s="462"/>
      <c r="AB31" s="462"/>
    </row>
    <row r="32" spans="1:28" s="125" customFormat="1">
      <c r="A32" s="467">
        <f>'Exh. No. BGM-4 7-11'!W$10</f>
        <v>2.139999999999997</v>
      </c>
      <c r="B32" s="119" t="str">
        <f>TRIM(CONCATENATE('Exh. No. BGM-4 7-11'!W$7," ",'Exh. No. BGM-4 7-11'!W$8," ",'Exh. No. BGM-4 7-11'!W$9))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'Exh. No. BGM-4 7-11'!W$58</f>
        <v>-176</v>
      </c>
      <c r="I32" s="121">
        <f>'Exh. No. BGM-4 7-11'!W$81</f>
        <v>0</v>
      </c>
      <c r="J32" s="126"/>
      <c r="K32" s="131">
        <f t="shared" si="23"/>
        <v>73</v>
      </c>
      <c r="L32" s="131">
        <f t="shared" si="23"/>
        <v>0</v>
      </c>
      <c r="M32" s="133"/>
      <c r="N32" s="134">
        <f>K32/$N$10*-1</f>
        <v>-96.673632465389517</v>
      </c>
      <c r="O32" s="134">
        <f>L32*$O$10/$N$10</f>
        <v>0</v>
      </c>
      <c r="P32" s="164">
        <f>N32+O32</f>
        <v>-96.673632465389517</v>
      </c>
      <c r="Q32" s="124" t="s">
        <v>177</v>
      </c>
      <c r="R32" s="462"/>
      <c r="S32" s="435"/>
      <c r="T32" s="435"/>
      <c r="U32" s="435"/>
      <c r="V32" s="462"/>
      <c r="W32" s="462"/>
      <c r="X32" s="462"/>
      <c r="Y32" s="462"/>
      <c r="Z32" s="462"/>
      <c r="AA32" s="462"/>
      <c r="AB32" s="462"/>
    </row>
    <row r="33" spans="1:28" s="125" customFormat="1">
      <c r="A33" s="467">
        <f>'Exh. No. BGM-4 7-11'!X$10</f>
        <v>2.1499999999999968</v>
      </c>
      <c r="B33" s="119" t="str">
        <f>TRIM(CONCATENATE('Exh. No. BGM-4 7-11'!X$7," ",'Exh. No. BGM-4 7-11'!X$8," ",'Exh. No. BGM-4 7-11'!X$9))</f>
        <v>Restate 2018 AMA Rate Base to EOP</v>
      </c>
      <c r="C33" s="437"/>
      <c r="D33" s="437"/>
      <c r="E33" s="121">
        <v>-1066.923413</v>
      </c>
      <c r="F33" s="121">
        <v>32271</v>
      </c>
      <c r="G33" s="121"/>
      <c r="H33" s="121">
        <f>'Exh. No. BGM-4 7-11'!X$58</f>
        <v>-1060.1465029999999</v>
      </c>
      <c r="I33" s="121">
        <f>'Exh. No. BGM-4 7-11'!X$81</f>
        <v>32271</v>
      </c>
      <c r="J33" s="126"/>
      <c r="K33" s="434">
        <f t="shared" si="23"/>
        <v>6.7769100000000435</v>
      </c>
      <c r="L33" s="434">
        <f t="shared" si="23"/>
        <v>0</v>
      </c>
      <c r="M33" s="133"/>
      <c r="N33" s="438">
        <f>K33/$N$10*-1</f>
        <v>-8.9746370765894117</v>
      </c>
      <c r="O33" s="438">
        <f>L33*$O$10/$N$10</f>
        <v>0</v>
      </c>
      <c r="P33" s="439">
        <f>N33+O33</f>
        <v>-8.9746370765894117</v>
      </c>
      <c r="Q33" s="462"/>
      <c r="R33" s="462"/>
      <c r="S33" s="435"/>
      <c r="T33" s="435"/>
      <c r="U33" s="435"/>
      <c r="V33" s="462"/>
      <c r="W33" s="462"/>
      <c r="X33" s="462"/>
      <c r="Y33" s="462"/>
      <c r="Z33" s="462"/>
      <c r="AA33" s="462"/>
      <c r="AB33" s="462"/>
    </row>
    <row r="34" spans="1:28" ht="18" customHeight="1" thickBot="1">
      <c r="A34" s="467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24418.655488197626</v>
      </c>
      <c r="I34" s="63">
        <f>SUM(I17:I33)</f>
        <v>373637</v>
      </c>
      <c r="J34" s="49"/>
      <c r="K34" s="63">
        <f>SUM(K17:K33)</f>
        <v>455.34382519762602</v>
      </c>
      <c r="L34" s="63">
        <f>SUM(L17:L33)</f>
        <v>0</v>
      </c>
      <c r="M34" s="63"/>
      <c r="N34" s="63">
        <f>SUM(N17:N33)</f>
        <v>-603.01015893890224</v>
      </c>
      <c r="O34" s="63">
        <f>SUM(O17:O33)</f>
        <v>0</v>
      </c>
      <c r="S34" s="435"/>
    </row>
    <row r="35" spans="1:28" ht="6.75" customHeight="1" thickTop="1">
      <c r="A35" s="467"/>
      <c r="D35" s="60"/>
      <c r="E35" s="60"/>
      <c r="H35" s="60"/>
      <c r="J35" s="49"/>
      <c r="K35" s="132"/>
      <c r="L35" s="132"/>
      <c r="N35" s="61"/>
      <c r="O35" s="61"/>
      <c r="S35" s="435"/>
    </row>
    <row r="36" spans="1:28" s="124" customFormat="1">
      <c r="A36" s="467">
        <f>'Exh. No. BGM-4 7-11'!AA$10</f>
        <v>3.01</v>
      </c>
      <c r="B36" s="119" t="str">
        <f>TRIM(CONCATENATE('Exh. No. BGM-4 7-11'!AA$7," ",'Exh. No. BGM-4 7-11'!AA$8," ",'Exh. No. BGM-4 7-11'!AA$9))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'Exh. No. BGM-4 7-11'!AA$58</f>
        <v>3680.7940356299678</v>
      </c>
      <c r="I36" s="121">
        <f>'Exh. No. BGM-4 7-11'!AA$81</f>
        <v>0</v>
      </c>
      <c r="J36" s="122"/>
      <c r="K36" s="131">
        <f>H36-E36</f>
        <v>3277.1040356299677</v>
      </c>
      <c r="L36" s="131">
        <f>I36-F36</f>
        <v>0</v>
      </c>
      <c r="M36" s="36"/>
      <c r="N36" s="134">
        <f>K36/$N$10*-1</f>
        <v>-4339.8568642648806</v>
      </c>
      <c r="O36" s="134">
        <f>L36*$O$10/$N$10</f>
        <v>0</v>
      </c>
      <c r="P36" s="166">
        <f>N36+O36</f>
        <v>-4339.8568642648806</v>
      </c>
      <c r="Q36" s="435"/>
      <c r="R36" s="435"/>
      <c r="S36" s="435"/>
      <c r="T36" s="435"/>
      <c r="U36" s="435"/>
      <c r="V36" s="462"/>
      <c r="W36" s="462"/>
      <c r="X36" s="462"/>
      <c r="Y36" s="462"/>
      <c r="Z36" s="462"/>
      <c r="AA36" s="462"/>
      <c r="AB36" s="462"/>
    </row>
    <row r="37" spans="1:28" s="462" customFormat="1">
      <c r="A37" s="467">
        <f>'Exh. No. BGM-4 7-11'!AB$10</f>
        <v>3.0199999999999996</v>
      </c>
      <c r="B37" s="119" t="str">
        <f>TRIM(CONCATENATE('Exh. No. BGM-4 7-11'!AB$7," ",'Exh. No. BGM-4 7-11'!AB$8," ",'Exh. No. BGM-4 7-11'!AB$9))</f>
        <v>Pro Forma LEAP Deferral Amortization</v>
      </c>
      <c r="C37" s="437"/>
      <c r="D37" s="437"/>
      <c r="E37" s="121">
        <v>-1378.0372849999999</v>
      </c>
      <c r="F37" s="121">
        <v>95</v>
      </c>
      <c r="G37" s="121"/>
      <c r="H37" s="121">
        <f>'Exh. No. BGM-4 7-11'!AB$58</f>
        <v>-1378.017335</v>
      </c>
      <c r="I37" s="121">
        <f>'Exh. No. BGM-4 7-11'!AB$81</f>
        <v>95</v>
      </c>
      <c r="J37" s="435"/>
      <c r="K37" s="434">
        <f t="shared" ref="K37" si="24">H37-E37</f>
        <v>1.9949999999880674E-2</v>
      </c>
      <c r="L37" s="434">
        <f t="shared" ref="L37" si="25">I37-F37</f>
        <v>0</v>
      </c>
      <c r="M37" s="459"/>
      <c r="N37" s="438">
        <f t="shared" ref="N37" si="26">K37/$N$10*-1</f>
        <v>-2.6419711885931306E-2</v>
      </c>
      <c r="O37" s="438">
        <f t="shared" ref="O37" si="27">L37*$O$10/$N$10</f>
        <v>0</v>
      </c>
      <c r="P37" s="166">
        <f t="shared" ref="P37" si="28">N37+O37</f>
        <v>-2.6419711885931306E-2</v>
      </c>
      <c r="Q37" s="435"/>
      <c r="R37" s="435"/>
      <c r="S37" s="435"/>
      <c r="T37" s="435"/>
      <c r="U37" s="435"/>
    </row>
    <row r="38" spans="1:28">
      <c r="A38" s="467">
        <f>'Exh. No. BGM-4 7-11'!AC$10</f>
        <v>3.0299999999999994</v>
      </c>
      <c r="B38" s="56" t="str">
        <f>TRIM(CONCATENATE('Exh. No. BGM-4 7-11'!AC$7," ",'Exh. No. BGM-4 7-11'!AC$8," ",'Exh. No. BGM-4 7-11'!AC$9))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'Exh. No. BGM-4 7-11'!AC$58</f>
        <v>-551.71546000000001</v>
      </c>
      <c r="I38" s="65">
        <f>'Exh. No. BGM-4 7-11'!AC$81</f>
        <v>0</v>
      </c>
      <c r="J38" s="49"/>
      <c r="K38" s="131">
        <f t="shared" ref="K38:K39" si="29">H38-E38</f>
        <v>24.984540000000038</v>
      </c>
      <c r="L38" s="131">
        <f t="shared" ref="L38:L39" si="30">I38-F38</f>
        <v>0</v>
      </c>
      <c r="N38" s="134">
        <f t="shared" ref="N38:N39" si="31">K38/$N$10*-1</f>
        <v>-33.086934757216802</v>
      </c>
      <c r="O38" s="134">
        <f t="shared" ref="O38:O39" si="32">L38*$O$10/$N$10</f>
        <v>0</v>
      </c>
      <c r="P38" s="164">
        <f t="shared" ref="P38:P39" si="33">N38+O38</f>
        <v>-33.086934757216802</v>
      </c>
      <c r="S38" s="170"/>
    </row>
    <row r="39" spans="1:28" ht="13.5" customHeight="1">
      <c r="A39" s="467">
        <f>'Exh. No. BGM-4 7-11'!AD$10</f>
        <v>3.0399999999999991</v>
      </c>
      <c r="B39" s="56" t="str">
        <f>TRIM(CONCATENATE('Exh. No. BGM-4 7-11'!AD$7," ",'Exh. No. BGM-4 7-11'!AD$8," ",'Exh. No. BGM-4 7-11'!AD$9))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'Exh. No. BGM-4 7-11'!AD$58</f>
        <v>-80.58</v>
      </c>
      <c r="I39" s="65">
        <f>'Exh. No. BGM-4 7-11'!AD$81</f>
        <v>0</v>
      </c>
      <c r="J39" s="49"/>
      <c r="K39" s="131">
        <f t="shared" si="29"/>
        <v>0</v>
      </c>
      <c r="L39" s="131">
        <f t="shared" si="30"/>
        <v>0</v>
      </c>
      <c r="N39" s="134">
        <f t="shared" si="31"/>
        <v>0</v>
      </c>
      <c r="O39" s="134">
        <f t="shared" si="32"/>
        <v>0</v>
      </c>
      <c r="P39" s="164">
        <f t="shared" si="33"/>
        <v>0</v>
      </c>
      <c r="S39" s="170"/>
    </row>
    <row r="40" spans="1:28">
      <c r="A40" s="467">
        <f>'Exh. No. BGM-4 7-11'!AE$10</f>
        <v>3.0499999999999989</v>
      </c>
      <c r="B40" s="56" t="str">
        <f>TRIM(CONCATENATE('Exh. No. BGM-4 7-11'!AE$7," ",'Exh. No. BGM-4 7-11'!AE$8," ",'Exh. No. BGM-4 7-11'!AE$9))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'Exh. No. BGM-4 7-11'!AE$58</f>
        <v>-135.06886984753891</v>
      </c>
      <c r="I40" s="65">
        <f>'Exh. No. BGM-4 7-11'!AE$81</f>
        <v>-335.029</v>
      </c>
      <c r="J40" s="49"/>
      <c r="K40" s="131">
        <f t="shared" ref="K40:L40" si="34">H40-E40</f>
        <v>496.93113015246109</v>
      </c>
      <c r="L40" s="131">
        <f t="shared" si="34"/>
        <v>-335.029</v>
      </c>
      <c r="N40" s="134">
        <f>K40/$N$10*-1</f>
        <v>-658.08407447903653</v>
      </c>
      <c r="O40" s="134">
        <f>L40*$O$10/$N$10</f>
        <v>-30.613759703781401</v>
      </c>
      <c r="P40" s="164">
        <f>N40+O40</f>
        <v>-688.69783418281793</v>
      </c>
      <c r="S40" s="170"/>
    </row>
    <row r="41" spans="1:28" s="125" customFormat="1">
      <c r="A41" s="467">
        <f>'Exh. No. BGM-4 7-11'!AF$10</f>
        <v>3.0599999999999987</v>
      </c>
      <c r="B41" s="119" t="str">
        <f>TRIM(CONCATENATE('Exh. No. BGM-4 7-11'!AF$7," ",'Exh. No. BGM-4 7-11'!AF$8," ",'Exh. No. BGM-4 7-11'!AF$9))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'Exh. No. BGM-4 7-11'!AF$58</f>
        <v>-8.69</v>
      </c>
      <c r="I41" s="121">
        <f>'Exh. No. BGM-4 7-11'!AF$81</f>
        <v>0</v>
      </c>
      <c r="J41" s="126"/>
      <c r="K41" s="131">
        <f t="shared" ref="K41" si="35">H41-E41</f>
        <v>0</v>
      </c>
      <c r="L41" s="131">
        <f t="shared" ref="L41" si="36">I41-F41</f>
        <v>0</v>
      </c>
      <c r="M41" s="133"/>
      <c r="N41" s="134">
        <f>K41/$N$10*-1</f>
        <v>0</v>
      </c>
      <c r="O41" s="134">
        <f>L41*$O$10/$N$10</f>
        <v>0</v>
      </c>
      <c r="P41" s="166">
        <f>N41+O41</f>
        <v>0</v>
      </c>
      <c r="Q41" s="126"/>
      <c r="R41" s="435"/>
      <c r="S41" s="170"/>
      <c r="T41" s="435"/>
      <c r="U41" s="435"/>
      <c r="V41" s="462"/>
      <c r="W41" s="462"/>
      <c r="X41" s="462"/>
      <c r="Y41" s="462"/>
      <c r="Z41" s="462"/>
      <c r="AA41" s="462"/>
      <c r="AB41" s="462"/>
    </row>
    <row r="42" spans="1:28" s="462" customFormat="1">
      <c r="A42" s="492">
        <f>'Exh. No. BGM-4 7-11'!AG$10</f>
        <v>3.0699999999999985</v>
      </c>
      <c r="B42" s="493" t="str">
        <f>TRIM(CONCATENATE('Exh. No. BGM-4 7-11'!AG$7," ",'Exh. No. BGM-4 7-11'!AG$8," ",'Exh. No. BGM-4 7-11'!AG$9))</f>
        <v>Pro Forma IS/IT Expense</v>
      </c>
      <c r="C42" s="165"/>
      <c r="D42" s="165"/>
      <c r="E42" s="487">
        <v>-459.78</v>
      </c>
      <c r="F42" s="487">
        <v>0</v>
      </c>
      <c r="G42" s="487"/>
      <c r="H42" s="487">
        <f>'Exh. No. BGM-4 7-11'!AG$58</f>
        <v>-459.78</v>
      </c>
      <c r="I42" s="487">
        <f>'Exh. No. BGM-4 7-11'!AG$81</f>
        <v>0</v>
      </c>
      <c r="J42" s="435"/>
      <c r="K42" s="488">
        <f t="shared" ref="K42" si="37">H42-E42</f>
        <v>0</v>
      </c>
      <c r="L42" s="488">
        <f t="shared" ref="L42" si="38">I42-F42</f>
        <v>0</v>
      </c>
      <c r="M42" s="428"/>
      <c r="N42" s="489">
        <f t="shared" ref="N42" si="39">K42/$N$10*-1</f>
        <v>0</v>
      </c>
      <c r="O42" s="489">
        <f t="shared" ref="O42" si="40">L42*$O$10/$N$10</f>
        <v>0</v>
      </c>
      <c r="P42" s="166">
        <f t="shared" ref="P42" si="41">N42+O42</f>
        <v>0</v>
      </c>
      <c r="Q42" s="435"/>
      <c r="R42" s="435"/>
      <c r="S42" s="435"/>
      <c r="T42" s="435"/>
      <c r="U42" s="435"/>
    </row>
    <row r="43" spans="1:28">
      <c r="A43" s="467">
        <f>'Exh. No. BGM-4 7-11'!AH$10</f>
        <v>3.0799999999999983</v>
      </c>
      <c r="B43" s="56" t="str">
        <f>TRIM(CONCATENATE('Exh. No. BGM-4 7-11'!AH$7," ",'Exh. No. BGM-4 7-11'!AH$8," ",'Exh. No. BGM-4 7-11'!AH$9))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'Exh. No. BGM-4 7-11'!AH$58</f>
        <v>-376.04</v>
      </c>
      <c r="I43" s="65">
        <f>'Exh. No. BGM-4 7-11'!AH$81</f>
        <v>0</v>
      </c>
      <c r="J43" s="49"/>
      <c r="K43" s="131">
        <f t="shared" ref="K43" si="42">H43-E43</f>
        <v>0</v>
      </c>
      <c r="L43" s="131">
        <f t="shared" ref="L43" si="43">I43-F43</f>
        <v>0</v>
      </c>
      <c r="N43" s="134">
        <f>K43/$N$10*-1</f>
        <v>0</v>
      </c>
      <c r="O43" s="134">
        <f>L43*$O$10/$N$10</f>
        <v>0</v>
      </c>
      <c r="P43" s="166">
        <f>N43+O43</f>
        <v>0</v>
      </c>
      <c r="Q43" s="435"/>
      <c r="R43" s="435"/>
      <c r="S43" s="170"/>
    </row>
    <row r="44" spans="1:28" s="436" customFormat="1">
      <c r="A44" s="467">
        <f>'Exh. No. BGM-4 7-11'!AI$10</f>
        <v>3.0899999999999981</v>
      </c>
      <c r="B44" s="119" t="str">
        <f>TRIM(CONCATENATE('Exh. No. BGM-4 7-11'!AI$7," ",'Exh. No. BGM-4 7-11'!AI$8," ",'Exh. No. BGM-4 7-11'!AI$9))</f>
        <v>Pro Forma Depreciation Expense</v>
      </c>
      <c r="C44" s="437"/>
      <c r="D44" s="437"/>
      <c r="E44" s="121">
        <v>1199.22</v>
      </c>
      <c r="F44" s="121">
        <v>0</v>
      </c>
      <c r="G44" s="121"/>
      <c r="H44" s="121">
        <f>'Exh. No. BGM-4 7-11'!AI$58</f>
        <v>1199.22</v>
      </c>
      <c r="I44" s="121">
        <f>'Exh. No. BGM-4 7-11'!AI$81</f>
        <v>0</v>
      </c>
      <c r="J44" s="435"/>
      <c r="K44" s="434">
        <f t="shared" ref="K44" si="44">H44-E44</f>
        <v>0</v>
      </c>
      <c r="L44" s="434">
        <f t="shared" ref="L44" si="45">I44-F44</f>
        <v>0</v>
      </c>
      <c r="M44" s="427"/>
      <c r="N44" s="438">
        <f t="shared" ref="N44" si="46">K44/$N$10*-1</f>
        <v>0</v>
      </c>
      <c r="O44" s="438">
        <f t="shared" ref="O44" si="47">L44*$O$10/$N$10</f>
        <v>0</v>
      </c>
      <c r="P44" s="439">
        <f t="shared" ref="P44" si="48">N44+O44</f>
        <v>0</v>
      </c>
      <c r="R44" s="462"/>
      <c r="S44" s="435"/>
      <c r="T44" s="435"/>
      <c r="U44" s="435"/>
      <c r="V44" s="462"/>
      <c r="W44" s="462"/>
      <c r="X44" s="462"/>
      <c r="Y44" s="462"/>
      <c r="Z44" s="462"/>
      <c r="AA44" s="462"/>
      <c r="AB44" s="462"/>
    </row>
    <row r="45" spans="1:28" s="124" customFormat="1">
      <c r="A45" s="467">
        <f>'Exh. No. BGM-4 7-11'!AJ$10</f>
        <v>3.0999999999999979</v>
      </c>
      <c r="B45" s="119" t="str">
        <f>TRIM(CONCATENATE('Exh. No. BGM-4 7-11'!AJ$7," ",'Exh. No. BGM-4 7-11'!AJ$8," ",'Exh. No. BGM-4 7-11'!AJ$9))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'Exh. No. BGM-4 7-11'!AJ$58</f>
        <v>-526.3124857761884</v>
      </c>
      <c r="I45" s="121">
        <f>'Exh. No. BGM-4 7-11'!AJ$81</f>
        <v>22250.825901935539</v>
      </c>
      <c r="J45" s="122"/>
      <c r="K45" s="131">
        <f t="shared" ref="K45" si="49">H45-E45</f>
        <v>617.96008822381168</v>
      </c>
      <c r="L45" s="131">
        <f t="shared" ref="L45" si="50">I45-F45</f>
        <v>-3007.1740980644608</v>
      </c>
      <c r="M45" s="36"/>
      <c r="N45" s="134">
        <f t="shared" ref="N45" si="51">K45/$N$10*-1</f>
        <v>-818.36228009901993</v>
      </c>
      <c r="O45" s="134">
        <f t="shared" ref="O45" si="52">L45*$O$10/$N$10</f>
        <v>-274.7848849669162</v>
      </c>
      <c r="P45" s="166">
        <f t="shared" ref="P45" si="53">N45+O45</f>
        <v>-1093.1471650659362</v>
      </c>
      <c r="Q45" s="435"/>
      <c r="R45" s="435"/>
      <c r="S45" s="435"/>
      <c r="T45" s="435"/>
      <c r="U45" s="435"/>
      <c r="V45" s="462"/>
      <c r="W45" s="462"/>
      <c r="X45" s="462"/>
      <c r="Y45" s="462"/>
      <c r="Z45" s="462"/>
      <c r="AA45" s="462"/>
      <c r="AB45" s="462"/>
    </row>
    <row r="46" spans="1:28" s="124" customFormat="1">
      <c r="A46" s="467">
        <f>'Exh. No. BGM-4 7-11'!AK$10</f>
        <v>3.1099999999999977</v>
      </c>
      <c r="B46" s="119" t="str">
        <f>TRIM(CONCATENATE('Exh. No. BGM-4 7-11'!AK$7," ",'Exh. No. BGM-4 7-11'!AK$8," ",'Exh. No. BGM-4 7-11'!AK$9))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'Exh. No. BGM-4 7-11'!AK$58</f>
        <v>11.06</v>
      </c>
      <c r="I46" s="121">
        <f>'Exh. No. BGM-4 7-11'!AK$81</f>
        <v>0</v>
      </c>
      <c r="J46" s="122"/>
      <c r="K46" s="131">
        <f t="shared" ref="K46" si="54">H46-E46</f>
        <v>0</v>
      </c>
      <c r="L46" s="131">
        <f t="shared" ref="L46" si="55">I46-F46</f>
        <v>0</v>
      </c>
      <c r="M46" s="36"/>
      <c r="N46" s="134">
        <f t="shared" ref="N46" si="56">K46/$N$10*-1</f>
        <v>0</v>
      </c>
      <c r="O46" s="134">
        <f t="shared" ref="O46" si="57">L46*$O$10/$N$10</f>
        <v>0</v>
      </c>
      <c r="P46" s="166">
        <f t="shared" ref="P46" si="58">N46+O46</f>
        <v>0</v>
      </c>
      <c r="Q46" s="435"/>
      <c r="R46" s="435"/>
      <c r="S46" s="435"/>
      <c r="T46" s="435"/>
      <c r="U46" s="435"/>
      <c r="V46" s="462"/>
      <c r="W46" s="462"/>
      <c r="X46" s="462"/>
      <c r="Y46" s="462"/>
      <c r="Z46" s="462"/>
      <c r="AA46" s="462"/>
      <c r="AB46" s="462"/>
    </row>
    <row r="47" spans="1:28" s="462" customFormat="1" ht="12" customHeight="1">
      <c r="A47" s="467">
        <f>'Exh. No. BGM-4 7-11'!AL$10</f>
        <v>3.1199999999999974</v>
      </c>
      <c r="B47" s="119" t="str">
        <f>TRIM(CONCATENATE('Exh. No. BGM-4 7-11'!AL$7," ",'Exh. No. BGM-4 7-11'!AL$8," ",'Exh. No. BGM-4 7-11'!AL$9))</f>
        <v>Pro Forma Fee Free Amortization</v>
      </c>
      <c r="C47" s="437"/>
      <c r="D47" s="437"/>
      <c r="E47" s="121">
        <v>-684.93000000000006</v>
      </c>
      <c r="F47" s="121">
        <v>0</v>
      </c>
      <c r="G47" s="121"/>
      <c r="H47" s="121">
        <f>'Exh. No. BGM-4 7-11'!AL$58</f>
        <v>-684.93000000000006</v>
      </c>
      <c r="I47" s="121">
        <f>'Exh. No. BGM-4 7-11'!AL$81</f>
        <v>0</v>
      </c>
      <c r="J47" s="435"/>
      <c r="K47" s="434">
        <f t="shared" ref="K47" si="59">H47-E47</f>
        <v>0</v>
      </c>
      <c r="L47" s="434">
        <f t="shared" ref="L47" si="60">I47-F47</f>
        <v>0</v>
      </c>
      <c r="M47" s="459"/>
      <c r="N47" s="438">
        <f t="shared" ref="N47" si="61">K47/$N$10*-1</f>
        <v>0</v>
      </c>
      <c r="O47" s="438">
        <f t="shared" ref="O47" si="62">L47*$O$10/$N$10</f>
        <v>0</v>
      </c>
      <c r="P47" s="166">
        <f t="shared" ref="P47" si="63">N47+O47</f>
        <v>0</v>
      </c>
      <c r="Q47" s="435"/>
      <c r="R47" s="435"/>
      <c r="S47" s="435"/>
      <c r="T47" s="435"/>
      <c r="U47" s="435"/>
    </row>
    <row r="48" spans="1:28" s="436" customFormat="1" hidden="1">
      <c r="A48" s="467">
        <f>'Exh. No. BGM-4 7-11'!AM$10</f>
        <v>3.1299999999999972</v>
      </c>
      <c r="B48" s="119" t="str">
        <f>TRIM(CONCATENATE('Exh. No. BGM-4 7-11'!AM$7," ",'Exh. No. BGM-4 7-11'!AM$8," ",'Exh. No. BGM-4 7-11'!AM$9))</f>
        <v>Pro Forma Open</v>
      </c>
      <c r="C48" s="437"/>
      <c r="D48" s="437"/>
      <c r="E48" s="121"/>
      <c r="F48" s="121"/>
      <c r="G48" s="121"/>
      <c r="H48" s="121">
        <f>'Exh. No. BGM-4 7-11'!AM$58</f>
        <v>0</v>
      </c>
      <c r="I48" s="121">
        <f>'Exh. No. BGM-4 7-11'!AM$81</f>
        <v>0</v>
      </c>
      <c r="J48" s="435"/>
      <c r="K48" s="434">
        <f t="shared" ref="K48" si="64">H48-E48</f>
        <v>0</v>
      </c>
      <c r="L48" s="434">
        <f t="shared" ref="L48" si="65">I48-F48</f>
        <v>0</v>
      </c>
      <c r="M48" s="427"/>
      <c r="N48" s="438">
        <f t="shared" ref="N48" si="66">K48/$N$10*-1</f>
        <v>0</v>
      </c>
      <c r="O48" s="438">
        <f t="shared" ref="O48" si="67">L48*$O$10/$N$10</f>
        <v>0</v>
      </c>
      <c r="P48" s="166">
        <f t="shared" ref="P48" si="68">N48+O48</f>
        <v>0</v>
      </c>
      <c r="Q48" s="435"/>
      <c r="R48" s="435"/>
      <c r="S48" s="435"/>
      <c r="T48" s="435"/>
      <c r="U48" s="435"/>
      <c r="V48" s="462"/>
      <c r="W48" s="462"/>
      <c r="X48" s="462"/>
      <c r="Y48" s="462"/>
      <c r="Z48" s="462"/>
      <c r="AA48" s="462"/>
      <c r="AB48" s="462"/>
    </row>
    <row r="49" spans="1:28" s="124" customFormat="1" ht="15.75" customHeight="1">
      <c r="A49" s="467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2"/>
      <c r="S49" s="435"/>
      <c r="T49" s="435"/>
      <c r="U49" s="435"/>
      <c r="V49" s="462"/>
      <c r="W49" s="462"/>
      <c r="X49" s="462"/>
      <c r="Y49" s="462"/>
      <c r="Z49" s="462"/>
      <c r="AA49" s="462"/>
      <c r="AB49" s="462"/>
    </row>
    <row r="50" spans="1:28" ht="16.5" customHeight="1" thickBot="1">
      <c r="A50" s="467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25108.595373203869</v>
      </c>
      <c r="I50" s="63">
        <f>SUM(I34:I49)</f>
        <v>395647.79690193554</v>
      </c>
      <c r="J50" s="49"/>
      <c r="K50" s="63">
        <f>SUM(K34:K49)</f>
        <v>4872.3435692038665</v>
      </c>
      <c r="L50" s="63">
        <f>SUM(L34:L49)</f>
        <v>-3342.2030980644608</v>
      </c>
      <c r="M50" s="137"/>
      <c r="N50" s="63">
        <f>SUM(N34:N49)</f>
        <v>-6452.4267322509422</v>
      </c>
      <c r="O50" s="63">
        <f>SUM(O34:O49)</f>
        <v>-305.39864467069759</v>
      </c>
      <c r="P50" s="122"/>
      <c r="Q50" s="122"/>
      <c r="R50" s="435"/>
      <c r="S50" s="171"/>
      <c r="T50" s="497"/>
      <c r="V50" s="428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-6757.8253769216399</v>
      </c>
      <c r="P51" s="122"/>
      <c r="Q51" s="122"/>
      <c r="R51" s="435"/>
      <c r="S51" s="435"/>
      <c r="V51" s="428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5"/>
      <c r="S52" s="435"/>
      <c r="V52" s="428"/>
    </row>
    <row r="53" spans="1:28" ht="19.5" customHeight="1">
      <c r="A53" s="468"/>
      <c r="B53" s="119"/>
      <c r="D53" s="60"/>
      <c r="E53" s="60"/>
      <c r="F53" s="61"/>
      <c r="H53" s="60"/>
      <c r="I53" s="498"/>
      <c r="J53" s="49"/>
      <c r="K53" s="117"/>
      <c r="N53" s="136" t="s">
        <v>180</v>
      </c>
      <c r="O53" s="491">
        <v>0</v>
      </c>
      <c r="P53" s="122"/>
      <c r="Q53" s="122"/>
      <c r="R53" s="435"/>
      <c r="S53" s="166"/>
      <c r="V53" s="428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-6757.8253769216399</v>
      </c>
      <c r="P54" s="122"/>
      <c r="Q54" s="122"/>
      <c r="R54" s="167"/>
      <c r="S54" s="435"/>
      <c r="V54" s="428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1">
        <f>'Exh. No. BGM-4 4-5'!F23</f>
        <v>2902</v>
      </c>
      <c r="P55" s="122"/>
      <c r="Q55" s="122"/>
      <c r="R55" s="435"/>
      <c r="S55" s="435"/>
      <c r="V55" s="428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-3855.8253769216399</v>
      </c>
      <c r="P56" s="122"/>
      <c r="Q56" s="122"/>
      <c r="R56" s="435"/>
      <c r="S56" s="435"/>
      <c r="V56" s="428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5"/>
      <c r="V57" s="428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5"/>
      <c r="V58" s="428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5"/>
      <c r="S59" s="435"/>
      <c r="V59" s="428"/>
    </row>
    <row r="60" spans="1:28">
      <c r="A60" s="37"/>
      <c r="D60" s="60"/>
      <c r="E60" s="60"/>
      <c r="H60" s="60"/>
      <c r="J60" s="49"/>
      <c r="N60" s="122"/>
      <c r="O60" s="166">
        <f>'Exh. No. BGM-4 4-5'!F23</f>
        <v>2902</v>
      </c>
      <c r="P60" s="166">
        <f>O56-O60</f>
        <v>-6757.8253769216399</v>
      </c>
      <c r="S60" s="435"/>
    </row>
    <row r="61" spans="1:28">
      <c r="A61" s="37"/>
      <c r="J61" s="49"/>
      <c r="N61" s="122"/>
      <c r="O61" s="166"/>
      <c r="P61" s="122"/>
      <c r="S61" s="435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10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112EDA-1DFA-4D6B-A22E-F0BBA6FA203C}"/>
</file>

<file path=customXml/itemProps2.xml><?xml version="1.0" encoding="utf-8"?>
<ds:datastoreItem xmlns:ds="http://schemas.openxmlformats.org/officeDocument/2006/customXml" ds:itemID="{2EFD4884-D974-4CE4-A8F0-998BA3ED9D5F}"/>
</file>

<file path=customXml/itemProps3.xml><?xml version="1.0" encoding="utf-8"?>
<ds:datastoreItem xmlns:ds="http://schemas.openxmlformats.org/officeDocument/2006/customXml" ds:itemID="{87FBC8B9-10D6-4917-ADE0-89241E36B189}"/>
</file>

<file path=customXml/itemProps4.xml><?xml version="1.0" encoding="utf-8"?>
<ds:datastoreItem xmlns:ds="http://schemas.openxmlformats.org/officeDocument/2006/customXml" ds:itemID="{BF273434-2C4D-46F4-B122-68681C115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BGM-4 1-2</vt:lpstr>
      <vt:lpstr>Exh. No. BGM-4 3</vt:lpstr>
      <vt:lpstr>Exh. No. BGM-4 4-5</vt:lpstr>
      <vt:lpstr>Exh. No. BGM-4 6</vt:lpstr>
      <vt:lpstr>Exh. No. BGM-4 7-11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SUMMARY'!Print_Area</vt:lpstr>
      <vt:lpstr>'DEBT CALC'!Print_Area</vt:lpstr>
      <vt:lpstr>'Exh. No. BGM-4 1-2'!Print_Area</vt:lpstr>
      <vt:lpstr>'Exh. No. BGM-4 3'!Print_Area</vt:lpstr>
      <vt:lpstr>'Exh. No. BGM-4 4-5'!Print_Area</vt:lpstr>
      <vt:lpstr>'Exh. No. BGM-4 6'!Print_Area</vt:lpstr>
      <vt:lpstr>'Exh. No. BGM-4 7-11'!Print_Area</vt:lpstr>
      <vt:lpstr>'LEAD SHEETS-DO NOT ENTER'!Print_Area</vt:lpstr>
      <vt:lpstr>'Recap Summary'!Print_Area</vt:lpstr>
      <vt:lpstr>'ROO INPUT'!Print_Area</vt:lpstr>
      <vt:lpstr>'Recap Summary'!Print_for_CBReport</vt:lpstr>
      <vt:lpstr>'Recap Summary'!Print_for_Checking</vt:lpstr>
      <vt:lpstr>'Exh. No. BGM-4 1-2'!Print_Titles</vt:lpstr>
      <vt:lpstr>'Exh. No. BGM-4 7-11'!Print_Titles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Mullins</cp:lastModifiedBy>
  <cp:lastPrinted>2019-09-26T16:57:58Z</cp:lastPrinted>
  <dcterms:created xsi:type="dcterms:W3CDTF">1997-05-15T21:41:44Z</dcterms:created>
  <dcterms:modified xsi:type="dcterms:W3CDTF">2019-10-03T13:33:05Z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