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codeName="ThisWorkbook" defaultThemeVersion="124226"/>
  <mc:AlternateContent xmlns:mc="http://schemas.openxmlformats.org/markup-compatibility/2006">
    <mc:Choice Requires="x15">
      <x15ac:absPath xmlns:x15ac="http://schemas.microsoft.com/office/spreadsheetml/2010/11/ac" url="\\C01m107\c01m107\2016\2016_WA_Elec_and_Gas_GRC\Bench Request\"/>
    </mc:Choice>
  </mc:AlternateContent>
  <bookViews>
    <workbookView xWindow="-15" yWindow="-15" windowWidth="9690" windowHeight="7290" tabRatio="863"/>
  </bookViews>
  <sheets>
    <sheet name="PF 2017-Nov. Update" sheetId="22" r:id="rId1"/>
    <sheet name="Diff Reb vs Nov Update" sheetId="24" r:id="rId2"/>
    <sheet name="PF 2017-Rebuttal" sheetId="23" r:id="rId3"/>
    <sheet name="BR_10.4 PS Adj detail" sheetId="1" r:id="rId4"/>
    <sheet name="BR_10-ERM balances" sheetId="19" r:id="rId5"/>
    <sheet name="BR_10 System Pro Forma" sheetId="20" r:id="rId6"/>
    <sheet name="WGJ-4" sheetId="16" r:id="rId7"/>
    <sheet name="Index" sheetId="17" r:id="rId8"/>
    <sheet name="Aurora" sheetId="18" r:id="rId9"/>
  </sheets>
  <externalReferences>
    <externalReference r:id="rId10"/>
    <externalReference r:id="rId11"/>
    <externalReference r:id="rId12"/>
    <externalReference r:id="rId13"/>
    <externalReference r:id="rId14"/>
  </externalReferences>
  <definedNames>
    <definedName name="Actuals_Mo">[1]Tables!$B$19</definedName>
    <definedName name="Base1_Billing2" localSheetId="1">#REF!</definedName>
    <definedName name="Base1_Billing2" localSheetId="2">#REF!</definedName>
    <definedName name="Base1_Billing2">#REF!</definedName>
    <definedName name="BaseRev60_EntryLookup">INDEX('[2]Rev Summary'!$F$1176:$F$1177,2):'[2]Rev Summary'!$F$1221</definedName>
    <definedName name="Basic">'[2]Rev Summary'!$I$1279:$I$1322</definedName>
    <definedName name="BilledRev60_EntryLookup">INDEX('[2]Rev Summary'!$F$70:$F$71,2):'[2]Rev Summary'!$F$115</definedName>
    <definedName name="CalRev60_EntryLookup">INDEX('[2]Rev Summary'!$F$373:$F$374,2):'[2]Rev Summary'!$F$418</definedName>
    <definedName name="ClassEntry">'[2]Rev Summary'!$D$2</definedName>
    <definedName name="ClassEntryNo">'[2]Rev Summary'!$D$3</definedName>
    <definedName name="CopyClasses">'[2]Rev Summary'!$F$1279:INDEX('[2]Rev Summary'!$F$1279:$F$1323,COUNTA('[2]Rev Summary'!$F$1279:$F$1323))</definedName>
    <definedName name="CustMos">'[1]Cust Load'!$D$3</definedName>
    <definedName name="DSMFlag">'[2]Exp Summary'!$E$30</definedName>
    <definedName name="EndMo">[1]Tables!$B$16</definedName>
    <definedName name="ERM">'[3]Rate Design'!$D$45</definedName>
    <definedName name="GRCRev60_EntryLookup">INDEX('[2]Rev Summary'!$F$1075:$F$1076,2):'[2]Rev Summary'!$F$1120</definedName>
    <definedName name="GrossUnbillAccrRev60_EntryLookup">INDEX('[2]Rev Summary'!$F$873:$F$874,2):'[2]Rev Summary'!$F$918</definedName>
    <definedName name="GrossUnbillRevRev60_EntryLookup">INDEX('[2]Rev Summary'!$F$974:$F$975,2):'[2]Rev Summary'!$F$1019</definedName>
    <definedName name="ID" localSheetId="1">#REF!</definedName>
    <definedName name="ID" localSheetId="2">#REF!</definedName>
    <definedName name="ID">#REF!</definedName>
    <definedName name="ID_001b" localSheetId="1">#REF!</definedName>
    <definedName name="ID_001b" localSheetId="2">#REF!</definedName>
    <definedName name="ID_001b">#REF!</definedName>
    <definedName name="ID_011b" localSheetId="1">#REF!</definedName>
    <definedName name="ID_011b" localSheetId="2">#REF!</definedName>
    <definedName name="ID_011b">#REF!</definedName>
    <definedName name="ID_012b" localSheetId="1">#REF!</definedName>
    <definedName name="ID_012b" localSheetId="2">#REF!</definedName>
    <definedName name="ID_012b">#REF!</definedName>
    <definedName name="ID_021b" localSheetId="1">#REF!</definedName>
    <definedName name="ID_021b" localSheetId="2">#REF!</definedName>
    <definedName name="ID_021b">#REF!</definedName>
    <definedName name="ID_Gas" localSheetId="1">'[4]DEBT CALC'!#REF!</definedName>
    <definedName name="ID_Gas" localSheetId="2">'[4]DEBT CALC'!#REF!</definedName>
    <definedName name="ID_Gas">'[4]DEBT CALC'!#REF!</definedName>
    <definedName name="ID04X">[2]Rates!$O$121:$V$121</definedName>
    <definedName name="IDPPRider">[2]Rates!$O$124:$V$124</definedName>
    <definedName name="IDResEx">[2]Rates!$O$125:$V$125</definedName>
    <definedName name="IDSurch">[2]Rates!$O$122:$V$122</definedName>
    <definedName name="ManualSched">'[2]Rev Summary'!$B$36</definedName>
    <definedName name="Month1">[2]Setup!$B$3</definedName>
    <definedName name="NetUnbillRev60_EntryLookup">INDEX('[2]Rev Summary'!$F$272:$F$273,2):'[2]Rev Summary'!$F$317</definedName>
    <definedName name="PPRev60_EntryLookup">INDEX('[2]Rev Summary'!$F$671:$F$672,2):'[2]Rev Summary'!$F$716</definedName>
    <definedName name="_xlnm.Print_Area" localSheetId="3">'BR_10.4 PS Adj detail'!$A$1:$F$109</definedName>
    <definedName name="_xlnm.Print_Area" localSheetId="4">'BR_10-ERM balances'!$A$1:$N$42</definedName>
    <definedName name="_xlnm.Print_Area" localSheetId="1">'Diff Reb vs Nov Update'!$A$1:$W$50</definedName>
    <definedName name="_xlnm.Print_Area" localSheetId="7">Index!$A$23:$O$58</definedName>
    <definedName name="_xlnm.Print_Area" localSheetId="0">'PF 2017-Nov. Update'!$A$1:$W$50</definedName>
    <definedName name="_xlnm.Print_Area" localSheetId="2">'PF 2017-Rebuttal'!$A$1:$W$50</definedName>
    <definedName name="_xlnm.Print_Area" localSheetId="6">'WGJ-4'!$A$1:$O$57</definedName>
    <definedName name="Print_for_Checking" localSheetId="1">'[4]ADJ SUMMARY'!#REF!:'[4]ADJ SUMMARY'!#REF!</definedName>
    <definedName name="Print_for_Checking" localSheetId="2">'[4]ADJ SUMMARY'!#REF!:'[4]ADJ SUMMARY'!#REF!</definedName>
    <definedName name="Print_for_Checking">'[4]ADJ SUMMARY'!#REF!:'[4]ADJ SUMMARY'!#REF!</definedName>
    <definedName name="_xlnm.Print_Titles" localSheetId="3">'BR_10.4 PS Adj detail'!$1:$7</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[5]Macro1!$A$92</definedName>
    <definedName name="ResExchRev60_EntryLookup">INDEX('[2]Rev Summary'!$F$772:$F$773,2):'[2]Rev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'[2]Rev Summary'!$E$2</definedName>
    <definedName name="SL_RateIncr">'[3]St Lts'!$AD$1</definedName>
    <definedName name="StartMo">[1]Tables!$B$13</definedName>
    <definedName name="Summary" localSheetId="1">#REF!</definedName>
    <definedName name="Summary" localSheetId="2">#REF!</definedName>
    <definedName name="Summary">#REF!</definedName>
    <definedName name="SurchRev60_EntryLookup">INDEX('[2]Rev Summary'!$F$474:$F$475,2):'[2]Rev Summary'!$F$519</definedName>
    <definedName name="TableName">"Dummy"</definedName>
    <definedName name="TaxCreditRev60_EntryLookup">INDEX('[2]Rev Summary'!$F$572:$F$621,2):'[2]Rev Summary'!$F$617</definedName>
    <definedName name="TaxRev60_EntryLookup">INDEX('[2]Rev Summary'!$F$171:$F$216,2):'[2]Rev Summary'!$F$216</definedName>
    <definedName name="Utility">[2]Setup!$B$1</definedName>
    <definedName name="vl_tbl_SchedClass">[1]!tbl_SchedAll[StClSch]</definedName>
    <definedName name="WA_001b" localSheetId="1">#REF!</definedName>
    <definedName name="WA_001b" localSheetId="2">#REF!</definedName>
    <definedName name="WA_001b">#REF!</definedName>
    <definedName name="WA_011b" localSheetId="1">#REF!</definedName>
    <definedName name="WA_011b" localSheetId="2">#REF!</definedName>
    <definedName name="WA_011b">#REF!</definedName>
    <definedName name="WA_012b" localSheetId="1">#REF!</definedName>
    <definedName name="WA_012b" localSheetId="2">#REF!</definedName>
    <definedName name="WA_012b">#REF!</definedName>
    <definedName name="WA_021b" localSheetId="1">#REF!</definedName>
    <definedName name="WA_021b" localSheetId="2">#REF!</definedName>
    <definedName name="WA_021b">#REF!</definedName>
    <definedName name="WA_Gas" localSheetId="1">'[4]DEBT CALC'!#REF!</definedName>
    <definedName name="WA_Gas" localSheetId="2">'[4]DEBT CALC'!#REF!</definedName>
    <definedName name="WA_Gas">'[4]DEBT CALC'!#REF!</definedName>
    <definedName name="WA04X">[2]Rates!$D$121:$K$121</definedName>
    <definedName name="WAPPRider">[2]Rates!$D$124:$K$124</definedName>
    <definedName name="WAResEx">[2]Rates!$D$125:$K$125</definedName>
    <definedName name="WASurch">[2]Rates!$D$122:$K$122</definedName>
    <definedName name="Year1">[2]Setup!$B$2</definedName>
  </definedNames>
  <calcPr calcId="152511"/>
</workbook>
</file>

<file path=xl/calcChain.xml><?xml version="1.0" encoding="utf-8"?>
<calcChain xmlns="http://schemas.openxmlformats.org/spreadsheetml/2006/main">
  <c r="V49" i="24" l="1"/>
  <c r="V46" i="24"/>
  <c r="Y12" i="24"/>
  <c r="X12" i="24"/>
  <c r="Y38" i="24"/>
  <c r="J10" i="24"/>
  <c r="J26" i="24" s="1"/>
  <c r="V14" i="24"/>
  <c r="J21" i="24"/>
  <c r="V26" i="24"/>
  <c r="J27" i="24"/>
  <c r="J31" i="24"/>
  <c r="J32" i="24"/>
  <c r="P32" i="24"/>
  <c r="R32" i="24" s="1"/>
  <c r="V32" i="24" s="1"/>
  <c r="N32" i="24"/>
  <c r="V31" i="24"/>
  <c r="O31" i="24"/>
  <c r="N30" i="24"/>
  <c r="N29" i="24"/>
  <c r="P27" i="24"/>
  <c r="R27" i="24" s="1"/>
  <c r="T26" i="24"/>
  <c r="R26" i="24"/>
  <c r="P26" i="24"/>
  <c r="R25" i="24"/>
  <c r="P25" i="24"/>
  <c r="N24" i="24"/>
  <c r="P24" i="24" s="1"/>
  <c r="N23" i="24"/>
  <c r="P23" i="24" s="1"/>
  <c r="T23" i="24" s="1"/>
  <c r="N22" i="24"/>
  <c r="P22" i="24" s="1"/>
  <c r="T21" i="24"/>
  <c r="R21" i="24"/>
  <c r="P21" i="24"/>
  <c r="V21" i="24"/>
  <c r="P20" i="24"/>
  <c r="X20" i="24" s="1"/>
  <c r="Y20" i="24" s="1"/>
  <c r="N20" i="24"/>
  <c r="O17" i="24"/>
  <c r="R16" i="24"/>
  <c r="P16" i="24"/>
  <c r="O16" i="24"/>
  <c r="N16" i="24"/>
  <c r="T14" i="24"/>
  <c r="R14" i="24"/>
  <c r="P14" i="24"/>
  <c r="R13" i="24"/>
  <c r="P13" i="24"/>
  <c r="N13" i="24"/>
  <c r="R12" i="24"/>
  <c r="P12" i="24"/>
  <c r="N12" i="24"/>
  <c r="T10" i="24"/>
  <c r="J20" i="24" l="1"/>
  <c r="J16" i="24"/>
  <c r="J22" i="24"/>
  <c r="J12" i="24"/>
  <c r="J24" i="24"/>
  <c r="J28" i="24"/>
  <c r="J23" i="24"/>
  <c r="J13" i="24"/>
  <c r="V25" i="24"/>
  <c r="J25" i="24"/>
  <c r="J14" i="24"/>
  <c r="V27" i="24"/>
  <c r="J29" i="24"/>
  <c r="V13" i="24"/>
  <c r="X22" i="24"/>
  <c r="Y22" i="24" s="1"/>
  <c r="R22" i="24"/>
  <c r="V22" i="24" s="1"/>
  <c r="X24" i="24"/>
  <c r="Y24" i="24" s="1"/>
  <c r="R24" i="24"/>
  <c r="N28" i="24"/>
  <c r="P28" i="24" s="1"/>
  <c r="O30" i="24"/>
  <c r="R30" i="24" s="1"/>
  <c r="V30" i="24" s="1"/>
  <c r="X32" i="24"/>
  <c r="Y32" i="24" s="1"/>
  <c r="R23" i="24"/>
  <c r="V23" i="24" s="1"/>
  <c r="R20" i="24"/>
  <c r="T32" i="24"/>
  <c r="N34" i="24"/>
  <c r="T22" i="24"/>
  <c r="T24" i="24"/>
  <c r="P29" i="24"/>
  <c r="O29" i="24"/>
  <c r="T31" i="24"/>
  <c r="P31" i="24"/>
  <c r="T12" i="24"/>
  <c r="T13" i="24"/>
  <c r="T16" i="24"/>
  <c r="T20" i="24"/>
  <c r="T25" i="24"/>
  <c r="T27" i="24"/>
  <c r="J34" i="24" l="1"/>
  <c r="V12" i="24"/>
  <c r="V24" i="24"/>
  <c r="T29" i="24"/>
  <c r="V20" i="24"/>
  <c r="R28" i="24"/>
  <c r="V28" i="24" s="1"/>
  <c r="N15" i="24"/>
  <c r="P30" i="24"/>
  <c r="V16" i="24"/>
  <c r="P34" i="24"/>
  <c r="X34" i="24" s="1"/>
  <c r="T28" i="24"/>
  <c r="T34" i="24" s="1"/>
  <c r="R29" i="24"/>
  <c r="V29" i="24" s="1"/>
  <c r="O34" i="24"/>
  <c r="O36" i="24" s="1"/>
  <c r="R34" i="24" l="1"/>
  <c r="J15" i="24"/>
  <c r="J17" i="24" s="1"/>
  <c r="J36" i="24" s="1"/>
  <c r="Y34" i="24"/>
  <c r="P15" i="24"/>
  <c r="N17" i="24"/>
  <c r="N36" i="24" s="1"/>
  <c r="V34" i="24"/>
  <c r="J38" i="24" l="1"/>
  <c r="J40" i="24" s="1"/>
  <c r="R15" i="24"/>
  <c r="T15" i="24"/>
  <c r="T17" i="24" s="1"/>
  <c r="T36" i="24" s="1"/>
  <c r="P17" i="24"/>
  <c r="J42" i="24" l="1"/>
  <c r="J44" i="24" s="1"/>
  <c r="T38" i="24"/>
  <c r="T40" i="24"/>
  <c r="Y17" i="24"/>
  <c r="X17" i="24"/>
  <c r="P36" i="24"/>
  <c r="V15" i="24"/>
  <c r="V17" i="24" s="1"/>
  <c r="V36" i="24" s="1"/>
  <c r="V40" i="24" s="1"/>
  <c r="R17" i="24"/>
  <c r="R36" i="24" s="1"/>
  <c r="R40" i="24" s="1"/>
  <c r="T42" i="24" l="1"/>
  <c r="T44" i="24" s="1"/>
  <c r="R42" i="24"/>
  <c r="R44" i="24" s="1"/>
  <c r="Y36" i="24"/>
  <c r="V42" i="24"/>
  <c r="V44" i="24" s="1"/>
  <c r="X33" i="23" l="1"/>
  <c r="Y33" i="23" s="1"/>
  <c r="Z33" i="23" s="1"/>
  <c r="P32" i="23"/>
  <c r="X32" i="23" s="1"/>
  <c r="Y32" i="23" s="1"/>
  <c r="D32" i="23"/>
  <c r="F32" i="23" s="1"/>
  <c r="H32" i="23" s="1"/>
  <c r="V31" i="23"/>
  <c r="P31" i="23"/>
  <c r="O31" i="23"/>
  <c r="T31" i="23" s="1"/>
  <c r="E31" i="23"/>
  <c r="J31" i="23" s="1"/>
  <c r="E30" i="23"/>
  <c r="H30" i="23" s="1"/>
  <c r="D30" i="23"/>
  <c r="O29" i="23"/>
  <c r="P29" i="23" s="1"/>
  <c r="X29" i="23" s="1"/>
  <c r="H29" i="23"/>
  <c r="F29" i="23"/>
  <c r="D29" i="23"/>
  <c r="E29" i="23" s="1"/>
  <c r="D28" i="23"/>
  <c r="F28" i="23" s="1"/>
  <c r="H28" i="23" s="1"/>
  <c r="R27" i="23"/>
  <c r="P27" i="23"/>
  <c r="X27" i="23" s="1"/>
  <c r="Y27" i="23" s="1"/>
  <c r="H27" i="23"/>
  <c r="F27" i="23"/>
  <c r="P26" i="23"/>
  <c r="R26" i="23" s="1"/>
  <c r="V26" i="23" s="1"/>
  <c r="F26" i="23"/>
  <c r="H26" i="23" s="1"/>
  <c r="P25" i="23"/>
  <c r="X25" i="23" s="1"/>
  <c r="Y25" i="23" s="1"/>
  <c r="H25" i="23"/>
  <c r="F25" i="23"/>
  <c r="P24" i="23"/>
  <c r="D24" i="23"/>
  <c r="F24" i="23" s="1"/>
  <c r="H24" i="23" s="1"/>
  <c r="P23" i="23"/>
  <c r="D23" i="23"/>
  <c r="F23" i="23" s="1"/>
  <c r="H23" i="23" s="1"/>
  <c r="P22" i="23"/>
  <c r="X22" i="23" s="1"/>
  <c r="Y22" i="23" s="1"/>
  <c r="D22" i="23"/>
  <c r="F22" i="23" s="1"/>
  <c r="H22" i="23" s="1"/>
  <c r="P21" i="23"/>
  <c r="R21" i="23" s="1"/>
  <c r="V21" i="23" s="1"/>
  <c r="F21" i="23"/>
  <c r="H21" i="23" s="1"/>
  <c r="D20" i="23"/>
  <c r="F20" i="23" s="1"/>
  <c r="Y19" i="23"/>
  <c r="Z19" i="23" s="1"/>
  <c r="X19" i="23"/>
  <c r="X18" i="23"/>
  <c r="Y18" i="23" s="1"/>
  <c r="Z18" i="23" s="1"/>
  <c r="D16" i="23"/>
  <c r="D15" i="23"/>
  <c r="F15" i="23" s="1"/>
  <c r="H15" i="23" s="1"/>
  <c r="P14" i="23"/>
  <c r="R14" i="23" s="1"/>
  <c r="V14" i="23" s="1"/>
  <c r="F14" i="23"/>
  <c r="H14" i="23" s="1"/>
  <c r="T13" i="23"/>
  <c r="P13" i="23"/>
  <c r="R13" i="23" s="1"/>
  <c r="D13" i="23"/>
  <c r="F13" i="23" s="1"/>
  <c r="H12" i="23"/>
  <c r="D12" i="23"/>
  <c r="F12" i="23" s="1"/>
  <c r="T10" i="23"/>
  <c r="J10" i="23"/>
  <c r="N32" i="22"/>
  <c r="N30" i="22"/>
  <c r="N29" i="22"/>
  <c r="N28" i="22"/>
  <c r="N24" i="22"/>
  <c r="N23" i="22"/>
  <c r="P23" i="22" s="1"/>
  <c r="N22" i="22"/>
  <c r="N20" i="22"/>
  <c r="O29" i="22"/>
  <c r="R29" i="22" s="1"/>
  <c r="P22" i="22"/>
  <c r="N16" i="22"/>
  <c r="N15" i="22"/>
  <c r="N13" i="22"/>
  <c r="P13" i="22" s="1"/>
  <c r="R13" i="22" s="1"/>
  <c r="N12" i="22"/>
  <c r="D32" i="22"/>
  <c r="D30" i="22"/>
  <c r="D28" i="22"/>
  <c r="F28" i="22" s="1"/>
  <c r="H28" i="22" s="1"/>
  <c r="D29" i="22"/>
  <c r="E29" i="22" s="1"/>
  <c r="D24" i="22"/>
  <c r="D23" i="22"/>
  <c r="D22" i="22"/>
  <c r="F22" i="22" s="1"/>
  <c r="H22" i="22" s="1"/>
  <c r="D20" i="22"/>
  <c r="D16" i="22"/>
  <c r="D15" i="22"/>
  <c r="F15" i="22" s="1"/>
  <c r="H15" i="22" s="1"/>
  <c r="D13" i="22"/>
  <c r="D12" i="22"/>
  <c r="Z33" i="22"/>
  <c r="Y33" i="22"/>
  <c r="X33" i="22"/>
  <c r="P32" i="22"/>
  <c r="R32" i="22" s="1"/>
  <c r="F32" i="22"/>
  <c r="H32" i="22" s="1"/>
  <c r="V31" i="22"/>
  <c r="O31" i="22"/>
  <c r="T31" i="22" s="1"/>
  <c r="E31" i="22"/>
  <c r="J31" i="22" s="1"/>
  <c r="P27" i="22"/>
  <c r="X27" i="22" s="1"/>
  <c r="Y27" i="22" s="1"/>
  <c r="H27" i="22"/>
  <c r="F27" i="22"/>
  <c r="P26" i="22"/>
  <c r="R26" i="22" s="1"/>
  <c r="V26" i="22" s="1"/>
  <c r="F26" i="22"/>
  <c r="H26" i="22" s="1"/>
  <c r="P25" i="22"/>
  <c r="X25" i="22" s="1"/>
  <c r="Y25" i="22" s="1"/>
  <c r="H25" i="22"/>
  <c r="F25" i="22"/>
  <c r="P24" i="22"/>
  <c r="F24" i="22"/>
  <c r="H24" i="22" s="1"/>
  <c r="F23" i="22"/>
  <c r="H23" i="22" s="1"/>
  <c r="P21" i="22"/>
  <c r="R21" i="22" s="1"/>
  <c r="V21" i="22" s="1"/>
  <c r="F21" i="22"/>
  <c r="H21" i="22" s="1"/>
  <c r="Y19" i="22"/>
  <c r="Z19" i="22" s="1"/>
  <c r="X19" i="22"/>
  <c r="X18" i="22"/>
  <c r="Y18" i="22" s="1"/>
  <c r="Z18" i="22" s="1"/>
  <c r="P14" i="22"/>
  <c r="R14" i="22" s="1"/>
  <c r="V14" i="22" s="1"/>
  <c r="F14" i="22"/>
  <c r="H14" i="22" s="1"/>
  <c r="F13" i="22"/>
  <c r="F12" i="22"/>
  <c r="H12" i="22" s="1"/>
  <c r="T10" i="22"/>
  <c r="J10" i="22"/>
  <c r="T25" i="23" l="1"/>
  <c r="V27" i="23"/>
  <c r="Z27" i="23" s="1"/>
  <c r="R25" i="23"/>
  <c r="V25" i="23" s="1"/>
  <c r="Z25" i="23" s="1"/>
  <c r="T27" i="23"/>
  <c r="F16" i="23"/>
  <c r="R24" i="23"/>
  <c r="V24" i="23" s="1"/>
  <c r="X24" i="23"/>
  <c r="Y24" i="23" s="1"/>
  <c r="Z24" i="23" s="1"/>
  <c r="V13" i="23"/>
  <c r="R23" i="23"/>
  <c r="V23" i="23" s="1"/>
  <c r="X23" i="23"/>
  <c r="Y23" i="23" s="1"/>
  <c r="Z23" i="23" s="1"/>
  <c r="D17" i="23"/>
  <c r="F34" i="23"/>
  <c r="X31" i="23"/>
  <c r="Y31" i="23" s="1"/>
  <c r="Z31" i="23" s="1"/>
  <c r="J24" i="23"/>
  <c r="J23" i="23"/>
  <c r="J22" i="23"/>
  <c r="J15" i="23"/>
  <c r="J29" i="23"/>
  <c r="J12" i="23"/>
  <c r="H13" i="23"/>
  <c r="H20" i="23"/>
  <c r="H34" i="23" s="1"/>
  <c r="R22" i="23"/>
  <c r="V22" i="23" s="1"/>
  <c r="Z22" i="23" s="1"/>
  <c r="J25" i="23"/>
  <c r="J26" i="23"/>
  <c r="X26" i="23"/>
  <c r="Y26" i="23" s="1"/>
  <c r="Z26" i="23" s="1"/>
  <c r="J27" i="23"/>
  <c r="R32" i="23"/>
  <c r="V32" i="23" s="1"/>
  <c r="Z32" i="23" s="1"/>
  <c r="T29" i="23"/>
  <c r="T26" i="23"/>
  <c r="T24" i="23"/>
  <c r="T23" i="23"/>
  <c r="T22" i="23"/>
  <c r="T21" i="23"/>
  <c r="T14" i="23"/>
  <c r="P12" i="23"/>
  <c r="J13" i="23"/>
  <c r="J14" i="23"/>
  <c r="X14" i="23"/>
  <c r="Y14" i="23" s="1"/>
  <c r="Z14" i="23" s="1"/>
  <c r="E16" i="23"/>
  <c r="O16" i="23"/>
  <c r="J20" i="23"/>
  <c r="J21" i="23"/>
  <c r="X21" i="23"/>
  <c r="Y21" i="23" s="1"/>
  <c r="Z21" i="23" s="1"/>
  <c r="J28" i="23"/>
  <c r="F31" i="23"/>
  <c r="T32" i="23"/>
  <c r="X13" i="23"/>
  <c r="Y13" i="23" s="1"/>
  <c r="Z13" i="23" s="1"/>
  <c r="P20" i="23"/>
  <c r="E34" i="23"/>
  <c r="R29" i="23"/>
  <c r="V29" i="23" s="1"/>
  <c r="Y29" i="23" s="1"/>
  <c r="Z29" i="23" s="1"/>
  <c r="F30" i="23"/>
  <c r="J32" i="23"/>
  <c r="D34" i="23"/>
  <c r="R27" i="22"/>
  <c r="R25" i="22"/>
  <c r="V25" i="22" s="1"/>
  <c r="Z25" i="22" s="1"/>
  <c r="T27" i="22"/>
  <c r="T25" i="22"/>
  <c r="V27" i="22"/>
  <c r="T13" i="22"/>
  <c r="X32" i="22"/>
  <c r="Y32" i="22" s="1"/>
  <c r="V32" i="22"/>
  <c r="R23" i="22"/>
  <c r="V23" i="22" s="1"/>
  <c r="X23" i="22"/>
  <c r="Y23" i="22" s="1"/>
  <c r="Z27" i="22"/>
  <c r="X22" i="22"/>
  <c r="Y22" i="22" s="1"/>
  <c r="R24" i="22"/>
  <c r="V24" i="22" s="1"/>
  <c r="X24" i="22"/>
  <c r="Y24" i="22" s="1"/>
  <c r="D17" i="22"/>
  <c r="F20" i="22"/>
  <c r="D34" i="22"/>
  <c r="J24" i="22"/>
  <c r="J23" i="22"/>
  <c r="J22" i="22"/>
  <c r="J15" i="22"/>
  <c r="J32" i="22"/>
  <c r="J12" i="22"/>
  <c r="H13" i="22"/>
  <c r="R22" i="22"/>
  <c r="V22" i="22" s="1"/>
  <c r="J25" i="22"/>
  <c r="J26" i="22"/>
  <c r="X26" i="22"/>
  <c r="Y26" i="22" s="1"/>
  <c r="Z26" i="22" s="1"/>
  <c r="J27" i="22"/>
  <c r="F29" i="22"/>
  <c r="J29" i="22" s="1"/>
  <c r="P29" i="22"/>
  <c r="E30" i="22"/>
  <c r="H30" i="22" s="1"/>
  <c r="T26" i="22"/>
  <c r="T24" i="22"/>
  <c r="T23" i="22"/>
  <c r="T22" i="22"/>
  <c r="T21" i="22"/>
  <c r="T14" i="22"/>
  <c r="T32" i="22"/>
  <c r="N17" i="22"/>
  <c r="P12" i="22"/>
  <c r="J13" i="22"/>
  <c r="J14" i="22"/>
  <c r="X14" i="22"/>
  <c r="Y14" i="22" s="1"/>
  <c r="Z14" i="22" s="1"/>
  <c r="E16" i="22"/>
  <c r="O16" i="22"/>
  <c r="J21" i="22"/>
  <c r="X21" i="22"/>
  <c r="Y21" i="22" s="1"/>
  <c r="Z21" i="22" s="1"/>
  <c r="J28" i="22"/>
  <c r="H29" i="22"/>
  <c r="V29" i="22" s="1"/>
  <c r="Y29" i="22" s="1"/>
  <c r="Z29" i="22" s="1"/>
  <c r="P31" i="22"/>
  <c r="X31" i="22" s="1"/>
  <c r="Y31" i="22" s="1"/>
  <c r="Z31" i="22" s="1"/>
  <c r="X13" i="22"/>
  <c r="Y13" i="22" s="1"/>
  <c r="P15" i="22"/>
  <c r="T15" i="22" s="1"/>
  <c r="P20" i="22"/>
  <c r="P28" i="22"/>
  <c r="O30" i="22"/>
  <c r="R30" i="22" s="1"/>
  <c r="F31" i="22"/>
  <c r="P28" i="23" l="1"/>
  <c r="N34" i="23"/>
  <c r="X20" i="23"/>
  <c r="Y20" i="23" s="1"/>
  <c r="T20" i="23"/>
  <c r="R20" i="23"/>
  <c r="R16" i="23"/>
  <c r="O17" i="23"/>
  <c r="J17" i="23"/>
  <c r="J36" i="23" s="1"/>
  <c r="J16" i="23"/>
  <c r="E17" i="23"/>
  <c r="E36" i="23" s="1"/>
  <c r="H16" i="23"/>
  <c r="H17" i="23" s="1"/>
  <c r="H36" i="23" s="1"/>
  <c r="H40" i="23" s="1"/>
  <c r="X12" i="23"/>
  <c r="Y12" i="23" s="1"/>
  <c r="R12" i="23"/>
  <c r="T12" i="23"/>
  <c r="D36" i="23"/>
  <c r="F17" i="23"/>
  <c r="F36" i="23" s="1"/>
  <c r="P16" i="23"/>
  <c r="P30" i="23"/>
  <c r="X30" i="23" s="1"/>
  <c r="O30" i="23"/>
  <c r="J34" i="23"/>
  <c r="O34" i="22"/>
  <c r="P30" i="22"/>
  <c r="P34" i="22" s="1"/>
  <c r="Z32" i="22"/>
  <c r="X29" i="22"/>
  <c r="Z24" i="22"/>
  <c r="D36" i="22"/>
  <c r="Z22" i="22"/>
  <c r="X28" i="22"/>
  <c r="Y28" i="22" s="1"/>
  <c r="T28" i="22"/>
  <c r="R28" i="22"/>
  <c r="V28" i="22" s="1"/>
  <c r="R16" i="22"/>
  <c r="O17" i="22"/>
  <c r="O36" i="22" s="1"/>
  <c r="P16" i="22"/>
  <c r="P17" i="22" s="1"/>
  <c r="H20" i="22"/>
  <c r="H34" i="22" s="1"/>
  <c r="X20" i="22"/>
  <c r="Y20" i="22" s="1"/>
  <c r="T20" i="22"/>
  <c r="R20" i="22"/>
  <c r="E17" i="22"/>
  <c r="H16" i="22"/>
  <c r="H17" i="22" s="1"/>
  <c r="X12" i="22"/>
  <c r="Y12" i="22" s="1"/>
  <c r="R12" i="22"/>
  <c r="T12" i="22"/>
  <c r="F30" i="22"/>
  <c r="V13" i="22"/>
  <c r="Z13" i="22" s="1"/>
  <c r="N34" i="22"/>
  <c r="N36" i="22" s="1"/>
  <c r="E34" i="22"/>
  <c r="V30" i="22"/>
  <c r="Y30" i="22" s="1"/>
  <c r="Z30" i="22" s="1"/>
  <c r="X15" i="22"/>
  <c r="Y15" i="22" s="1"/>
  <c r="R15" i="22"/>
  <c r="V15" i="22" s="1"/>
  <c r="J20" i="22"/>
  <c r="J34" i="22" s="1"/>
  <c r="T29" i="22"/>
  <c r="F16" i="22"/>
  <c r="Z23" i="22"/>
  <c r="H42" i="23" l="1"/>
  <c r="H44" i="23" s="1"/>
  <c r="J38" i="23"/>
  <c r="J40" i="23" s="1"/>
  <c r="X16" i="23"/>
  <c r="T16" i="23"/>
  <c r="P34" i="23"/>
  <c r="X34" i="23" s="1"/>
  <c r="X28" i="23"/>
  <c r="Y28" i="23" s="1"/>
  <c r="Y34" i="23" s="1"/>
  <c r="R28" i="23"/>
  <c r="V28" i="23" s="1"/>
  <c r="T28" i="23"/>
  <c r="T34" i="23" s="1"/>
  <c r="V12" i="23"/>
  <c r="V16" i="23"/>
  <c r="Y16" i="23" s="1"/>
  <c r="Z16" i="23" s="1"/>
  <c r="R30" i="23"/>
  <c r="V30" i="23" s="1"/>
  <c r="Y30" i="23" s="1"/>
  <c r="Z30" i="23" s="1"/>
  <c r="O34" i="23"/>
  <c r="O36" i="23" s="1"/>
  <c r="Z12" i="23"/>
  <c r="P15" i="23"/>
  <c r="N17" i="23"/>
  <c r="N36" i="23" s="1"/>
  <c r="V20" i="23"/>
  <c r="V34" i="23" s="1"/>
  <c r="X30" i="22"/>
  <c r="Z28" i="22"/>
  <c r="V16" i="22"/>
  <c r="Y16" i="22" s="1"/>
  <c r="Z16" i="22" s="1"/>
  <c r="P36" i="22"/>
  <c r="E36" i="22"/>
  <c r="Y34" i="22"/>
  <c r="R17" i="22"/>
  <c r="V12" i="22"/>
  <c r="R34" i="22"/>
  <c r="V20" i="22"/>
  <c r="V34" i="22" s="1"/>
  <c r="J16" i="22"/>
  <c r="J17" i="22" s="1"/>
  <c r="J36" i="22" s="1"/>
  <c r="F17" i="22"/>
  <c r="Z15" i="22"/>
  <c r="F34" i="22"/>
  <c r="X34" i="22" s="1"/>
  <c r="H36" i="22"/>
  <c r="H40" i="22" s="1"/>
  <c r="T34" i="22"/>
  <c r="X16" i="22"/>
  <c r="T16" i="22"/>
  <c r="T17" i="22" s="1"/>
  <c r="R34" i="23" l="1"/>
  <c r="J42" i="23"/>
  <c r="J44" i="23" s="1"/>
  <c r="Z20" i="23"/>
  <c r="Z34" i="23"/>
  <c r="X15" i="23"/>
  <c r="Y15" i="23" s="1"/>
  <c r="R15" i="23"/>
  <c r="T15" i="23"/>
  <c r="T17" i="23" s="1"/>
  <c r="T36" i="23" s="1"/>
  <c r="P17" i="23"/>
  <c r="Z28" i="23"/>
  <c r="R36" i="22"/>
  <c r="R40" i="22" s="1"/>
  <c r="R42" i="22" s="1"/>
  <c r="R44" i="22" s="1"/>
  <c r="Y17" i="22"/>
  <c r="Y36" i="22" s="1"/>
  <c r="V17" i="22"/>
  <c r="Z17" i="22" s="1"/>
  <c r="F36" i="22"/>
  <c r="T36" i="22"/>
  <c r="J38" i="22"/>
  <c r="J40" i="22" s="1"/>
  <c r="X17" i="22"/>
  <c r="H42" i="22"/>
  <c r="H44" i="22" s="1"/>
  <c r="Z12" i="22"/>
  <c r="Z20" i="22"/>
  <c r="Z34" i="22"/>
  <c r="Z15" i="23" l="1"/>
  <c r="Y17" i="23"/>
  <c r="P36" i="23"/>
  <c r="X17" i="23"/>
  <c r="T38" i="23"/>
  <c r="T40" i="23" s="1"/>
  <c r="V15" i="23"/>
  <c r="V17" i="23" s="1"/>
  <c r="V36" i="23" s="1"/>
  <c r="V40" i="23" s="1"/>
  <c r="R17" i="23"/>
  <c r="R36" i="23" s="1"/>
  <c r="R40" i="23" s="1"/>
  <c r="V36" i="22"/>
  <c r="V40" i="22" s="1"/>
  <c r="V42" i="22" s="1"/>
  <c r="V44" i="22" s="1"/>
  <c r="Z36" i="22"/>
  <c r="T38" i="22"/>
  <c r="T40" i="22" s="1"/>
  <c r="J42" i="22"/>
  <c r="J44" i="22" s="1"/>
  <c r="T42" i="23" l="1"/>
  <c r="T44" i="23"/>
  <c r="Z17" i="23"/>
  <c r="Z36" i="23" s="1"/>
  <c r="Y36" i="23"/>
  <c r="Y38" i="23" s="1"/>
  <c r="R42" i="23"/>
  <c r="R44" i="23" s="1"/>
  <c r="V42" i="23"/>
  <c r="V44" i="23" s="1"/>
  <c r="Y38" i="22"/>
  <c r="T42" i="22"/>
  <c r="T44" i="22" s="1"/>
  <c r="F39" i="20" l="1"/>
  <c r="B36" i="19" l="1"/>
  <c r="A41" i="19"/>
  <c r="B26" i="19"/>
  <c r="B24" i="19"/>
  <c r="C18" i="19"/>
  <c r="B18" i="19" s="1"/>
  <c r="D28" i="19"/>
  <c r="E28" i="19"/>
  <c r="F28" i="19"/>
  <c r="G28" i="19"/>
  <c r="H28" i="19"/>
  <c r="I28" i="19"/>
  <c r="J28" i="19"/>
  <c r="K28" i="19"/>
  <c r="L28" i="19"/>
  <c r="M28" i="19"/>
  <c r="N28" i="19"/>
  <c r="Q14" i="20" l="1"/>
  <c r="D32" i="20" l="1"/>
  <c r="D30" i="20"/>
  <c r="F30" i="20" s="1"/>
  <c r="D26" i="20"/>
  <c r="Q26" i="20" s="1"/>
  <c r="S26" i="20" s="1"/>
  <c r="D25" i="20"/>
  <c r="D24" i="20"/>
  <c r="D22" i="20"/>
  <c r="F22" i="20" s="1"/>
  <c r="D12" i="20"/>
  <c r="F12" i="20" s="1"/>
  <c r="D11" i="20"/>
  <c r="Q11" i="20" s="1"/>
  <c r="Q19" i="20" s="1"/>
  <c r="M33" i="20"/>
  <c r="Q32" i="20"/>
  <c r="S32" i="20" s="1"/>
  <c r="O32" i="20"/>
  <c r="F32" i="20"/>
  <c r="S30" i="20"/>
  <c r="O30" i="20"/>
  <c r="S29" i="20"/>
  <c r="O29" i="20"/>
  <c r="F29" i="20"/>
  <c r="S28" i="20"/>
  <c r="O28" i="20"/>
  <c r="F28" i="20"/>
  <c r="O26" i="20"/>
  <c r="S25" i="20"/>
  <c r="O25" i="20"/>
  <c r="F25" i="20"/>
  <c r="Q24" i="20"/>
  <c r="S24" i="20" s="1"/>
  <c r="O24" i="20"/>
  <c r="F24" i="20"/>
  <c r="S23" i="20"/>
  <c r="O23" i="20"/>
  <c r="F23" i="20"/>
  <c r="Q22" i="20"/>
  <c r="O22" i="20"/>
  <c r="O33" i="20" s="1"/>
  <c r="S18" i="20"/>
  <c r="O18" i="20"/>
  <c r="F18" i="20"/>
  <c r="S17" i="20"/>
  <c r="O17" i="20"/>
  <c r="F17" i="20"/>
  <c r="S15" i="20"/>
  <c r="O15" i="20"/>
  <c r="F15" i="20"/>
  <c r="S14" i="20"/>
  <c r="O14" i="20"/>
  <c r="M14" i="20"/>
  <c r="M19" i="20" s="1"/>
  <c r="M35" i="20" s="1"/>
  <c r="S13" i="20"/>
  <c r="O13" i="20"/>
  <c r="F13" i="20"/>
  <c r="S12" i="20"/>
  <c r="O12" i="20"/>
  <c r="O11" i="20"/>
  <c r="F11" i="20" l="1"/>
  <c r="O19" i="20"/>
  <c r="O35" i="20" s="1"/>
  <c r="O37" i="20" s="1"/>
  <c r="O39" i="20" s="1"/>
  <c r="D19" i="20"/>
  <c r="D35" i="20" s="1"/>
  <c r="F26" i="20"/>
  <c r="F33" i="20" s="1"/>
  <c r="D33" i="20"/>
  <c r="Q33" i="20"/>
  <c r="Q35" i="20" s="1"/>
  <c r="S22" i="20"/>
  <c r="S33" i="20" s="1"/>
  <c r="S11" i="20"/>
  <c r="S19" i="20" s="1"/>
  <c r="F14" i="20"/>
  <c r="F19" i="20" s="1"/>
  <c r="J17" i="1"/>
  <c r="L13" i="1"/>
  <c r="M13" i="1"/>
  <c r="N13" i="1"/>
  <c r="O13" i="1"/>
  <c r="P13" i="1"/>
  <c r="Q13" i="1"/>
  <c r="R13" i="1"/>
  <c r="S13" i="1"/>
  <c r="T13" i="1"/>
  <c r="U13" i="1"/>
  <c r="V13" i="1"/>
  <c r="K13" i="1"/>
  <c r="F35" i="20" l="1"/>
  <c r="F37" i="20" s="1"/>
  <c r="S35" i="20"/>
  <c r="L51" i="1"/>
  <c r="M51" i="1"/>
  <c r="N51" i="1"/>
  <c r="O51" i="1"/>
  <c r="P51" i="1"/>
  <c r="Q51" i="1"/>
  <c r="R51" i="1"/>
  <c r="S51" i="1"/>
  <c r="T51" i="1"/>
  <c r="U51" i="1"/>
  <c r="V51" i="1"/>
  <c r="K51" i="1"/>
  <c r="S37" i="20" l="1"/>
  <c r="S39" i="20" s="1"/>
  <c r="S41" i="20" s="1"/>
  <c r="S42" i="20" s="1"/>
  <c r="D34" i="17"/>
  <c r="N18" i="18"/>
  <c r="N19" i="18"/>
  <c r="E34" i="1" l="1"/>
  <c r="J89" i="1"/>
  <c r="L71" i="1"/>
  <c r="M71" i="1"/>
  <c r="N71" i="1"/>
  <c r="O71" i="1"/>
  <c r="P71" i="1"/>
  <c r="Q71" i="1"/>
  <c r="R71" i="1"/>
  <c r="S71" i="1"/>
  <c r="T71" i="1"/>
  <c r="U71" i="1"/>
  <c r="V71" i="1"/>
  <c r="K71" i="1"/>
  <c r="L65" i="1"/>
  <c r="M65" i="1"/>
  <c r="N65" i="1"/>
  <c r="O65" i="1"/>
  <c r="P65" i="1"/>
  <c r="Q65" i="1"/>
  <c r="R65" i="1"/>
  <c r="S65" i="1"/>
  <c r="T65" i="1"/>
  <c r="U65" i="1"/>
  <c r="V65" i="1"/>
  <c r="K65" i="1"/>
  <c r="L52" i="1" l="1"/>
  <c r="M52" i="1"/>
  <c r="N52" i="1"/>
  <c r="O52" i="1"/>
  <c r="P52" i="1"/>
  <c r="Q52" i="1"/>
  <c r="R52" i="1"/>
  <c r="S52" i="1"/>
  <c r="T52" i="1"/>
  <c r="U52" i="1"/>
  <c r="V52" i="1"/>
  <c r="K52" i="1"/>
  <c r="L53" i="1"/>
  <c r="M53" i="1"/>
  <c r="N53" i="1"/>
  <c r="O53" i="1"/>
  <c r="P53" i="1"/>
  <c r="Q53" i="1"/>
  <c r="R53" i="1"/>
  <c r="S53" i="1"/>
  <c r="T53" i="1"/>
  <c r="U53" i="1"/>
  <c r="V53" i="1"/>
  <c r="K53" i="1"/>
  <c r="L31" i="1" l="1"/>
  <c r="M31" i="1"/>
  <c r="N31" i="1"/>
  <c r="O31" i="1"/>
  <c r="P31" i="1"/>
  <c r="Q31" i="1"/>
  <c r="R31" i="1"/>
  <c r="S31" i="1"/>
  <c r="T31" i="1"/>
  <c r="U31" i="1"/>
  <c r="V31" i="1"/>
  <c r="K31" i="1"/>
  <c r="E89" i="1" l="1"/>
  <c r="E19" i="17"/>
  <c r="F19" i="17"/>
  <c r="G19" i="17"/>
  <c r="H19" i="17"/>
  <c r="I19" i="17"/>
  <c r="J19" i="17"/>
  <c r="K19" i="17"/>
  <c r="L19" i="17"/>
  <c r="M19" i="17"/>
  <c r="N19" i="17"/>
  <c r="O19" i="17"/>
  <c r="D19" i="17"/>
  <c r="E33" i="1" l="1"/>
  <c r="D65" i="1" l="1"/>
  <c r="D10" i="1" l="1"/>
  <c r="L100" i="1" l="1"/>
  <c r="M100" i="1"/>
  <c r="N100" i="1"/>
  <c r="O100" i="1"/>
  <c r="P100" i="1"/>
  <c r="Q100" i="1"/>
  <c r="R100" i="1"/>
  <c r="S100" i="1"/>
  <c r="T100" i="1"/>
  <c r="U100" i="1"/>
  <c r="V100" i="1"/>
  <c r="K100" i="1"/>
  <c r="L76" i="1"/>
  <c r="M76" i="1"/>
  <c r="N76" i="1"/>
  <c r="O76" i="1"/>
  <c r="P76" i="1"/>
  <c r="Q76" i="1"/>
  <c r="R76" i="1"/>
  <c r="S76" i="1"/>
  <c r="T76" i="1"/>
  <c r="U76" i="1"/>
  <c r="V76" i="1"/>
  <c r="K76" i="1"/>
  <c r="J76" i="1" l="1"/>
  <c r="J100" i="1"/>
  <c r="C19" i="17"/>
  <c r="E20" i="17"/>
  <c r="E21" i="17" s="1"/>
  <c r="L88" i="1" s="1"/>
  <c r="F20" i="17"/>
  <c r="F21" i="17" s="1"/>
  <c r="M88" i="1" s="1"/>
  <c r="G20" i="17"/>
  <c r="G21" i="17" s="1"/>
  <c r="N88" i="1" s="1"/>
  <c r="H20" i="17"/>
  <c r="H21" i="17" s="1"/>
  <c r="O88" i="1" s="1"/>
  <c r="I20" i="17"/>
  <c r="I21" i="17" s="1"/>
  <c r="P88" i="1" s="1"/>
  <c r="J20" i="17"/>
  <c r="J21" i="17" s="1"/>
  <c r="Q88" i="1" s="1"/>
  <c r="K20" i="17"/>
  <c r="K21" i="17" s="1"/>
  <c r="R88" i="1" s="1"/>
  <c r="L20" i="17"/>
  <c r="L21" i="17" s="1"/>
  <c r="S88" i="1" s="1"/>
  <c r="M20" i="17"/>
  <c r="M21" i="17" s="1"/>
  <c r="T88" i="1" s="1"/>
  <c r="N20" i="17"/>
  <c r="N21" i="17" s="1"/>
  <c r="U88" i="1" s="1"/>
  <c r="O20" i="17"/>
  <c r="O21" i="17" s="1"/>
  <c r="V88" i="1" s="1"/>
  <c r="D20" i="17"/>
  <c r="D21" i="17" s="1"/>
  <c r="K88" i="1" s="1"/>
  <c r="C11" i="17"/>
  <c r="C21" i="17" l="1"/>
  <c r="F88" i="1" s="1"/>
  <c r="L37" i="1" l="1"/>
  <c r="M37" i="1"/>
  <c r="N37" i="1"/>
  <c r="O37" i="1"/>
  <c r="P37" i="1"/>
  <c r="Q37" i="1"/>
  <c r="R37" i="1"/>
  <c r="S37" i="1"/>
  <c r="T37" i="1"/>
  <c r="U37" i="1"/>
  <c r="V37" i="1"/>
  <c r="K37" i="1"/>
  <c r="J37" i="1" l="1"/>
  <c r="L70" i="1" l="1"/>
  <c r="M70" i="1"/>
  <c r="N70" i="1"/>
  <c r="O70" i="1"/>
  <c r="P70" i="1"/>
  <c r="Q70" i="1"/>
  <c r="R70" i="1"/>
  <c r="S70" i="1"/>
  <c r="T70" i="1"/>
  <c r="U70" i="1"/>
  <c r="V70" i="1"/>
  <c r="K70" i="1"/>
  <c r="L64" i="1" l="1"/>
  <c r="M64" i="1"/>
  <c r="N64" i="1"/>
  <c r="O64" i="1"/>
  <c r="P64" i="1"/>
  <c r="Q64" i="1"/>
  <c r="R64" i="1"/>
  <c r="S64" i="1"/>
  <c r="T64" i="1"/>
  <c r="U64" i="1"/>
  <c r="V64" i="1"/>
  <c r="K64" i="1"/>
  <c r="L50" i="1" l="1"/>
  <c r="M50" i="1"/>
  <c r="N50" i="1"/>
  <c r="O50" i="1"/>
  <c r="P50" i="1"/>
  <c r="Q50" i="1"/>
  <c r="R50" i="1"/>
  <c r="S50" i="1"/>
  <c r="T50" i="1"/>
  <c r="U50" i="1"/>
  <c r="V50" i="1"/>
  <c r="K50" i="1"/>
  <c r="L41" i="1"/>
  <c r="M41" i="1"/>
  <c r="N41" i="1"/>
  <c r="O41" i="1"/>
  <c r="P41" i="1"/>
  <c r="Q41" i="1"/>
  <c r="R41" i="1"/>
  <c r="S41" i="1"/>
  <c r="T41" i="1"/>
  <c r="U41" i="1"/>
  <c r="V41" i="1"/>
  <c r="K41" i="1"/>
  <c r="J24" i="1"/>
  <c r="J25" i="1"/>
  <c r="J26" i="1"/>
  <c r="J27" i="1"/>
  <c r="E52" i="1" l="1"/>
  <c r="E26" i="17" l="1"/>
  <c r="F26" i="17"/>
  <c r="G26" i="17"/>
  <c r="H26" i="17"/>
  <c r="I26" i="17"/>
  <c r="J26" i="17"/>
  <c r="K26" i="17"/>
  <c r="L26" i="17"/>
  <c r="M26" i="17"/>
  <c r="N26" i="17"/>
  <c r="O26" i="17"/>
  <c r="D26" i="17"/>
  <c r="C10" i="17"/>
  <c r="E15" i="17" l="1"/>
  <c r="E16" i="17" s="1"/>
  <c r="F15" i="17"/>
  <c r="F16" i="17" s="1"/>
  <c r="G15" i="17"/>
  <c r="G16" i="17" s="1"/>
  <c r="M15" i="17"/>
  <c r="M16" i="17" s="1"/>
  <c r="N15" i="17"/>
  <c r="N16" i="17" s="1"/>
  <c r="E33" i="17" l="1"/>
  <c r="E56" i="17" s="1"/>
  <c r="F33" i="17"/>
  <c r="F56" i="17" s="1"/>
  <c r="G33" i="17"/>
  <c r="G56" i="17" s="1"/>
  <c r="H33" i="17"/>
  <c r="H56" i="17" s="1"/>
  <c r="I33" i="17"/>
  <c r="I56" i="17" s="1"/>
  <c r="J33" i="17"/>
  <c r="J56" i="17" s="1"/>
  <c r="K33" i="17"/>
  <c r="K56" i="17" s="1"/>
  <c r="L33" i="17"/>
  <c r="L56" i="17" s="1"/>
  <c r="M33" i="17"/>
  <c r="M56" i="17" s="1"/>
  <c r="N33" i="17"/>
  <c r="N56" i="17" s="1"/>
  <c r="O33" i="17"/>
  <c r="O56" i="17" s="1"/>
  <c r="D33" i="17"/>
  <c r="D56" i="17" s="1"/>
  <c r="E95" i="1" l="1"/>
  <c r="E32" i="1"/>
  <c r="E35" i="1"/>
  <c r="E27" i="1" l="1"/>
  <c r="E24" i="1" l="1"/>
  <c r="E24" i="17" l="1"/>
  <c r="F24" i="17"/>
  <c r="G24" i="17"/>
  <c r="H24" i="17"/>
  <c r="I24" i="17"/>
  <c r="J24" i="17"/>
  <c r="K24" i="17"/>
  <c r="L24" i="17"/>
  <c r="M24" i="17"/>
  <c r="N24" i="17"/>
  <c r="O24" i="17"/>
  <c r="D24" i="17"/>
  <c r="D32" i="19"/>
  <c r="E32" i="19"/>
  <c r="F32" i="19"/>
  <c r="G32" i="19"/>
  <c r="H32" i="19"/>
  <c r="I32" i="19"/>
  <c r="J32" i="19"/>
  <c r="K32" i="19"/>
  <c r="L32" i="19"/>
  <c r="M32" i="19"/>
  <c r="N32" i="19"/>
  <c r="C32" i="19"/>
  <c r="L94" i="1" l="1"/>
  <c r="M94" i="1"/>
  <c r="N94" i="1"/>
  <c r="O94" i="1"/>
  <c r="P94" i="1"/>
  <c r="Q94" i="1"/>
  <c r="R94" i="1"/>
  <c r="S94" i="1"/>
  <c r="T94" i="1"/>
  <c r="U94" i="1"/>
  <c r="V94" i="1"/>
  <c r="K94" i="1"/>
  <c r="D24" i="19" l="1"/>
  <c r="E24" i="19"/>
  <c r="F24" i="19"/>
  <c r="G24" i="19"/>
  <c r="H24" i="19"/>
  <c r="I24" i="19"/>
  <c r="J24" i="19"/>
  <c r="K24" i="19"/>
  <c r="L24" i="19"/>
  <c r="M24" i="19"/>
  <c r="N24" i="19"/>
  <c r="C24" i="19"/>
  <c r="J12" i="1" l="1"/>
  <c r="V20" i="1"/>
  <c r="U20" i="1"/>
  <c r="T20" i="1"/>
  <c r="S20" i="1"/>
  <c r="R20" i="1"/>
  <c r="Q20" i="1"/>
  <c r="P20" i="1"/>
  <c r="O20" i="1"/>
  <c r="N20" i="1"/>
  <c r="M20" i="1"/>
  <c r="L20" i="1"/>
  <c r="K20" i="1"/>
  <c r="E53" i="1" l="1"/>
  <c r="E12" i="1"/>
  <c r="J51" i="1" l="1"/>
  <c r="J14" i="1"/>
  <c r="E51" i="1"/>
  <c r="J83" i="1"/>
  <c r="E83" i="1"/>
  <c r="A9" i="1"/>
  <c r="A10" i="1" s="1"/>
  <c r="A11" i="1" s="1"/>
  <c r="A12" i="1" s="1"/>
  <c r="D33" i="16"/>
  <c r="K18" i="1" s="1"/>
  <c r="E33" i="16"/>
  <c r="L18" i="1" s="1"/>
  <c r="F33" i="16"/>
  <c r="M18" i="1" s="1"/>
  <c r="G33" i="16"/>
  <c r="N18" i="1" s="1"/>
  <c r="H33" i="16"/>
  <c r="O18" i="1" s="1"/>
  <c r="I33" i="16"/>
  <c r="P18" i="1" s="1"/>
  <c r="J33" i="16"/>
  <c r="Q18" i="1" s="1"/>
  <c r="K33" i="16"/>
  <c r="R18" i="1" s="1"/>
  <c r="L33" i="16"/>
  <c r="S18" i="1" s="1"/>
  <c r="M33" i="16"/>
  <c r="T18" i="1" s="1"/>
  <c r="N33" i="16"/>
  <c r="U18" i="1" s="1"/>
  <c r="O33" i="16"/>
  <c r="V18" i="1" s="1"/>
  <c r="D91" i="1"/>
  <c r="E14" i="1"/>
  <c r="E36" i="17"/>
  <c r="D6" i="17"/>
  <c r="D15" i="17" s="1"/>
  <c r="D16" i="17" s="1"/>
  <c r="K85" i="1" s="1"/>
  <c r="H6" i="17"/>
  <c r="H15" i="17" s="1"/>
  <c r="I6" i="17"/>
  <c r="I15" i="17" s="1"/>
  <c r="I16" i="17" s="1"/>
  <c r="P85" i="1" s="1"/>
  <c r="J6" i="17"/>
  <c r="J15" i="17" s="1"/>
  <c r="K6" i="17"/>
  <c r="K15" i="17" s="1"/>
  <c r="K16" i="17" s="1"/>
  <c r="R85" i="1" s="1"/>
  <c r="L6" i="17"/>
  <c r="L15" i="17" s="1"/>
  <c r="O6" i="17"/>
  <c r="O15" i="17" s="1"/>
  <c r="O16" i="17" s="1"/>
  <c r="V85" i="1" s="1"/>
  <c r="E48" i="17"/>
  <c r="F36" i="17"/>
  <c r="G36" i="17"/>
  <c r="H36" i="17"/>
  <c r="I36" i="17"/>
  <c r="J36" i="17"/>
  <c r="K36" i="17"/>
  <c r="L36" i="17"/>
  <c r="M36" i="17"/>
  <c r="N36" i="17"/>
  <c r="O36" i="17"/>
  <c r="D36" i="17"/>
  <c r="L73" i="1"/>
  <c r="D20" i="19" s="1"/>
  <c r="M73" i="1"/>
  <c r="E20" i="19" s="1"/>
  <c r="N73" i="1"/>
  <c r="F20" i="19" s="1"/>
  <c r="O73" i="1"/>
  <c r="G20" i="19" s="1"/>
  <c r="P73" i="1"/>
  <c r="H20" i="19" s="1"/>
  <c r="Q73" i="1"/>
  <c r="I20" i="19" s="1"/>
  <c r="R73" i="1"/>
  <c r="J20" i="19" s="1"/>
  <c r="S73" i="1"/>
  <c r="K20" i="19" s="1"/>
  <c r="T73" i="1"/>
  <c r="L20" i="19" s="1"/>
  <c r="U73" i="1"/>
  <c r="M20" i="19" s="1"/>
  <c r="V73" i="1"/>
  <c r="N20" i="19" s="1"/>
  <c r="K73" i="1"/>
  <c r="C20" i="19" s="1"/>
  <c r="B22" i="19"/>
  <c r="J90" i="1"/>
  <c r="J82" i="1"/>
  <c r="J19" i="1"/>
  <c r="J11" i="1"/>
  <c r="E35" i="16"/>
  <c r="L49" i="1" s="1"/>
  <c r="F35" i="16"/>
  <c r="M49" i="1" s="1"/>
  <c r="G35" i="16"/>
  <c r="N49" i="1" s="1"/>
  <c r="H35" i="16"/>
  <c r="O49" i="1" s="1"/>
  <c r="I35" i="16"/>
  <c r="P49" i="1" s="1"/>
  <c r="J35" i="16"/>
  <c r="Q49" i="1" s="1"/>
  <c r="K35" i="16"/>
  <c r="R49" i="1" s="1"/>
  <c r="L35" i="16"/>
  <c r="S49" i="1" s="1"/>
  <c r="M35" i="16"/>
  <c r="T49" i="1" s="1"/>
  <c r="N35" i="16"/>
  <c r="U49" i="1" s="1"/>
  <c r="O35" i="16"/>
  <c r="V49" i="1" s="1"/>
  <c r="D35" i="16"/>
  <c r="K49" i="1" s="1"/>
  <c r="J50" i="1"/>
  <c r="C29" i="17"/>
  <c r="C28" i="17"/>
  <c r="E11" i="1"/>
  <c r="D23" i="16"/>
  <c r="K42" i="1" s="1"/>
  <c r="D27" i="16"/>
  <c r="D31" i="16"/>
  <c r="K47" i="1" s="1"/>
  <c r="D39" i="16"/>
  <c r="D43" i="16"/>
  <c r="K57" i="1" s="1"/>
  <c r="D47" i="16"/>
  <c r="K54" i="1" s="1"/>
  <c r="D51" i="16"/>
  <c r="K55" i="1" s="1"/>
  <c r="E23" i="16"/>
  <c r="L42" i="1" s="1"/>
  <c r="E27" i="16"/>
  <c r="L40" i="1" s="1"/>
  <c r="E31" i="16"/>
  <c r="L47" i="1" s="1"/>
  <c r="E39" i="16"/>
  <c r="L56" i="1" s="1"/>
  <c r="E43" i="16"/>
  <c r="L57" i="1" s="1"/>
  <c r="E47" i="16"/>
  <c r="L54" i="1" s="1"/>
  <c r="E51" i="16"/>
  <c r="L55" i="1" s="1"/>
  <c r="F23" i="16"/>
  <c r="M42" i="1" s="1"/>
  <c r="F27" i="16"/>
  <c r="F31" i="16"/>
  <c r="M47" i="1" s="1"/>
  <c r="F39" i="16"/>
  <c r="F43" i="16"/>
  <c r="M57" i="1" s="1"/>
  <c r="F47" i="16"/>
  <c r="M54" i="1" s="1"/>
  <c r="F51" i="16"/>
  <c r="M55" i="1" s="1"/>
  <c r="G23" i="16"/>
  <c r="G27" i="16"/>
  <c r="N40" i="1" s="1"/>
  <c r="G31" i="16"/>
  <c r="G39" i="16"/>
  <c r="N56" i="1" s="1"/>
  <c r="G43" i="16"/>
  <c r="G47" i="16"/>
  <c r="N54" i="1" s="1"/>
  <c r="G51" i="16"/>
  <c r="N55" i="1" s="1"/>
  <c r="H23" i="16"/>
  <c r="O42" i="1" s="1"/>
  <c r="H27" i="16"/>
  <c r="O40" i="1" s="1"/>
  <c r="H31" i="16"/>
  <c r="O47" i="1" s="1"/>
  <c r="H39" i="16"/>
  <c r="O56" i="1" s="1"/>
  <c r="H43" i="16"/>
  <c r="O57" i="1" s="1"/>
  <c r="H47" i="16"/>
  <c r="O54" i="1" s="1"/>
  <c r="H51" i="16"/>
  <c r="O55" i="1" s="1"/>
  <c r="I23" i="16"/>
  <c r="P42" i="1" s="1"/>
  <c r="I27" i="16"/>
  <c r="P40" i="1" s="1"/>
  <c r="I31" i="16"/>
  <c r="I39" i="16"/>
  <c r="P56" i="1" s="1"/>
  <c r="I43" i="16"/>
  <c r="I47" i="16"/>
  <c r="P54" i="1" s="1"/>
  <c r="I51" i="16"/>
  <c r="P55" i="1" s="1"/>
  <c r="J23" i="16"/>
  <c r="Q42" i="1" s="1"/>
  <c r="J27" i="16"/>
  <c r="Q40" i="1" s="1"/>
  <c r="J31" i="16"/>
  <c r="Q47" i="1" s="1"/>
  <c r="J39" i="16"/>
  <c r="Q56" i="1" s="1"/>
  <c r="J43" i="16"/>
  <c r="Q57" i="1" s="1"/>
  <c r="J47" i="16"/>
  <c r="Q54" i="1" s="1"/>
  <c r="J51" i="16"/>
  <c r="Q55" i="1" s="1"/>
  <c r="L23" i="16"/>
  <c r="S42" i="1" s="1"/>
  <c r="L27" i="16"/>
  <c r="S40" i="1" s="1"/>
  <c r="L31" i="16"/>
  <c r="L39" i="16"/>
  <c r="L43" i="16"/>
  <c r="L47" i="16"/>
  <c r="L51" i="16"/>
  <c r="M23" i="16"/>
  <c r="T42" i="1" s="1"/>
  <c r="M27" i="16"/>
  <c r="M31" i="16"/>
  <c r="T47" i="1" s="1"/>
  <c r="M39" i="16"/>
  <c r="T56" i="1" s="1"/>
  <c r="M43" i="16"/>
  <c r="T57" i="1" s="1"/>
  <c r="M47" i="16"/>
  <c r="T54" i="1" s="1"/>
  <c r="M51" i="16"/>
  <c r="T55" i="1" s="1"/>
  <c r="N23" i="16"/>
  <c r="U42" i="1" s="1"/>
  <c r="N27" i="16"/>
  <c r="U40" i="1" s="1"/>
  <c r="N31" i="16"/>
  <c r="N39" i="16"/>
  <c r="U56" i="1" s="1"/>
  <c r="N43" i="16"/>
  <c r="N47" i="16"/>
  <c r="U54" i="1" s="1"/>
  <c r="N51" i="16"/>
  <c r="U55" i="1" s="1"/>
  <c r="O23" i="16"/>
  <c r="O27" i="16"/>
  <c r="V40" i="1" s="1"/>
  <c r="O31" i="16"/>
  <c r="V47" i="1" s="1"/>
  <c r="O39" i="16"/>
  <c r="O43" i="16"/>
  <c r="V57" i="1" s="1"/>
  <c r="O47" i="16"/>
  <c r="V54" i="1" s="1"/>
  <c r="O51" i="16"/>
  <c r="V55" i="1" s="1"/>
  <c r="K23" i="16"/>
  <c r="R42" i="1" s="1"/>
  <c r="K27" i="16"/>
  <c r="R40" i="1" s="1"/>
  <c r="K31" i="16"/>
  <c r="K39" i="16"/>
  <c r="R56" i="1" s="1"/>
  <c r="K43" i="16"/>
  <c r="K47" i="16"/>
  <c r="R54" i="1" s="1"/>
  <c r="K51" i="16"/>
  <c r="E17" i="1"/>
  <c r="E50" i="1"/>
  <c r="K34" i="16"/>
  <c r="E44" i="17"/>
  <c r="F44" i="17"/>
  <c r="G44" i="17"/>
  <c r="H44" i="17"/>
  <c r="I44" i="17"/>
  <c r="J44" i="17"/>
  <c r="K44" i="17"/>
  <c r="L44" i="17"/>
  <c r="M44" i="17"/>
  <c r="N44" i="17"/>
  <c r="O44" i="17"/>
  <c r="D44" i="17"/>
  <c r="B34" i="19"/>
  <c r="D21" i="16"/>
  <c r="E21" i="16"/>
  <c r="E22" i="16" s="1"/>
  <c r="F21" i="16"/>
  <c r="G21" i="16"/>
  <c r="H21" i="16"/>
  <c r="I21" i="16"/>
  <c r="I22" i="16" s="1"/>
  <c r="J21" i="16"/>
  <c r="K21" i="16"/>
  <c r="L21" i="16"/>
  <c r="M21" i="16"/>
  <c r="N21" i="16"/>
  <c r="O21" i="16"/>
  <c r="E82" i="1"/>
  <c r="E10" i="1"/>
  <c r="E90" i="1"/>
  <c r="D13" i="16"/>
  <c r="K9" i="1" s="1"/>
  <c r="K40" i="1"/>
  <c r="K43" i="1"/>
  <c r="K56" i="1"/>
  <c r="K48" i="1"/>
  <c r="D9" i="16"/>
  <c r="K81" i="1" s="1"/>
  <c r="K86" i="1"/>
  <c r="K87" i="1"/>
  <c r="E13" i="16"/>
  <c r="L9" i="1" s="1"/>
  <c r="L43" i="1"/>
  <c r="L48" i="1"/>
  <c r="E9" i="16"/>
  <c r="L81" i="1" s="1"/>
  <c r="L85" i="1"/>
  <c r="L86" i="1"/>
  <c r="L87" i="1"/>
  <c r="F13" i="16"/>
  <c r="M9" i="1" s="1"/>
  <c r="M40" i="1"/>
  <c r="M43" i="1"/>
  <c r="M56" i="1"/>
  <c r="M48" i="1"/>
  <c r="F9" i="16"/>
  <c r="M81" i="1" s="1"/>
  <c r="M85" i="1"/>
  <c r="M86" i="1"/>
  <c r="M87" i="1"/>
  <c r="G13" i="16"/>
  <c r="N9" i="1" s="1"/>
  <c r="N42" i="1"/>
  <c r="N43" i="1"/>
  <c r="N47" i="1"/>
  <c r="N57" i="1"/>
  <c r="N48" i="1"/>
  <c r="G9" i="16"/>
  <c r="N81" i="1" s="1"/>
  <c r="N85" i="1"/>
  <c r="N86" i="1"/>
  <c r="N87" i="1"/>
  <c r="H13" i="16"/>
  <c r="O9" i="1" s="1"/>
  <c r="O43" i="1"/>
  <c r="O48" i="1"/>
  <c r="H9" i="16"/>
  <c r="O81" i="1" s="1"/>
  <c r="O86" i="1"/>
  <c r="O87" i="1"/>
  <c r="I13" i="16"/>
  <c r="P9" i="1" s="1"/>
  <c r="P43" i="1"/>
  <c r="P47" i="1"/>
  <c r="P57" i="1"/>
  <c r="P48" i="1"/>
  <c r="I9" i="16"/>
  <c r="P81" i="1" s="1"/>
  <c r="P86" i="1"/>
  <c r="P87" i="1"/>
  <c r="J13" i="16"/>
  <c r="Q9" i="1" s="1"/>
  <c r="Q43" i="1"/>
  <c r="Q48" i="1"/>
  <c r="J9" i="16"/>
  <c r="Q81" i="1" s="1"/>
  <c r="Q86" i="1"/>
  <c r="Q87" i="1"/>
  <c r="K13" i="16"/>
  <c r="R9" i="1" s="1"/>
  <c r="R43" i="1"/>
  <c r="R47" i="1"/>
  <c r="R55" i="1"/>
  <c r="R57" i="1"/>
  <c r="R48" i="1"/>
  <c r="K9" i="16"/>
  <c r="R81" i="1" s="1"/>
  <c r="R86" i="1"/>
  <c r="R87" i="1"/>
  <c r="L13" i="16"/>
  <c r="S9" i="1" s="1"/>
  <c r="S43" i="1"/>
  <c r="S47" i="1"/>
  <c r="S54" i="1"/>
  <c r="S55" i="1"/>
  <c r="S56" i="1"/>
  <c r="S57" i="1"/>
  <c r="S48" i="1"/>
  <c r="L9" i="16"/>
  <c r="S81" i="1" s="1"/>
  <c r="S86" i="1"/>
  <c r="S87" i="1"/>
  <c r="M13" i="16"/>
  <c r="T9" i="1" s="1"/>
  <c r="T40" i="1"/>
  <c r="T43" i="1"/>
  <c r="T48" i="1"/>
  <c r="M9" i="16"/>
  <c r="T81" i="1" s="1"/>
  <c r="T85" i="1"/>
  <c r="T86" i="1"/>
  <c r="T87" i="1"/>
  <c r="N13" i="16"/>
  <c r="U9" i="1" s="1"/>
  <c r="U43" i="1"/>
  <c r="U47" i="1"/>
  <c r="U57" i="1"/>
  <c r="U48" i="1"/>
  <c r="N9" i="16"/>
  <c r="U81" i="1" s="1"/>
  <c r="U85" i="1"/>
  <c r="U86" i="1"/>
  <c r="U87" i="1"/>
  <c r="O13" i="16"/>
  <c r="V9" i="1" s="1"/>
  <c r="V43" i="1"/>
  <c r="V56" i="1"/>
  <c r="V48" i="1"/>
  <c r="O9" i="16"/>
  <c r="V81" i="1" s="1"/>
  <c r="V86" i="1"/>
  <c r="V87" i="1"/>
  <c r="F37" i="1"/>
  <c r="F73" i="1"/>
  <c r="F97" i="1"/>
  <c r="D28" i="1"/>
  <c r="D37" i="1"/>
  <c r="D44" i="1"/>
  <c r="D58" i="1"/>
  <c r="D73" i="1"/>
  <c r="D97" i="1"/>
  <c r="J36" i="1"/>
  <c r="J31" i="1"/>
  <c r="E26" i="1"/>
  <c r="E94" i="1"/>
  <c r="J65" i="1"/>
  <c r="J66" i="1"/>
  <c r="J67" i="1"/>
  <c r="J68" i="1"/>
  <c r="J69" i="1"/>
  <c r="J70" i="1"/>
  <c r="J71" i="1"/>
  <c r="J72" i="1"/>
  <c r="J64" i="1"/>
  <c r="J88" i="1"/>
  <c r="E88" i="1"/>
  <c r="J16" i="1"/>
  <c r="E70" i="1"/>
  <c r="E16" i="1"/>
  <c r="J13" i="1"/>
  <c r="J20" i="1"/>
  <c r="J21" i="1"/>
  <c r="J22" i="1"/>
  <c r="J41" i="1"/>
  <c r="E48" i="1"/>
  <c r="E68" i="1"/>
  <c r="E69" i="1"/>
  <c r="E64" i="1"/>
  <c r="E65" i="1"/>
  <c r="E66" i="1"/>
  <c r="E67" i="1"/>
  <c r="E71" i="1"/>
  <c r="E72" i="1"/>
  <c r="E25" i="1"/>
  <c r="E22" i="1"/>
  <c r="E43" i="1"/>
  <c r="E13" i="1"/>
  <c r="E19" i="1"/>
  <c r="E20" i="1"/>
  <c r="E21" i="1"/>
  <c r="E23" i="1"/>
  <c r="E36" i="1"/>
  <c r="E76" i="1"/>
  <c r="E84" i="1"/>
  <c r="E86" i="1"/>
  <c r="E87" i="1"/>
  <c r="E96" i="1"/>
  <c r="E100" i="1"/>
  <c r="E41" i="1"/>
  <c r="E31" i="1"/>
  <c r="N32" i="18"/>
  <c r="N33" i="18"/>
  <c r="N6" i="18"/>
  <c r="N7" i="18"/>
  <c r="O7" i="18" s="1"/>
  <c r="N8" i="18"/>
  <c r="O8" i="18" s="1"/>
  <c r="N9" i="18"/>
  <c r="O9" i="18" s="1"/>
  <c r="N11" i="18"/>
  <c r="O11" i="18" s="1"/>
  <c r="N12" i="18"/>
  <c r="O12" i="18" s="1"/>
  <c r="N5" i="18"/>
  <c r="O5" i="18" s="1"/>
  <c r="N29" i="18"/>
  <c r="N28" i="18"/>
  <c r="O19" i="18"/>
  <c r="N20" i="18"/>
  <c r="O20" i="18" s="1"/>
  <c r="N21" i="18"/>
  <c r="O21" i="18" s="1"/>
  <c r="N23" i="18"/>
  <c r="N24" i="18"/>
  <c r="N17" i="18"/>
  <c r="P7" i="18"/>
  <c r="N30" i="18"/>
  <c r="O30" i="18" s="1"/>
  <c r="N15" i="18"/>
  <c r="O6" i="18"/>
  <c r="E29" i="16"/>
  <c r="E30" i="16" s="1"/>
  <c r="F29" i="16"/>
  <c r="G29" i="16"/>
  <c r="G30" i="16" s="1"/>
  <c r="H29" i="16"/>
  <c r="I29" i="16"/>
  <c r="J29" i="16"/>
  <c r="K29" i="16"/>
  <c r="K30" i="16" s="1"/>
  <c r="L29" i="16"/>
  <c r="L30" i="16" s="1"/>
  <c r="M29" i="16"/>
  <c r="N29" i="16"/>
  <c r="O29" i="16"/>
  <c r="D29" i="16"/>
  <c r="E10" i="16"/>
  <c r="E11" i="16" s="1"/>
  <c r="F10" i="16"/>
  <c r="G10" i="16"/>
  <c r="G11" i="16" s="1"/>
  <c r="H10" i="16"/>
  <c r="I10" i="16"/>
  <c r="I11" i="16" s="1"/>
  <c r="J10" i="16"/>
  <c r="K10" i="16"/>
  <c r="L10" i="16"/>
  <c r="M10" i="16"/>
  <c r="M11" i="16" s="1"/>
  <c r="N10" i="16"/>
  <c r="O10" i="16"/>
  <c r="F11" i="16"/>
  <c r="E14" i="16"/>
  <c r="E16" i="16" s="1"/>
  <c r="F14" i="16"/>
  <c r="G14" i="16"/>
  <c r="G16" i="16" s="1"/>
  <c r="H14" i="16"/>
  <c r="H17" i="16" s="1"/>
  <c r="H18" i="16" s="1"/>
  <c r="I14" i="16"/>
  <c r="J14" i="16"/>
  <c r="K14" i="16"/>
  <c r="K16" i="16" s="1"/>
  <c r="L14" i="16"/>
  <c r="M14" i="16"/>
  <c r="M16" i="16" s="1"/>
  <c r="N14" i="16"/>
  <c r="O14" i="16"/>
  <c r="O16" i="16" s="1"/>
  <c r="D14" i="16"/>
  <c r="D10" i="16"/>
  <c r="D12" i="16" s="1"/>
  <c r="D37" i="16"/>
  <c r="D38" i="16" s="1"/>
  <c r="E37" i="16"/>
  <c r="E38" i="16" s="1"/>
  <c r="F37" i="16"/>
  <c r="G37" i="16"/>
  <c r="G38" i="16" s="1"/>
  <c r="H37" i="16"/>
  <c r="H38" i="16" s="1"/>
  <c r="I37" i="16"/>
  <c r="I38" i="16" s="1"/>
  <c r="J37" i="16"/>
  <c r="K37" i="16"/>
  <c r="K38" i="16" s="1"/>
  <c r="L37" i="16"/>
  <c r="M37" i="16"/>
  <c r="M38" i="16" s="1"/>
  <c r="N37" i="16"/>
  <c r="O37" i="16"/>
  <c r="O38" i="16" s="1"/>
  <c r="D41" i="16"/>
  <c r="E41" i="16"/>
  <c r="E42" i="16" s="1"/>
  <c r="F41" i="16"/>
  <c r="G41" i="16"/>
  <c r="G42" i="16" s="1"/>
  <c r="H41" i="16"/>
  <c r="I41" i="16"/>
  <c r="I42" i="16" s="1"/>
  <c r="J41" i="16"/>
  <c r="K41" i="16"/>
  <c r="K42" i="16" s="1"/>
  <c r="L41" i="16"/>
  <c r="L42" i="16" s="1"/>
  <c r="M41" i="16"/>
  <c r="M42" i="16" s="1"/>
  <c r="N41" i="16"/>
  <c r="O41" i="16"/>
  <c r="O42" i="16" s="1"/>
  <c r="D45" i="16"/>
  <c r="D46" i="16" s="1"/>
  <c r="E45" i="16"/>
  <c r="E46" i="16" s="1"/>
  <c r="F45" i="16"/>
  <c r="G45" i="16"/>
  <c r="G46" i="16" s="1"/>
  <c r="H45" i="16"/>
  <c r="H46" i="16" s="1"/>
  <c r="I45" i="16"/>
  <c r="I46" i="16" s="1"/>
  <c r="J45" i="16"/>
  <c r="K45" i="16"/>
  <c r="K46" i="16" s="1"/>
  <c r="L45" i="16"/>
  <c r="M45" i="16"/>
  <c r="N45" i="16"/>
  <c r="O45" i="16"/>
  <c r="D49" i="16"/>
  <c r="E49" i="16"/>
  <c r="E50" i="16" s="1"/>
  <c r="F49" i="16"/>
  <c r="F50" i="16" s="1"/>
  <c r="G49" i="16"/>
  <c r="G50" i="16" s="1"/>
  <c r="H49" i="16"/>
  <c r="I49" i="16"/>
  <c r="I50" i="16" s="1"/>
  <c r="J49" i="16"/>
  <c r="K49" i="16"/>
  <c r="K50" i="16" s="1"/>
  <c r="L49" i="16"/>
  <c r="L50" i="16" s="1"/>
  <c r="M49" i="16"/>
  <c r="M50" i="16" s="1"/>
  <c r="N49" i="16"/>
  <c r="O49" i="16"/>
  <c r="O50" i="16" s="1"/>
  <c r="D25" i="16"/>
  <c r="E25" i="16"/>
  <c r="F25" i="16"/>
  <c r="F26" i="16" s="1"/>
  <c r="G25" i="16"/>
  <c r="H25" i="16"/>
  <c r="H26" i="16" s="1"/>
  <c r="I25" i="16"/>
  <c r="J25" i="16"/>
  <c r="K25" i="16"/>
  <c r="L25" i="16"/>
  <c r="M25" i="16"/>
  <c r="M26" i="16" s="1"/>
  <c r="N25" i="16"/>
  <c r="O25" i="16"/>
  <c r="O26" i="16" s="1"/>
  <c r="N50" i="16"/>
  <c r="N42" i="16"/>
  <c r="F38" i="16"/>
  <c r="J38" i="16"/>
  <c r="I30" i="16"/>
  <c r="N30" i="16"/>
  <c r="G22" i="16"/>
  <c r="K22" i="16"/>
  <c r="J26" i="16"/>
  <c r="D26" i="16"/>
  <c r="C14" i="16"/>
  <c r="I15" i="16"/>
  <c r="C9" i="17"/>
  <c r="C44" i="17"/>
  <c r="J10" i="1"/>
  <c r="O15" i="16" l="1"/>
  <c r="L16" i="16"/>
  <c r="L11" i="16"/>
  <c r="J11" i="16"/>
  <c r="H11" i="16"/>
  <c r="F42" i="16"/>
  <c r="G19" i="16"/>
  <c r="J46" i="16"/>
  <c r="C37" i="16"/>
  <c r="P37" i="16" s="1"/>
  <c r="D16" i="16"/>
  <c r="N17" i="16"/>
  <c r="N18" i="16" s="1"/>
  <c r="F17" i="16"/>
  <c r="F18" i="16" s="1"/>
  <c r="O34" i="16"/>
  <c r="E15" i="16"/>
  <c r="E19" i="16"/>
  <c r="J17" i="16"/>
  <c r="J18" i="16" s="1"/>
  <c r="L12" i="16"/>
  <c r="L53" i="16"/>
  <c r="D15" i="16"/>
  <c r="L17" i="16"/>
  <c r="L18" i="16" s="1"/>
  <c r="C45" i="16"/>
  <c r="P45" i="16" s="1"/>
  <c r="C49" i="16"/>
  <c r="P49" i="16" s="1"/>
  <c r="F53" i="16"/>
  <c r="C15" i="17"/>
  <c r="D78" i="1"/>
  <c r="J48" i="1"/>
  <c r="O37" i="17"/>
  <c r="M37" i="17"/>
  <c r="K37" i="17"/>
  <c r="I37" i="17"/>
  <c r="G37" i="17"/>
  <c r="E37" i="17"/>
  <c r="D37" i="17"/>
  <c r="N37" i="17"/>
  <c r="L37" i="17"/>
  <c r="J37" i="17"/>
  <c r="H37" i="17"/>
  <c r="F37" i="17"/>
  <c r="C10" i="16"/>
  <c r="O17" i="16"/>
  <c r="O18" i="16" s="1"/>
  <c r="K17" i="16"/>
  <c r="K18" i="16" s="1"/>
  <c r="I17" i="16"/>
  <c r="I18" i="16" s="1"/>
  <c r="J43" i="1"/>
  <c r="J86" i="1"/>
  <c r="I12" i="16"/>
  <c r="G15" i="16"/>
  <c r="E17" i="16"/>
  <c r="E18" i="16" s="1"/>
  <c r="G17" i="16"/>
  <c r="G18" i="16" s="1"/>
  <c r="M17" i="16"/>
  <c r="M18" i="16" s="1"/>
  <c r="I19" i="16"/>
  <c r="G12" i="16"/>
  <c r="L19" i="16"/>
  <c r="D17" i="16"/>
  <c r="D18" i="16" s="1"/>
  <c r="L15" i="16"/>
  <c r="J12" i="16"/>
  <c r="M34" i="16"/>
  <c r="C39" i="16"/>
  <c r="F56" i="1" s="1"/>
  <c r="E56" i="1" s="1"/>
  <c r="C27" i="16"/>
  <c r="F40" i="1" s="1"/>
  <c r="E40" i="1" s="1"/>
  <c r="C13" i="16"/>
  <c r="F9" i="1" s="1"/>
  <c r="E9" i="1" s="1"/>
  <c r="F46" i="16"/>
  <c r="O46" i="16"/>
  <c r="M46" i="16"/>
  <c r="C47" i="16"/>
  <c r="F54" i="1" s="1"/>
  <c r="E54" i="1" s="1"/>
  <c r="D34" i="16"/>
  <c r="N34" i="16"/>
  <c r="L34" i="16"/>
  <c r="H34" i="16"/>
  <c r="M22" i="16"/>
  <c r="F34" i="16"/>
  <c r="T44" i="1"/>
  <c r="L44" i="1"/>
  <c r="O22" i="16"/>
  <c r="N26" i="16"/>
  <c r="E53" i="16"/>
  <c r="C23" i="16"/>
  <c r="F42" i="1" s="1"/>
  <c r="E42" i="1" s="1"/>
  <c r="V42" i="1"/>
  <c r="V44" i="1" s="1"/>
  <c r="D30" i="16"/>
  <c r="J30" i="16"/>
  <c r="H30" i="16"/>
  <c r="F30" i="16"/>
  <c r="N38" i="16"/>
  <c r="J42" i="16"/>
  <c r="N46" i="16"/>
  <c r="J50" i="16"/>
  <c r="H50" i="16"/>
  <c r="D50" i="16"/>
  <c r="L46" i="16"/>
  <c r="H42" i="16"/>
  <c r="D42" i="16"/>
  <c r="L38" i="16"/>
  <c r="C43" i="16"/>
  <c r="F57" i="1" s="1"/>
  <c r="E57" i="1" s="1"/>
  <c r="C51" i="16"/>
  <c r="F55" i="1" s="1"/>
  <c r="E55" i="1" s="1"/>
  <c r="J22" i="16"/>
  <c r="H22" i="16"/>
  <c r="F22" i="16"/>
  <c r="D22" i="16"/>
  <c r="J53" i="16"/>
  <c r="I53" i="16"/>
  <c r="N53" i="16"/>
  <c r="L26" i="16"/>
  <c r="K26" i="16"/>
  <c r="G26" i="16"/>
  <c r="E26" i="16"/>
  <c r="L12" i="19"/>
  <c r="D12" i="19"/>
  <c r="U58" i="1"/>
  <c r="M14" i="19" s="1"/>
  <c r="R58" i="1"/>
  <c r="J14" i="19" s="1"/>
  <c r="Q58" i="1"/>
  <c r="I14" i="19" s="1"/>
  <c r="S58" i="1"/>
  <c r="K14" i="19" s="1"/>
  <c r="P58" i="1"/>
  <c r="H14" i="19" s="1"/>
  <c r="N58" i="1"/>
  <c r="F14" i="19" s="1"/>
  <c r="M58" i="1"/>
  <c r="E14" i="19" s="1"/>
  <c r="O53" i="16"/>
  <c r="G53" i="16"/>
  <c r="K53" i="16"/>
  <c r="I34" i="16"/>
  <c r="G34" i="16"/>
  <c r="E34" i="16"/>
  <c r="C35" i="16"/>
  <c r="F49" i="1" s="1"/>
  <c r="E49" i="1" s="1"/>
  <c r="N22" i="16"/>
  <c r="L22" i="16"/>
  <c r="J34" i="16"/>
  <c r="L16" i="17"/>
  <c r="S85" i="1" s="1"/>
  <c r="S91" i="1" s="1"/>
  <c r="K16" i="19" s="1"/>
  <c r="J16" i="17"/>
  <c r="Q85" i="1" s="1"/>
  <c r="H16" i="17"/>
  <c r="O85" i="1" s="1"/>
  <c r="O91" i="1" s="1"/>
  <c r="G16" i="19" s="1"/>
  <c r="C25" i="16"/>
  <c r="P25" i="16" s="1"/>
  <c r="J57" i="1"/>
  <c r="K15" i="16"/>
  <c r="M15" i="16"/>
  <c r="H16" i="16"/>
  <c r="F16" i="16"/>
  <c r="N19" i="16"/>
  <c r="J19" i="16"/>
  <c r="H19" i="16"/>
  <c r="F19" i="16"/>
  <c r="N12" i="16"/>
  <c r="H12" i="16"/>
  <c r="F12" i="16"/>
  <c r="N25" i="18"/>
  <c r="N13" i="18"/>
  <c r="O13" i="18" s="1"/>
  <c r="C21" i="16"/>
  <c r="C41" i="16"/>
  <c r="C29" i="16"/>
  <c r="P29" i="16" s="1"/>
  <c r="E73" i="1"/>
  <c r="P44" i="1"/>
  <c r="M44" i="1"/>
  <c r="F15" i="16"/>
  <c r="H15" i="16"/>
  <c r="D11" i="16"/>
  <c r="N15" i="16"/>
  <c r="J15" i="16"/>
  <c r="N16" i="16"/>
  <c r="J16" i="16"/>
  <c r="D19" i="16"/>
  <c r="O19" i="16"/>
  <c r="M19" i="16"/>
  <c r="K19" i="16"/>
  <c r="O12" i="16"/>
  <c r="N11" i="16"/>
  <c r="O11" i="16"/>
  <c r="K11" i="16"/>
  <c r="N34" i="18"/>
  <c r="C6" i="17"/>
  <c r="K58" i="1"/>
  <c r="C14" i="19" s="1"/>
  <c r="J42" i="1"/>
  <c r="J55" i="1"/>
  <c r="L58" i="1"/>
  <c r="D14" i="19" s="1"/>
  <c r="H53" i="16"/>
  <c r="D103" i="1"/>
  <c r="E97" i="1"/>
  <c r="E37" i="1"/>
  <c r="R44" i="1"/>
  <c r="N44" i="1"/>
  <c r="J87" i="1"/>
  <c r="J84" i="1"/>
  <c r="J23" i="1"/>
  <c r="J56" i="1"/>
  <c r="J54" i="1"/>
  <c r="J40" i="1"/>
  <c r="J73" i="1"/>
  <c r="S44" i="1"/>
  <c r="P91" i="1"/>
  <c r="H16" i="19" s="1"/>
  <c r="N91" i="1"/>
  <c r="F16" i="19" s="1"/>
  <c r="J47" i="1"/>
  <c r="D53" i="16"/>
  <c r="M53" i="16"/>
  <c r="O30" i="16"/>
  <c r="M30" i="16"/>
  <c r="C31" i="16"/>
  <c r="F47" i="1" s="1"/>
  <c r="E47" i="1" s="1"/>
  <c r="K44" i="1"/>
  <c r="C12" i="19" s="1"/>
  <c r="M48" i="17"/>
  <c r="V91" i="1"/>
  <c r="N16" i="19" s="1"/>
  <c r="I48" i="17"/>
  <c r="Q44" i="1"/>
  <c r="O44" i="1"/>
  <c r="O48" i="17"/>
  <c r="K48" i="17"/>
  <c r="G48" i="17"/>
  <c r="D48" i="17"/>
  <c r="V58" i="1"/>
  <c r="N14" i="19" s="1"/>
  <c r="K91" i="1"/>
  <c r="C16" i="19" s="1"/>
  <c r="C36" i="17"/>
  <c r="J49" i="1"/>
  <c r="B20" i="19"/>
  <c r="U44" i="1"/>
  <c r="T91" i="1"/>
  <c r="L16" i="19" s="1"/>
  <c r="R91" i="1"/>
  <c r="J16" i="19" s="1"/>
  <c r="M91" i="1"/>
  <c r="E16" i="19" s="1"/>
  <c r="N48" i="17"/>
  <c r="L48" i="17"/>
  <c r="J48" i="17"/>
  <c r="H48" i="17"/>
  <c r="F48" i="17"/>
  <c r="C33" i="16"/>
  <c r="C17" i="16"/>
  <c r="C18" i="16" s="1"/>
  <c r="C16" i="16"/>
  <c r="M12" i="16"/>
  <c r="K12" i="16"/>
  <c r="E12" i="16"/>
  <c r="C9" i="16"/>
  <c r="U91" i="1"/>
  <c r="M16" i="19" s="1"/>
  <c r="J81" i="1"/>
  <c r="L91" i="1"/>
  <c r="C56" i="17"/>
  <c r="J18" i="1"/>
  <c r="F18" i="1" s="1"/>
  <c r="J9" i="1"/>
  <c r="C19" i="16" l="1"/>
  <c r="C15" i="16"/>
  <c r="C42" i="16"/>
  <c r="C46" i="16"/>
  <c r="C38" i="16"/>
  <c r="E34" i="17"/>
  <c r="F34" i="17" s="1"/>
  <c r="G34" i="17" s="1"/>
  <c r="H34" i="17" s="1"/>
  <c r="I34" i="17" s="1"/>
  <c r="J34" i="17" s="1"/>
  <c r="K34" i="17" s="1"/>
  <c r="L34" i="17" s="1"/>
  <c r="M34" i="17" s="1"/>
  <c r="N34" i="17" s="1"/>
  <c r="O34" i="17" s="1"/>
  <c r="C26" i="16"/>
  <c r="F44" i="1"/>
  <c r="E44" i="1" s="1"/>
  <c r="C50" i="16"/>
  <c r="I12" i="19"/>
  <c r="K12" i="19"/>
  <c r="M12" i="19"/>
  <c r="G12" i="19"/>
  <c r="J12" i="19"/>
  <c r="H12" i="19"/>
  <c r="F12" i="19"/>
  <c r="N12" i="19"/>
  <c r="E12" i="19"/>
  <c r="J85" i="1"/>
  <c r="Q91" i="1"/>
  <c r="I16" i="19" s="1"/>
  <c r="C16" i="17"/>
  <c r="F85" i="1" s="1"/>
  <c r="E85" i="1" s="1"/>
  <c r="P41" i="16"/>
  <c r="Q37" i="16" s="1"/>
  <c r="N36" i="18"/>
  <c r="C37" i="17"/>
  <c r="C30" i="16"/>
  <c r="C22" i="16"/>
  <c r="P21" i="16"/>
  <c r="Q21" i="16" s="1"/>
  <c r="P33" i="16"/>
  <c r="D105" i="1"/>
  <c r="J44" i="1"/>
  <c r="J53" i="1"/>
  <c r="C53" i="16"/>
  <c r="C55" i="16" s="1"/>
  <c r="A13" i="1"/>
  <c r="A14" i="1" s="1"/>
  <c r="A15" i="1" s="1"/>
  <c r="A16" i="1" s="1"/>
  <c r="F58" i="1"/>
  <c r="E58" i="1" s="1"/>
  <c r="C48" i="17"/>
  <c r="E18" i="1"/>
  <c r="C34" i="16"/>
  <c r="F81" i="1"/>
  <c r="C11" i="16"/>
  <c r="C12" i="16"/>
  <c r="C58" i="17"/>
  <c r="D16" i="19"/>
  <c r="O39" i="17" l="1"/>
  <c r="M39" i="17"/>
  <c r="K39" i="17"/>
  <c r="I39" i="17"/>
  <c r="G39" i="17"/>
  <c r="E39" i="17"/>
  <c r="D39" i="17"/>
  <c r="N39" i="17"/>
  <c r="L39" i="17"/>
  <c r="J39" i="17"/>
  <c r="H39" i="17"/>
  <c r="F39" i="17"/>
  <c r="B12" i="19"/>
  <c r="B16" i="19"/>
  <c r="J91" i="1"/>
  <c r="A17" i="1"/>
  <c r="A18" i="1" s="1"/>
  <c r="A19" i="1" s="1"/>
  <c r="F49" i="17"/>
  <c r="H49" i="17"/>
  <c r="J49" i="17"/>
  <c r="L49" i="17"/>
  <c r="N49" i="17"/>
  <c r="D49" i="17"/>
  <c r="E49" i="17"/>
  <c r="G49" i="17"/>
  <c r="I49" i="17"/>
  <c r="K49" i="17"/>
  <c r="M49" i="17"/>
  <c r="O49" i="17"/>
  <c r="F45" i="17"/>
  <c r="H45" i="17"/>
  <c r="J45" i="17"/>
  <c r="L45" i="17"/>
  <c r="N45" i="17"/>
  <c r="D45" i="17"/>
  <c r="E45" i="17"/>
  <c r="G45" i="17"/>
  <c r="I45" i="17"/>
  <c r="K45" i="17"/>
  <c r="M45" i="17"/>
  <c r="O45" i="17"/>
  <c r="E81" i="1"/>
  <c r="F91" i="1"/>
  <c r="F103" i="1" s="1"/>
  <c r="E46" i="17"/>
  <c r="G46" i="17"/>
  <c r="I46" i="17"/>
  <c r="K46" i="17"/>
  <c r="M46" i="17"/>
  <c r="O46" i="17"/>
  <c r="F46" i="17"/>
  <c r="H46" i="17"/>
  <c r="J46" i="17"/>
  <c r="L46" i="17"/>
  <c r="N46" i="17"/>
  <c r="D46" i="17"/>
  <c r="A20" i="1" l="1"/>
  <c r="A21" i="1" s="1"/>
  <c r="A22" i="1" s="1"/>
  <c r="A23" i="1" s="1"/>
  <c r="A24" i="1" s="1"/>
  <c r="A25" i="1" s="1"/>
  <c r="A26" i="1" s="1"/>
  <c r="C46" i="17"/>
  <c r="E103" i="1"/>
  <c r="E91" i="1"/>
  <c r="L41" i="17"/>
  <c r="L50" i="17"/>
  <c r="H41" i="17"/>
  <c r="H50" i="17"/>
  <c r="D50" i="17"/>
  <c r="M41" i="17"/>
  <c r="M50" i="17"/>
  <c r="I41" i="17"/>
  <c r="I50" i="17"/>
  <c r="E41" i="17"/>
  <c r="E50" i="17"/>
  <c r="N41" i="17"/>
  <c r="N50" i="17"/>
  <c r="J41" i="17"/>
  <c r="J50" i="17"/>
  <c r="F41" i="17"/>
  <c r="F50" i="17"/>
  <c r="O41" i="17"/>
  <c r="O50" i="17"/>
  <c r="K41" i="17"/>
  <c r="K50" i="17"/>
  <c r="G41" i="17"/>
  <c r="G50" i="17"/>
  <c r="H53" i="17" l="1"/>
  <c r="O15" i="1" s="1"/>
  <c r="O28" i="1" s="1"/>
  <c r="L53" i="17"/>
  <c r="S15" i="1" s="1"/>
  <c r="S28" i="1" s="1"/>
  <c r="S111" i="1" s="1"/>
  <c r="S113" i="1" s="1"/>
  <c r="G53" i="17"/>
  <c r="N15" i="1" s="1"/>
  <c r="N28" i="1" s="1"/>
  <c r="N111" i="1" s="1"/>
  <c r="N113" i="1" s="1"/>
  <c r="K53" i="17"/>
  <c r="R15" i="1" s="1"/>
  <c r="R28" i="1" s="1"/>
  <c r="R111" i="1" s="1"/>
  <c r="R113" i="1" s="1"/>
  <c r="O53" i="17"/>
  <c r="V15" i="1" s="1"/>
  <c r="V28" i="1" s="1"/>
  <c r="V111" i="1" s="1"/>
  <c r="V113" i="1" s="1"/>
  <c r="F53" i="17"/>
  <c r="M15" i="1" s="1"/>
  <c r="M28" i="1" s="1"/>
  <c r="M111" i="1" s="1"/>
  <c r="M113" i="1" s="1"/>
  <c r="J53" i="17"/>
  <c r="Q15" i="1" s="1"/>
  <c r="Q28" i="1" s="1"/>
  <c r="Q111" i="1" s="1"/>
  <c r="Q113" i="1" s="1"/>
  <c r="N53" i="17"/>
  <c r="U15" i="1" s="1"/>
  <c r="U28" i="1" s="1"/>
  <c r="U111" i="1" s="1"/>
  <c r="U113" i="1" s="1"/>
  <c r="E53" i="17"/>
  <c r="L15" i="1" s="1"/>
  <c r="L28" i="1" s="1"/>
  <c r="L111" i="1" s="1"/>
  <c r="L113" i="1" s="1"/>
  <c r="I53" i="17"/>
  <c r="P15" i="1" s="1"/>
  <c r="P28" i="1" s="1"/>
  <c r="P111" i="1" s="1"/>
  <c r="P113" i="1" s="1"/>
  <c r="M53" i="17"/>
  <c r="T15" i="1" s="1"/>
  <c r="T28" i="1" s="1"/>
  <c r="K42" i="17"/>
  <c r="F42" i="17"/>
  <c r="J42" i="17"/>
  <c r="N42" i="17"/>
  <c r="E42" i="17"/>
  <c r="I42" i="17"/>
  <c r="M42" i="17"/>
  <c r="H42" i="17"/>
  <c r="L42" i="17"/>
  <c r="C50" i="17"/>
  <c r="C51" i="17" s="1"/>
  <c r="G42" i="17"/>
  <c r="O42" i="17"/>
  <c r="C39" i="17"/>
  <c r="D41" i="17"/>
  <c r="D53" i="17" s="1"/>
  <c r="K15" i="1" s="1"/>
  <c r="A27" i="1" l="1"/>
  <c r="K10" i="19"/>
  <c r="K18" i="19" s="1"/>
  <c r="K26" i="19" s="1"/>
  <c r="G10" i="19"/>
  <c r="L10" i="19"/>
  <c r="H10" i="19"/>
  <c r="H18" i="19" s="1"/>
  <c r="H26" i="19" s="1"/>
  <c r="M10" i="19"/>
  <c r="M18" i="19" s="1"/>
  <c r="M26" i="19" s="1"/>
  <c r="I10" i="19"/>
  <c r="I18" i="19" s="1"/>
  <c r="I26" i="19" s="1"/>
  <c r="E10" i="19"/>
  <c r="E18" i="19" s="1"/>
  <c r="E26" i="19" s="1"/>
  <c r="D42" i="17"/>
  <c r="C41" i="17"/>
  <c r="C42" i="17" s="1"/>
  <c r="N10" i="19"/>
  <c r="N18" i="19" s="1"/>
  <c r="N26" i="19" s="1"/>
  <c r="F10" i="19"/>
  <c r="F18" i="19" s="1"/>
  <c r="F26" i="19" s="1"/>
  <c r="D10" i="19"/>
  <c r="D18" i="19" s="1"/>
  <c r="D26" i="19" s="1"/>
  <c r="J10" i="19"/>
  <c r="J18" i="19" s="1"/>
  <c r="J26" i="19" s="1"/>
  <c r="A28" i="1" l="1"/>
  <c r="A31" i="1" s="1"/>
  <c r="A32" i="1" s="1"/>
  <c r="A33" i="1" s="1"/>
  <c r="C53" i="17"/>
  <c r="F15" i="1" s="1"/>
  <c r="A34" i="1" l="1"/>
  <c r="A35" i="1" s="1"/>
  <c r="A36" i="1" s="1"/>
  <c r="A37" i="1" s="1"/>
  <c r="A40" i="1" s="1"/>
  <c r="A41" i="1" s="1"/>
  <c r="A42" i="1" s="1"/>
  <c r="A43" i="1" s="1"/>
  <c r="A44" i="1" s="1"/>
  <c r="A47" i="1" s="1"/>
  <c r="A48" i="1" s="1"/>
  <c r="A49" i="1" s="1"/>
  <c r="A50" i="1" s="1"/>
  <c r="A51" i="1" s="1"/>
  <c r="A52" i="1" s="1"/>
  <c r="A53" i="1" s="1"/>
  <c r="A54" i="1" s="1"/>
  <c r="A55" i="1"/>
  <c r="A56" i="1" s="1"/>
  <c r="A57" i="1" s="1"/>
  <c r="A58" i="1" s="1"/>
  <c r="A64" i="1" s="1"/>
  <c r="J15" i="1"/>
  <c r="K28" i="1"/>
  <c r="C54" i="17"/>
  <c r="A65" i="1" l="1"/>
  <c r="A66" i="1" s="1"/>
  <c r="A67" i="1" s="1"/>
  <c r="A68" i="1" s="1"/>
  <c r="A69" i="1" s="1"/>
  <c r="A70" i="1" s="1"/>
  <c r="A71" i="1" s="1"/>
  <c r="A72" i="1" s="1"/>
  <c r="A73" i="1" s="1"/>
  <c r="A76" i="1" s="1"/>
  <c r="F28" i="1"/>
  <c r="F78" i="1" s="1"/>
  <c r="E15" i="1"/>
  <c r="K111" i="1"/>
  <c r="K113" i="1" s="1"/>
  <c r="C10" i="19"/>
  <c r="C26" i="19" s="1"/>
  <c r="C28" i="19" s="1"/>
  <c r="J28" i="1"/>
  <c r="A78" i="1" l="1"/>
  <c r="A81" i="1" s="1"/>
  <c r="A82" i="1" s="1"/>
  <c r="A83" i="1" s="1"/>
  <c r="A84" i="1" s="1"/>
  <c r="A85" i="1" s="1"/>
  <c r="A86" i="1" s="1"/>
  <c r="A87" i="1" s="1"/>
  <c r="E28" i="1"/>
  <c r="B10" i="19"/>
  <c r="A88" i="1" l="1"/>
  <c r="E78" i="1"/>
  <c r="F105" i="1"/>
  <c r="E107" i="1" l="1"/>
  <c r="F111" i="1"/>
  <c r="A89" i="1"/>
  <c r="A90" i="1" s="1"/>
  <c r="A91" i="1" s="1"/>
  <c r="A94" i="1" s="1"/>
  <c r="A95" i="1" s="1"/>
  <c r="A96" i="1" s="1"/>
  <c r="A97" i="1" s="1"/>
  <c r="A100" i="1" s="1"/>
  <c r="A103" i="1" s="1"/>
  <c r="A105" i="1" s="1"/>
  <c r="E105" i="1"/>
  <c r="O58" i="1"/>
  <c r="O111" i="1" s="1"/>
  <c r="O113" i="1" s="1"/>
  <c r="J52" i="1"/>
  <c r="J58" i="1" s="1"/>
  <c r="G14" i="19" l="1"/>
  <c r="G18" i="19" s="1"/>
  <c r="G26" i="19" s="1"/>
  <c r="T58" i="1"/>
  <c r="T111" i="1" s="1"/>
  <c r="T113" i="1" s="1"/>
  <c r="J113" i="1" s="1"/>
  <c r="J111" i="1" l="1"/>
  <c r="L14" i="19"/>
  <c r="L18" i="19" s="1"/>
  <c r="L26" i="19" s="1"/>
  <c r="B28" i="19" s="1"/>
  <c r="B14" i="19" l="1"/>
</calcChain>
</file>

<file path=xl/comments1.xml><?xml version="1.0" encoding="utf-8"?>
<comments xmlns="http://schemas.openxmlformats.org/spreadsheetml/2006/main">
  <authors>
    <author>gzhkw6</author>
  </authors>
  <commentList>
    <comment ref="D14" authorId="0" shapeId="0">
      <text>
        <r>
          <rPr>
            <b/>
            <sz val="9"/>
            <color indexed="81"/>
            <rFont val="Tahoma"/>
            <family val="2"/>
          </rPr>
          <t>See 2017-Transmission Revenue tab</t>
        </r>
      </text>
    </comment>
    <comment ref="M14" authorId="0" shapeId="0">
      <text>
        <r>
          <rPr>
            <b/>
            <sz val="9"/>
            <color indexed="81"/>
            <rFont val="Tahoma"/>
            <family val="2"/>
          </rPr>
          <t>tlk:
Wheeling Revenue in PF Transmission Adjustment PF column</t>
        </r>
      </text>
    </comment>
  </commentList>
</comments>
</file>

<file path=xl/sharedStrings.xml><?xml version="1.0" encoding="utf-8"?>
<sst xmlns="http://schemas.openxmlformats.org/spreadsheetml/2006/main" count="621" uniqueCount="327">
  <si>
    <t>Line</t>
  </si>
  <si>
    <t>No.</t>
  </si>
  <si>
    <t>Actuals</t>
  </si>
  <si>
    <t>Adjustment</t>
  </si>
  <si>
    <t>555 PURCHASED POWER</t>
  </si>
  <si>
    <t>WNP-3</t>
  </si>
  <si>
    <t>Deer Lake-IP&amp;L</t>
  </si>
  <si>
    <t>Spokane-Upriver</t>
  </si>
  <si>
    <t>Total Account 555</t>
  </si>
  <si>
    <t xml:space="preserve"> </t>
  </si>
  <si>
    <t>565 TRANSMISSION OF ELECTRICITY BY OTHERS</t>
  </si>
  <si>
    <t>Total Account 565</t>
  </si>
  <si>
    <t>Broker Commission Fees</t>
  </si>
  <si>
    <t>Total Account 557</t>
  </si>
  <si>
    <t>536 WATER FOR POWER</t>
  </si>
  <si>
    <t>TOTAL EXPENSE</t>
  </si>
  <si>
    <t>447 SALES FOR RESALE</t>
  </si>
  <si>
    <t>Total Account 447</t>
  </si>
  <si>
    <t>456 OTHER ELECTRIC REVENUE</t>
  </si>
  <si>
    <t>Total Account 456</t>
  </si>
  <si>
    <t>TOTAL REVENUE</t>
  </si>
  <si>
    <t>Kettle Falls</t>
  </si>
  <si>
    <t>Total Account 501</t>
  </si>
  <si>
    <t>Colstrip</t>
  </si>
  <si>
    <t>BPA Townsend-Garrison Wheeling</t>
  </si>
  <si>
    <t>Upstream Storage Revenue</t>
  </si>
  <si>
    <t>557 OTHER EXPENSES</t>
  </si>
  <si>
    <t>453 SALES OF WATER AND WATER POWER</t>
  </si>
  <si>
    <t>PGE Firm Wheeling</t>
  </si>
  <si>
    <t>Nichols Pumping Sale</t>
  </si>
  <si>
    <t>Pend Oreille DES &amp; Spinning</t>
  </si>
  <si>
    <t>Avista Corp.</t>
  </si>
  <si>
    <t>Total</t>
  </si>
  <si>
    <t>Colstrip MWh</t>
  </si>
  <si>
    <t>Colstrip Fuel Cost</t>
  </si>
  <si>
    <t>Kettle Falls MWh</t>
  </si>
  <si>
    <t>Kettle Falls Fuel Cost</t>
  </si>
  <si>
    <t>Rathdrum MWh</t>
  </si>
  <si>
    <t>Rathdrum Fuel Cost</t>
  </si>
  <si>
    <t>Total Fuel Expense</t>
  </si>
  <si>
    <t>Nichols Pumping</t>
  </si>
  <si>
    <t>Sales</t>
  </si>
  <si>
    <t>Northeast MWh</t>
  </si>
  <si>
    <t>Northeast Fuel Cost</t>
  </si>
  <si>
    <t>Total Account 547</t>
  </si>
  <si>
    <t>Kettle Falls - Wood Fuel</t>
  </si>
  <si>
    <t>Colstrip - Coal</t>
  </si>
  <si>
    <t>501 THERMAL FUEL EXPENSE</t>
  </si>
  <si>
    <t>547 OTHER FUEL EXPENSE</t>
  </si>
  <si>
    <t xml:space="preserve">Non-Monetary </t>
  </si>
  <si>
    <t>$</t>
  </si>
  <si>
    <t>Secondary Sales - MWh</t>
  </si>
  <si>
    <t>Secondary Purchase - MWh</t>
  </si>
  <si>
    <t>Boulder Park Fuel Cost</t>
  </si>
  <si>
    <t>Boulder Park MWh</t>
  </si>
  <si>
    <t>Kettle Falls CT Fuel Cost</t>
  </si>
  <si>
    <t>Kettle Falls CT MWh</t>
  </si>
  <si>
    <t>Coyote Springs Gas</t>
  </si>
  <si>
    <t>Boulder Park Gas</t>
  </si>
  <si>
    <t>Kettle Falls CT Gas</t>
  </si>
  <si>
    <t>Northeast CT Gas</t>
  </si>
  <si>
    <t>Rathdrum  Gas</t>
  </si>
  <si>
    <t>Scenario 1</t>
  </si>
  <si>
    <t>ANNUAL</t>
  </si>
  <si>
    <t>GENERATION (GWh)</t>
  </si>
  <si>
    <t>Boulder Park</t>
  </si>
  <si>
    <t>Coyote Springs</t>
  </si>
  <si>
    <t>Kettle Falls CT</t>
  </si>
  <si>
    <t>Northeast</t>
  </si>
  <si>
    <t>Rathdrum</t>
  </si>
  <si>
    <t>FUEL COST ($000)</t>
  </si>
  <si>
    <t>MARKET (GWh)</t>
  </si>
  <si>
    <t>Market Purch</t>
  </si>
  <si>
    <t>Market Sale</t>
  </si>
  <si>
    <t>MARKET ($000)</t>
  </si>
  <si>
    <t>Jan</t>
  </si>
  <si>
    <t>Feb</t>
  </si>
  <si>
    <t>Mar</t>
  </si>
  <si>
    <t>Apr</t>
  </si>
  <si>
    <t>May</t>
  </si>
  <si>
    <t>Jun</t>
  </si>
  <si>
    <t>Jul</t>
  </si>
  <si>
    <t>Aug</t>
  </si>
  <si>
    <t>Sep</t>
  </si>
  <si>
    <t>Oct</t>
  </si>
  <si>
    <t>Nov</t>
  </si>
  <si>
    <t>Dec</t>
  </si>
  <si>
    <t>Coyote Springs Fuel Cost</t>
  </si>
  <si>
    <t>Net Fuel and Purchase Expense</t>
  </si>
  <si>
    <t>Coyote Springs  MWh</t>
  </si>
  <si>
    <t>(GWh)</t>
  </si>
  <si>
    <t>NET POWER SUPPLY COST ($000)</t>
  </si>
  <si>
    <t>MWh</t>
  </si>
  <si>
    <t>Kootenai for Worley</t>
  </si>
  <si>
    <t>Avista on BPA - Borderline</t>
  </si>
  <si>
    <t>Gas Not Consumed Sales Revenue</t>
  </si>
  <si>
    <t>Rathdrum Fuel Cost $/MWh</t>
  </si>
  <si>
    <t>Northeast Fuel Cost $/MWh</t>
  </si>
  <si>
    <t>Coyote Springs Fuel Cost  $/MWh</t>
  </si>
  <si>
    <t>Boulder Park Fuel Cost $/MWh</t>
  </si>
  <si>
    <t>Kettle Falls Fuel Cost $/MWh</t>
  </si>
  <si>
    <t>Colstrip Fuel Cost $/MWh</t>
  </si>
  <si>
    <t>Kettle Falls CT Fuel Cost $/MWh</t>
  </si>
  <si>
    <t>Headwater Benefits Payments</t>
  </si>
  <si>
    <t>Revenue</t>
  </si>
  <si>
    <t>Average Market Sales Price -$/ MWh</t>
  </si>
  <si>
    <t>Market Sales - Dollars</t>
  </si>
  <si>
    <t>Market Sales - MWh</t>
  </si>
  <si>
    <t>Market Purchases - Dollars</t>
  </si>
  <si>
    <t>Net Market Purchases (Sales) MWh</t>
  </si>
  <si>
    <t>Average Market Purchase Price - $/MWh</t>
  </si>
  <si>
    <t>Net Market Purchases (Sales) aMW</t>
  </si>
  <si>
    <t>Market Purchases - MWh</t>
  </si>
  <si>
    <t>Average Sale and Purchase Price - $/MWh</t>
  </si>
  <si>
    <t>Peaker (PGE) Capacity Sale</t>
  </si>
  <si>
    <t>normal $0</t>
  </si>
  <si>
    <t>Comment</t>
  </si>
  <si>
    <t>Market Purchases and Sales, Plant Generation and Fuel Cost Summary</t>
  </si>
  <si>
    <t>Sovereign/Kaiser DES</t>
  </si>
  <si>
    <t>Douglas Settlement</t>
  </si>
  <si>
    <t>index</t>
  </si>
  <si>
    <t>model</t>
  </si>
  <si>
    <t>only gas burned modeled</t>
  </si>
  <si>
    <t>modeled MWh x new contract rate</t>
  </si>
  <si>
    <t>Sagle-Northern Lights</t>
  </si>
  <si>
    <t>Jan 06 - Dec 06</t>
  </si>
  <si>
    <t>Authorized</t>
  </si>
  <si>
    <t>Small Power</t>
  </si>
  <si>
    <t>Priest Rapids Meaningful Priority, MWh</t>
  </si>
  <si>
    <t>Priest Rapids Meaningful Priority Expense</t>
  </si>
  <si>
    <t>Reasonable Portion Revenue</t>
  </si>
  <si>
    <t>Net Meaningful Priority Cost</t>
  </si>
  <si>
    <t>Net Meaningful Priority Cost per MWh</t>
  </si>
  <si>
    <t>includes Mean Pri &amp; Reas Port</t>
  </si>
  <si>
    <t xml:space="preserve">  Meaningful Priority</t>
  </si>
  <si>
    <t xml:space="preserve">  Surplus Conversion</t>
  </si>
  <si>
    <t>Surplus Conversion Cost</t>
  </si>
  <si>
    <t>Surplus Conversion MWh</t>
  </si>
  <si>
    <t xml:space="preserve">  Avista Total Slice</t>
  </si>
  <si>
    <t>Power Supply Expense</t>
  </si>
  <si>
    <t>TOTAL NET EXPENSE</t>
  </si>
  <si>
    <t>Ancillary Services</t>
  </si>
  <si>
    <t>Account 447 - Sale for Resale</t>
  </si>
  <si>
    <t>Account 501 - Thermal Fuel</t>
  </si>
  <si>
    <t>Account 555 - Purchased Power</t>
  </si>
  <si>
    <t>Stimson</t>
  </si>
  <si>
    <t xml:space="preserve">  Grant's Share of Reasonable Portion Revenue</t>
  </si>
  <si>
    <t>Priest Rapids Project Cost</t>
  </si>
  <si>
    <t>Priest Rapids Project</t>
  </si>
  <si>
    <t>Surplus Conversion Cost per MWh</t>
  </si>
  <si>
    <t>Total Priest Rapids Product Cost</t>
  </si>
  <si>
    <t>Total Priest Rapids Product Cost per MWh</t>
  </si>
  <si>
    <t>Modeled Short-Term Market Sales</t>
  </si>
  <si>
    <t>Pro forma</t>
  </si>
  <si>
    <t>Natural Gas Fuel Purchases</t>
  </si>
  <si>
    <t>Avista Corp</t>
  </si>
  <si>
    <t>new rate</t>
  </si>
  <si>
    <t>check energy</t>
  </si>
  <si>
    <t>modeled MWh x Actual</t>
  </si>
  <si>
    <t xml:space="preserve">  Surplus</t>
  </si>
  <si>
    <t>Priest Rapids, MWh</t>
  </si>
  <si>
    <t>Wanpum, MWh</t>
  </si>
  <si>
    <t>Surplus MWh</t>
  </si>
  <si>
    <t>Surplus Cost</t>
  </si>
  <si>
    <t>Lancaster Gas</t>
  </si>
  <si>
    <t>Lancaster</t>
  </si>
  <si>
    <t>Lancaster  MWh</t>
  </si>
  <si>
    <t>Lancaster Fuel Cost  $/MWh</t>
  </si>
  <si>
    <t>Lancaster Fuel Cost</t>
  </si>
  <si>
    <t>Lancaster Variable O&amp;M Payments</t>
  </si>
  <si>
    <t>Lancaster Capacity Payment</t>
  </si>
  <si>
    <t>Kettle Falls - Start-up Gas</t>
  </si>
  <si>
    <t>Power Supply Pro forma - Washington Jurisdiction</t>
  </si>
  <si>
    <t>ERM Authorized Expense and Retail Sales</t>
  </si>
  <si>
    <t>Transmission Expense</t>
  </si>
  <si>
    <t>Wells - Avista Share</t>
  </si>
  <si>
    <t>Wells - Colville Tribe's Share</t>
  </si>
  <si>
    <t>Lancaster Gas Transportation</t>
  </si>
  <si>
    <t>Coyote Springs 2 Gas Transportation</t>
  </si>
  <si>
    <t>Actual ST Market Sales - Financial M-to-M</t>
  </si>
  <si>
    <t>Actual ST Market Sales - Physical</t>
  </si>
  <si>
    <t>Broker Fees</t>
  </si>
  <si>
    <t>Retail Revenue Credit Rate</t>
  </si>
  <si>
    <t>/MWh</t>
  </si>
  <si>
    <t>Actual Financial Gas Transactions M-to-M</t>
  </si>
  <si>
    <t>Account 547 - Natural Gas Fuel</t>
  </si>
  <si>
    <t>ERM Authorized Power Supply Expense - System Numbers (1)</t>
  </si>
  <si>
    <t>Rocky Reach/Rock Island Purchase</t>
  </si>
  <si>
    <t>Total Priest Rapids Product MWh</t>
  </si>
  <si>
    <t>Gas Transportation for BP, NE and KFCT</t>
  </si>
  <si>
    <t>Total Priest RapidsCost per MWh</t>
  </si>
  <si>
    <t>Colstrip - Oil</t>
  </si>
  <si>
    <t>January</t>
  </si>
  <si>
    <t>February</t>
  </si>
  <si>
    <t>March</t>
  </si>
  <si>
    <t>April</t>
  </si>
  <si>
    <t>June</t>
  </si>
  <si>
    <t>July</t>
  </si>
  <si>
    <t>August</t>
  </si>
  <si>
    <t>September</t>
  </si>
  <si>
    <t>October</t>
  </si>
  <si>
    <t>November</t>
  </si>
  <si>
    <t>December</t>
  </si>
  <si>
    <t>BPA PTP for Colstrip, Coyote &amp; Lancaster</t>
  </si>
  <si>
    <t>Northwestern for Colstrip</t>
  </si>
  <si>
    <t>Palouse Wind</t>
  </si>
  <si>
    <t>Spokane Waste-to-Energy</t>
  </si>
  <si>
    <t>Non-WA EIA REC Sales</t>
  </si>
  <si>
    <t>WA EIA REC Purchase - 100% WA Allocation</t>
  </si>
  <si>
    <t>Gas Transpot Optimization</t>
  </si>
  <si>
    <t>Pro Forma</t>
  </si>
  <si>
    <t>****LOAD NEW PRICES*****</t>
  </si>
  <si>
    <t>Modeled HLH Electric Price</t>
  </si>
  <si>
    <t>Modeled LLH Electric Price</t>
  </si>
  <si>
    <t>Predicted Auction Price</t>
  </si>
  <si>
    <t>ERM Authorized Washington Retail Sales (2)</t>
  </si>
  <si>
    <t>Modeled ST Market Purchases</t>
  </si>
  <si>
    <t>Actual ST Market Purchases</t>
  </si>
  <si>
    <t>Actual ST Purchases - Financial M-to-M</t>
  </si>
  <si>
    <t>Transmission Revenue</t>
  </si>
  <si>
    <t>Total Retail Sales, MWh (2)</t>
  </si>
  <si>
    <t>Intracompany Generation</t>
  </si>
  <si>
    <t>Short-term Transmission Purchases</t>
  </si>
  <si>
    <t>WA EIA REC Sales</t>
  </si>
  <si>
    <t>Pullman Battery</t>
  </si>
  <si>
    <t>Modeled Flat Electric Price</t>
  </si>
  <si>
    <t>Rate (Mid C plus $3/MWh)</t>
  </si>
  <si>
    <t>Energy America</t>
  </si>
  <si>
    <t>ERM Accounts</t>
  </si>
  <si>
    <t>All Accounts</t>
  </si>
  <si>
    <t>Oct 14 - Sep 15</t>
  </si>
  <si>
    <t>System Numbers - Oct 2014 - Sep 2015 Actual and 2017 Pro Forma</t>
  </si>
  <si>
    <t>SMUD/Energy America</t>
  </si>
  <si>
    <t>Rathdrum Solar, Buck-a-Block</t>
  </si>
  <si>
    <t>REC Expenses (offset to REC Revenue)</t>
  </si>
  <si>
    <t>COB Optimization</t>
  </si>
  <si>
    <t>Spokane Energy Capacity Payment Adjustment</t>
  </si>
  <si>
    <t>Test Year Load, Nov 1 Update</t>
  </si>
  <si>
    <t>Avista Corporation</t>
  </si>
  <si>
    <t>WA Power Supply Pro Forma Net Cost</t>
  </si>
  <si>
    <t>Rate Case Power Supply Adjustment Pro Forma - 09.2015 Historical Loads</t>
  </si>
  <si>
    <t>NET</t>
  </si>
  <si>
    <t>November 2016 Update</t>
  </si>
  <si>
    <t>CHANGE</t>
  </si>
  <si>
    <t xml:space="preserve">2017 PF </t>
  </si>
  <si>
    <t>Power</t>
  </si>
  <si>
    <t>Supply</t>
  </si>
  <si>
    <t>Washington</t>
  </si>
  <si>
    <t>System</t>
  </si>
  <si>
    <t>Amounts</t>
  </si>
  <si>
    <t>P/T Allocation Percentages</t>
  </si>
  <si>
    <t>447 Sales for Resale</t>
  </si>
  <si>
    <t>453 Sales of Water and Water Power</t>
  </si>
  <si>
    <t>454 Misc Rents</t>
  </si>
  <si>
    <t>456 Transmission Wheeling Revenue</t>
  </si>
  <si>
    <t>Direct WA</t>
  </si>
  <si>
    <t>Direct ID</t>
  </si>
  <si>
    <t>456 Other Electric Revenue</t>
  </si>
  <si>
    <t>456 Other Electric Revenue-Direct WA</t>
  </si>
  <si>
    <t xml:space="preserve">   Total Revenue</t>
  </si>
  <si>
    <t>501 Thermal Fuel Expense</t>
  </si>
  <si>
    <t>546 Other Power Gen Supvsn &amp; Eng</t>
  </si>
  <si>
    <t>547 Other Fuel Expense</t>
  </si>
  <si>
    <t>536 Water for Power</t>
  </si>
  <si>
    <t>555 Purchased Power</t>
  </si>
  <si>
    <t>549 Misc Other Gen Expense</t>
  </si>
  <si>
    <t>550 Rents</t>
  </si>
  <si>
    <t>556 System Control &amp; Dispatch</t>
  </si>
  <si>
    <t>557 Other Expenses</t>
  </si>
  <si>
    <t>XXX Other Expenses-Direct WA</t>
  </si>
  <si>
    <t>565 Trans. of Elec. by Others</t>
  </si>
  <si>
    <t xml:space="preserve">   Total Expense</t>
  </si>
  <si>
    <t>Net Income Before Income Taxes</t>
  </si>
  <si>
    <t>Federal Income Tax</t>
  </si>
  <si>
    <t>Net Income</t>
  </si>
  <si>
    <t>WA Share</t>
  </si>
  <si>
    <t>NET CHANGE</t>
  </si>
  <si>
    <t>Nov Update</t>
  </si>
  <si>
    <t xml:space="preserve">Net Decrease in Revenue Requirement (Nov 2016 Update) </t>
  </si>
  <si>
    <t>Revenue Requirement Change Grossed Down (Nov 2016 Update)</t>
  </si>
  <si>
    <t>October 2014 - September 2015 Historic Normalized Loads</t>
  </si>
  <si>
    <t>Pro forma January 2017 - December 2017</t>
  </si>
  <si>
    <t>WA Share of System Costs</t>
  </si>
  <si>
    <t>(2) Twelve months ended September 2015 normalized monthly WA Retail Sales.</t>
  </si>
  <si>
    <t>(1)</t>
  </si>
  <si>
    <t>(2)</t>
  </si>
  <si>
    <t>Per Avista Rebuttal</t>
  </si>
  <si>
    <t>(3)</t>
  </si>
  <si>
    <t>(2) Increase in Transmission Wheeling Revenue totals $915,000 (Washington share).</t>
  </si>
  <si>
    <t>(3) Increase in Net Power Supply Expense totals $324,000, excluding Transmission Revenue of $915,000, see Note (1). ($591,000 - $915,000 = $324,000)</t>
  </si>
  <si>
    <t>(1) Washington Power Supply adjustment incuded in updated electric 2017 Attrition Study -  See updated Exh. No. EMA-7, column [K] pages 4 and 5 (updated model provided with Attachment D)</t>
  </si>
  <si>
    <t>Washington Pro Forma January 2017 - December 2017</t>
  </si>
  <si>
    <t>WA Power Supply Adjustment</t>
  </si>
  <si>
    <t xml:space="preserve">Less </t>
  </si>
  <si>
    <t>P/T Ratio Revised</t>
  </si>
  <si>
    <t>Directly</t>
  </si>
  <si>
    <t>Net Power</t>
  </si>
  <si>
    <t>Assigned</t>
  </si>
  <si>
    <t>Idaho</t>
  </si>
  <si>
    <t>456 Other Electric Revenue - Direct WA</t>
  </si>
  <si>
    <t>557 Other Expenses - Direct WA</t>
  </si>
  <si>
    <t>557 Other Exp (Spokane Energy Direct WA)</t>
  </si>
  <si>
    <t>557 Other Exp (Spokane Energy Direct ID)</t>
  </si>
  <si>
    <t>Idaho State Income Tax</t>
  </si>
  <si>
    <t>Net Income before FIT</t>
  </si>
  <si>
    <r>
      <rPr>
        <b/>
        <sz val="10"/>
        <rFont val="Arial"/>
        <family val="2"/>
      </rPr>
      <t>(1)</t>
    </r>
    <r>
      <rPr>
        <sz val="10"/>
        <rFont val="Geneva"/>
      </rPr>
      <t xml:space="preserve"> EIA Rec Purchases are direct assigned to WA </t>
    </r>
  </si>
  <si>
    <r>
      <rPr>
        <b/>
        <sz val="10"/>
        <rFont val="Arial"/>
        <family val="2"/>
      </rPr>
      <t>(2)</t>
    </r>
    <r>
      <rPr>
        <sz val="10"/>
        <rFont val="Arial"/>
        <family val="2"/>
      </rPr>
      <t xml:space="preserve"> The 10-Year contract with Clearwater Paper cogeneration ended June 2013. Customer now generates into own load. Previously purchase was directly assigned to Idaho and power supply worksheets removed the Clearwater Paper cogeneration. </t>
    </r>
  </si>
  <si>
    <t>If in the future it is determined necessary to remove the Clearwater Paper cogeneration amount, any adjustment would again be directly assigned to Idaho.  At that time it would be necessary to add back the Potlatch cogeneration removal so that the adjustment only reflects system power supply revenue and expense amounts that are allocated to jurisdictions.</t>
  </si>
  <si>
    <t>2017 Pro Forma - 09/30/2014 Historical Loads</t>
  </si>
  <si>
    <t>REMOVE 12ME 09/2014</t>
  </si>
  <si>
    <t>WA -Revises P/T ratio</t>
  </si>
  <si>
    <t>PF 2017</t>
  </si>
  <si>
    <t>Net Total</t>
  </si>
  <si>
    <t>HTP</t>
  </si>
  <si>
    <t>PF-2017</t>
  </si>
  <si>
    <t>REVISED FOR NOVEMBER 1 2016 POWER SUPPLY UPDATE</t>
  </si>
  <si>
    <t xml:space="preserve">Revenue </t>
  </si>
  <si>
    <r>
      <t xml:space="preserve">Diff: Rebuttal versus Nov </t>
    </r>
    <r>
      <rPr>
        <u/>
        <sz val="10"/>
        <rFont val="Arial"/>
        <family val="2"/>
      </rPr>
      <t>Update</t>
    </r>
  </si>
  <si>
    <t>Revenue Requirement</t>
  </si>
  <si>
    <t>(Excludes Transmission Revenues)</t>
  </si>
  <si>
    <t>REVISED PER NOVEMBER 1 2016 POWER SUPPLY UPDATE</t>
  </si>
  <si>
    <t>ADD 12ME 12/2017 (Per Rebuttal)</t>
  </si>
  <si>
    <t>ADD 12ME 12/2017 (Per Nov Update)</t>
  </si>
  <si>
    <t>REVISED PF 3.00 Including Nov Update</t>
  </si>
  <si>
    <t xml:space="preserve">(1) System Amount of Difference: </t>
  </si>
  <si>
    <t>See Avista's November 1, 2016 Power Supply update filed with the WUTC, Attachement D.</t>
  </si>
  <si>
    <t>WA -Revises P/T ratio (Per REBUTTAL)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</si>
</sst>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0\ ;\(#,##0\)"/>
    <numFmt numFmtId="165" formatCode="&quot;$&quot;#,##0"/>
    <numFmt numFmtId="166" formatCode="&quot;$&quot;#,##0.00"/>
    <numFmt numFmtId="167" formatCode="#,##0.0_);[Red]\(#,##0.0\)"/>
    <numFmt numFmtId="168" formatCode="#,##0.0"/>
    <numFmt numFmtId="169" formatCode="_(* #,##0_);_(* \(#,##0\);_(* &quot;-&quot;??_);_(@_)"/>
    <numFmt numFmtId="170" formatCode="_(&quot;$&quot;* #,##0_);_(&quot;$&quot;* \(#,##0\);_(&quot;$&quot;* &quot;-&quot;??_);_(@_)"/>
    <numFmt numFmtId="171" formatCode="0.0000%"/>
  </numFmts>
  <fonts count="25">
    <font>
      <sz val="10"/>
      <name val="Geneva"/>
    </font>
    <font>
      <b/>
      <sz val="10"/>
      <name val="Geneva"/>
    </font>
    <font>
      <sz val="10"/>
      <name val="Geneva"/>
    </font>
    <font>
      <u/>
      <sz val="10"/>
      <name val="Geneva"/>
    </font>
    <font>
      <sz val="10"/>
      <name val="Geneva"/>
    </font>
    <font>
      <sz val="9"/>
      <name val="Geneva"/>
    </font>
    <font>
      <sz val="8"/>
      <name val="Geneva"/>
    </font>
    <font>
      <sz val="10"/>
      <name val="Arial"/>
      <family val="2"/>
    </font>
    <font>
      <b/>
      <sz val="12"/>
      <name val="Arial"/>
      <family val="2"/>
    </font>
    <font>
      <b/>
      <sz val="10"/>
      <name val="Arial"/>
      <family val="2"/>
    </font>
    <font>
      <b/>
      <u/>
      <sz val="10"/>
      <name val="Arial"/>
      <family val="2"/>
    </font>
    <font>
      <b/>
      <sz val="14"/>
      <name val="Geneva"/>
    </font>
    <font>
      <b/>
      <u/>
      <sz val="10"/>
      <name val="Geneva"/>
    </font>
    <font>
      <b/>
      <sz val="12"/>
      <name val="Geneva"/>
    </font>
    <font>
      <b/>
      <sz val="10"/>
      <color rgb="FFFF0000"/>
      <name val="Geneva"/>
    </font>
    <font>
      <u/>
      <sz val="10"/>
      <name val="Arial"/>
      <family val="2"/>
    </font>
    <font>
      <sz val="9"/>
      <name val="Times New Roman"/>
      <family val="1"/>
    </font>
    <font>
      <sz val="10"/>
      <color theme="1"/>
      <name val="Arial"/>
      <family val="2"/>
    </font>
    <font>
      <b/>
      <sz val="10"/>
      <color rgb="FFFF0000"/>
      <name val="Arial"/>
      <family val="2"/>
    </font>
    <font>
      <b/>
      <sz val="9"/>
      <color indexed="81"/>
      <name val="Tahoma"/>
      <family val="2"/>
    </font>
    <font>
      <b/>
      <sz val="11"/>
      <color theme="1"/>
      <name val="Geneva"/>
    </font>
    <font>
      <sz val="10"/>
      <color theme="1"/>
      <name val="Geneva"/>
    </font>
    <font>
      <b/>
      <sz val="11"/>
      <name val="Arial"/>
      <family val="2"/>
    </font>
    <font>
      <b/>
      <sz val="14"/>
      <name val="Arial"/>
      <family val="2"/>
    </font>
    <font>
      <b/>
      <sz val="9"/>
      <name val="Arial"/>
      <family val="2"/>
    </font>
  </fonts>
  <fills count="9">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9">
    <xf numFmtId="0" fontId="0" fillId="0" borderId="0"/>
    <xf numFmtId="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17" fillId="0" borderId="0"/>
    <xf numFmtId="0" fontId="7" fillId="0" borderId="0"/>
  </cellStyleXfs>
  <cellXfs count="285">
    <xf numFmtId="0" fontId="0" fillId="0" borderId="0" xfId="0"/>
    <xf numFmtId="0" fontId="0" fillId="0" borderId="1" xfId="0" applyBorder="1" applyAlignment="1">
      <alignment horizontal="center"/>
    </xf>
    <xf numFmtId="0" fontId="1" fillId="0" borderId="0" xfId="0" applyFont="1"/>
    <xf numFmtId="3" fontId="0" fillId="0" borderId="0" xfId="0" applyNumberFormat="1"/>
    <xf numFmtId="0" fontId="0" fillId="0" borderId="0" xfId="0" applyAlignment="1">
      <alignment horizontal="left"/>
    </xf>
    <xf numFmtId="0" fontId="0" fillId="0" borderId="0" xfId="0" applyAlignment="1">
      <alignment horizontal="center"/>
    </xf>
    <xf numFmtId="0" fontId="4" fillId="0" borderId="0" xfId="0" applyFont="1"/>
    <xf numFmtId="0" fontId="3" fillId="0" borderId="0" xfId="0" applyFont="1"/>
    <xf numFmtId="14" fontId="0" fillId="0" borderId="0" xfId="0" applyNumberFormat="1" applyAlignment="1">
      <alignment horizontal="left"/>
    </xf>
    <xf numFmtId="3" fontId="0" fillId="0" borderId="0" xfId="0" applyNumberFormat="1" applyBorder="1"/>
    <xf numFmtId="14" fontId="0" fillId="0" borderId="0" xfId="0" applyNumberFormat="1" applyAlignment="1">
      <alignment horizontal="center"/>
    </xf>
    <xf numFmtId="0" fontId="0" fillId="0" borderId="0" xfId="0" applyBorder="1" applyAlignment="1">
      <alignment horizontal="center"/>
    </xf>
    <xf numFmtId="0" fontId="0" fillId="0" borderId="0" xfId="0" applyBorder="1"/>
    <xf numFmtId="0" fontId="0" fillId="0" borderId="0" xfId="0" applyNumberFormat="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2" fillId="0" borderId="0" xfId="0" applyFont="1"/>
    <xf numFmtId="0" fontId="0" fillId="0" borderId="1" xfId="0" applyBorder="1"/>
    <xf numFmtId="165" fontId="0" fillId="0" borderId="0" xfId="0" applyNumberFormat="1" applyBorder="1" applyAlignment="1">
      <alignment horizontal="right"/>
    </xf>
    <xf numFmtId="3" fontId="0" fillId="0" borderId="0"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3" fontId="2" fillId="0" borderId="0" xfId="0" applyNumberFormat="1" applyFont="1" applyBorder="1" applyAlignment="1">
      <alignment horizontal="right"/>
    </xf>
    <xf numFmtId="0" fontId="0" fillId="0" borderId="3" xfId="0" applyBorder="1" applyAlignment="1">
      <alignment horizontal="center"/>
    </xf>
    <xf numFmtId="165" fontId="0" fillId="0" borderId="4" xfId="0" applyNumberFormat="1" applyBorder="1" applyAlignment="1">
      <alignment horizontal="center"/>
    </xf>
    <xf numFmtId="165" fontId="0" fillId="0" borderId="0" xfId="0" applyNumberFormat="1"/>
    <xf numFmtId="164" fontId="0" fillId="0" borderId="4" xfId="0" applyNumberFormat="1" applyBorder="1" applyAlignment="1">
      <alignment horizontal="center"/>
    </xf>
    <xf numFmtId="3" fontId="0" fillId="0" borderId="4" xfId="0" applyNumberFormat="1" applyBorder="1" applyAlignment="1">
      <alignment horizontal="center"/>
    </xf>
    <xf numFmtId="166" fontId="0" fillId="0" borderId="4" xfId="0" applyNumberFormat="1" applyBorder="1" applyAlignment="1">
      <alignment horizontal="center"/>
    </xf>
    <xf numFmtId="166" fontId="0" fillId="0" borderId="0" xfId="0" applyNumberFormat="1"/>
    <xf numFmtId="165" fontId="1" fillId="0" borderId="3" xfId="0" applyNumberFormat="1" applyFont="1" applyBorder="1" applyAlignment="1">
      <alignment horizontal="center"/>
    </xf>
    <xf numFmtId="5" fontId="0" fillId="0" borderId="2" xfId="0" applyNumberFormat="1" applyBorder="1"/>
    <xf numFmtId="165" fontId="0" fillId="0" borderId="2" xfId="0" applyNumberFormat="1" applyBorder="1"/>
    <xf numFmtId="165" fontId="0" fillId="0" borderId="0" xfId="0" applyNumberFormat="1" applyBorder="1"/>
    <xf numFmtId="3" fontId="0" fillId="0" borderId="5" xfId="0" applyNumberFormat="1" applyBorder="1"/>
    <xf numFmtId="0" fontId="0" fillId="0" borderId="6" xfId="0" applyBorder="1"/>
    <xf numFmtId="5" fontId="0" fillId="0" borderId="0" xfId="0" applyNumberFormat="1" applyBorder="1"/>
    <xf numFmtId="0" fontId="6" fillId="0" borderId="0" xfId="0" applyFont="1" applyAlignment="1">
      <alignment horizontal="center"/>
    </xf>
    <xf numFmtId="165" fontId="1" fillId="0" borderId="4" xfId="0" applyNumberFormat="1" applyFont="1" applyBorder="1" applyAlignment="1">
      <alignment horizontal="center"/>
    </xf>
    <xf numFmtId="3" fontId="0" fillId="0" borderId="1" xfId="0" applyNumberFormat="1" applyBorder="1" applyAlignment="1">
      <alignment horizontal="right"/>
    </xf>
    <xf numFmtId="0" fontId="0" fillId="0" borderId="1" xfId="0" applyNumberFormat="1" applyBorder="1" applyAlignment="1">
      <alignment horizontal="center"/>
    </xf>
    <xf numFmtId="0" fontId="1" fillId="0" borderId="5" xfId="0" applyFont="1" applyBorder="1"/>
    <xf numFmtId="3" fontId="0" fillId="0" borderId="6" xfId="0" applyNumberFormat="1" applyBorder="1" applyAlignment="1">
      <alignment horizontal="right"/>
    </xf>
    <xf numFmtId="3" fontId="0" fillId="0" borderId="7" xfId="0" applyNumberFormat="1" applyBorder="1" applyAlignment="1">
      <alignment horizontal="right"/>
    </xf>
    <xf numFmtId="0" fontId="3" fillId="0" borderId="0" xfId="0" applyFont="1" applyBorder="1"/>
    <xf numFmtId="0" fontId="3" fillId="0" borderId="0" xfId="0" applyFont="1" applyBorder="1" applyAlignment="1">
      <alignment horizontal="center"/>
    </xf>
    <xf numFmtId="0" fontId="6" fillId="0" borderId="0" xfId="0" applyFont="1"/>
    <xf numFmtId="17" fontId="0" fillId="0" borderId="1" xfId="0" applyNumberFormat="1" applyBorder="1"/>
    <xf numFmtId="17" fontId="0" fillId="0" borderId="0" xfId="0" applyNumberFormat="1" applyBorder="1"/>
    <xf numFmtId="166" fontId="2" fillId="0" borderId="0" xfId="0" applyNumberFormat="1" applyFont="1"/>
    <xf numFmtId="0" fontId="0" fillId="0" borderId="8" xfId="0" applyBorder="1" applyAlignment="1">
      <alignment horizontal="center"/>
    </xf>
    <xf numFmtId="166" fontId="2" fillId="0" borderId="4" xfId="0" applyNumberFormat="1" applyFont="1" applyBorder="1" applyAlignment="1">
      <alignment horizontal="center"/>
    </xf>
    <xf numFmtId="5" fontId="1" fillId="0" borderId="3" xfId="0" applyNumberFormat="1" applyFont="1" applyBorder="1" applyAlignment="1">
      <alignment horizontal="center"/>
    </xf>
    <xf numFmtId="0" fontId="2" fillId="0" borderId="0" xfId="0" applyFont="1" applyBorder="1" applyAlignment="1">
      <alignment horizontal="center"/>
    </xf>
    <xf numFmtId="0" fontId="0" fillId="2" borderId="0" xfId="0" applyFill="1"/>
    <xf numFmtId="1" fontId="0" fillId="0" borderId="0" xfId="0" applyNumberFormat="1" applyAlignment="1">
      <alignment horizontal="right"/>
    </xf>
    <xf numFmtId="1" fontId="0" fillId="0" borderId="0" xfId="0" applyNumberFormat="1"/>
    <xf numFmtId="167" fontId="8" fillId="0" borderId="9" xfId="0" applyNumberFormat="1" applyFont="1" applyBorder="1"/>
    <xf numFmtId="167" fontId="0" fillId="0" borderId="9" xfId="0" applyNumberFormat="1" applyBorder="1"/>
    <xf numFmtId="167" fontId="7" fillId="0" borderId="9" xfId="0" applyNumberFormat="1" applyFont="1" applyBorder="1"/>
    <xf numFmtId="167" fontId="0" fillId="0" borderId="0" xfId="0" applyNumberFormat="1"/>
    <xf numFmtId="167" fontId="9" fillId="0" borderId="0" xfId="0" applyNumberFormat="1" applyFont="1"/>
    <xf numFmtId="167" fontId="7" fillId="0" borderId="0" xfId="0" applyNumberFormat="1" applyFont="1"/>
    <xf numFmtId="38" fontId="10" fillId="0" borderId="0" xfId="0" applyNumberFormat="1" applyFont="1" applyAlignment="1">
      <alignment horizontal="center"/>
    </xf>
    <xf numFmtId="167" fontId="10" fillId="0" borderId="0" xfId="0" applyNumberFormat="1" applyFont="1" applyAlignment="1">
      <alignment horizontal="center"/>
    </xf>
    <xf numFmtId="167" fontId="0" fillId="0" borderId="0" xfId="0" applyNumberFormat="1" applyAlignment="1">
      <alignment horizontal="right"/>
    </xf>
    <xf numFmtId="38" fontId="0" fillId="0" borderId="0" xfId="0" applyNumberFormat="1"/>
    <xf numFmtId="38" fontId="7" fillId="0" borderId="0" xfId="0" applyNumberFormat="1" applyFont="1"/>
    <xf numFmtId="38" fontId="9" fillId="0" borderId="0" xfId="0" applyNumberFormat="1" applyFont="1"/>
    <xf numFmtId="38" fontId="9" fillId="0" borderId="0" xfId="0" applyNumberFormat="1" applyFont="1" applyAlignment="1">
      <alignment horizontal="right"/>
    </xf>
    <xf numFmtId="167" fontId="0" fillId="0" borderId="0" xfId="0" applyNumberFormat="1" applyAlignment="1">
      <alignment horizontal="center"/>
    </xf>
    <xf numFmtId="165" fontId="1" fillId="0" borderId="7" xfId="0" applyNumberFormat="1" applyFont="1" applyBorder="1" applyAlignment="1">
      <alignment horizontal="center"/>
    </xf>
    <xf numFmtId="0" fontId="0" fillId="0" borderId="0" xfId="0" applyAlignment="1">
      <alignment horizontal="right"/>
    </xf>
    <xf numFmtId="166" fontId="0" fillId="0" borderId="10" xfId="0" applyNumberFormat="1" applyBorder="1" applyAlignment="1">
      <alignment horizontal="center"/>
    </xf>
    <xf numFmtId="167" fontId="9" fillId="0" borderId="0" xfId="0" applyNumberFormat="1" applyFont="1" applyAlignment="1">
      <alignment horizontal="left"/>
    </xf>
    <xf numFmtId="167" fontId="7" fillId="0" borderId="0" xfId="0" applyNumberFormat="1" applyFont="1" applyAlignment="1">
      <alignment horizontal="center"/>
    </xf>
    <xf numFmtId="166" fontId="0" fillId="0" borderId="1" xfId="0" applyNumberFormat="1" applyBorder="1"/>
    <xf numFmtId="3" fontId="2" fillId="0" borderId="0" xfId="0" applyNumberFormat="1" applyFont="1" applyAlignment="1">
      <alignment horizontal="right"/>
    </xf>
    <xf numFmtId="166" fontId="1" fillId="0" borderId="4" xfId="0" applyNumberFormat="1" applyFont="1" applyBorder="1" applyAlignment="1">
      <alignment horizontal="center"/>
    </xf>
    <xf numFmtId="0" fontId="1" fillId="0" borderId="0" xfId="0" applyFont="1" applyFill="1" applyBorder="1" applyAlignment="1">
      <alignment horizontal="center"/>
    </xf>
    <xf numFmtId="5" fontId="0" fillId="0" borderId="0" xfId="0" applyNumberFormat="1"/>
    <xf numFmtId="165" fontId="0" fillId="0" borderId="0" xfId="0" applyNumberFormat="1" applyAlignment="1">
      <alignment horizontal="right"/>
    </xf>
    <xf numFmtId="0" fontId="0" fillId="0" borderId="0" xfId="0" applyBorder="1" applyAlignment="1">
      <alignment horizontal="right"/>
    </xf>
    <xf numFmtId="0" fontId="5" fillId="0" borderId="0" xfId="0" applyFont="1" applyBorder="1" applyAlignment="1">
      <alignment horizontal="right"/>
    </xf>
    <xf numFmtId="3" fontId="0" fillId="0" borderId="1" xfId="0" applyNumberFormat="1" applyBorder="1"/>
    <xf numFmtId="168" fontId="0" fillId="0" borderId="0" xfId="0" applyNumberFormat="1"/>
    <xf numFmtId="0" fontId="2" fillId="0" borderId="1" xfId="0" applyFont="1" applyBorder="1" applyAlignment="1">
      <alignment horizontal="center"/>
    </xf>
    <xf numFmtId="0" fontId="11" fillId="0" borderId="0" xfId="0" applyFont="1"/>
    <xf numFmtId="3" fontId="0" fillId="0" borderId="0" xfId="0" applyNumberFormat="1" applyFill="1" applyBorder="1" applyAlignment="1">
      <alignment horizontal="right"/>
    </xf>
    <xf numFmtId="3" fontId="0" fillId="0" borderId="1" xfId="0" applyNumberFormat="1" applyFill="1" applyBorder="1" applyAlignment="1">
      <alignment horizontal="right"/>
    </xf>
    <xf numFmtId="3" fontId="2" fillId="0" borderId="0" xfId="0" applyNumberFormat="1" applyFont="1" applyFill="1" applyBorder="1" applyAlignment="1">
      <alignment horizontal="right"/>
    </xf>
    <xf numFmtId="3" fontId="0" fillId="0" borderId="0" xfId="0" applyNumberFormat="1" applyFill="1" applyBorder="1" applyAlignment="1">
      <alignment horizontal="left"/>
    </xf>
    <xf numFmtId="3" fontId="0" fillId="0" borderId="0" xfId="0" applyNumberFormat="1" applyAlignment="1">
      <alignment horizontal="left"/>
    </xf>
    <xf numFmtId="3" fontId="0" fillId="0" borderId="0" xfId="0" applyNumberFormat="1" applyBorder="1" applyAlignment="1">
      <alignment horizontal="left"/>
    </xf>
    <xf numFmtId="165" fontId="0" fillId="0" borderId="0" xfId="0" applyNumberFormat="1" applyBorder="1" applyAlignment="1">
      <alignment horizontal="left"/>
    </xf>
    <xf numFmtId="168" fontId="0" fillId="0" borderId="0" xfId="0" applyNumberFormat="1" applyBorder="1" applyAlignment="1">
      <alignment horizontal="left"/>
    </xf>
    <xf numFmtId="3" fontId="0" fillId="0" borderId="0" xfId="0" applyNumberFormat="1" applyFill="1" applyAlignment="1">
      <alignment horizontal="right"/>
    </xf>
    <xf numFmtId="166" fontId="0" fillId="2" borderId="0" xfId="1" applyNumberFormat="1" applyFont="1" applyFill="1"/>
    <xf numFmtId="165" fontId="0" fillId="0" borderId="0" xfId="0" applyNumberFormat="1" applyBorder="1" applyAlignment="1">
      <alignment horizontal="center"/>
    </xf>
    <xf numFmtId="3" fontId="0" fillId="0" borderId="0" xfId="0" applyNumberFormat="1" applyBorder="1" applyAlignment="1">
      <alignment horizontal="center"/>
    </xf>
    <xf numFmtId="10" fontId="0" fillId="0" borderId="0" xfId="2" applyNumberFormat="1" applyFont="1" applyBorder="1" applyAlignment="1">
      <alignment horizontal="center"/>
    </xf>
    <xf numFmtId="165" fontId="0" fillId="3" borderId="0" xfId="0" applyNumberFormat="1" applyFill="1" applyBorder="1" applyAlignment="1">
      <alignment horizontal="center"/>
    </xf>
    <xf numFmtId="1" fontId="0" fillId="0" borderId="1" xfId="0" applyNumberFormat="1" applyBorder="1"/>
    <xf numFmtId="0" fontId="2" fillId="0" borderId="1" xfId="0" applyFont="1" applyBorder="1"/>
    <xf numFmtId="3" fontId="0" fillId="0" borderId="2" xfId="0" applyNumberFormat="1" applyFill="1" applyBorder="1" applyAlignment="1">
      <alignment horizontal="right"/>
    </xf>
    <xf numFmtId="165" fontId="0" fillId="0" borderId="1" xfId="0" applyNumberFormat="1" applyBorder="1" applyAlignment="1">
      <alignment horizontal="right"/>
    </xf>
    <xf numFmtId="0" fontId="12" fillId="0" borderId="0" xfId="0" applyFont="1"/>
    <xf numFmtId="3" fontId="0" fillId="0" borderId="0" xfId="0" applyNumberFormat="1" applyFill="1" applyBorder="1" applyAlignment="1">
      <alignment horizontal="center"/>
    </xf>
    <xf numFmtId="9" fontId="0" fillId="2" borderId="0" xfId="2" applyNumberFormat="1" applyFont="1" applyFill="1" applyBorder="1" applyAlignment="1">
      <alignment horizontal="center"/>
    </xf>
    <xf numFmtId="165" fontId="0" fillId="2" borderId="0" xfId="0" applyNumberFormat="1" applyFill="1"/>
    <xf numFmtId="166" fontId="0" fillId="2" borderId="0" xfId="0" applyNumberFormat="1" applyFill="1"/>
    <xf numFmtId="17" fontId="3" fillId="0" borderId="0" xfId="0" applyNumberFormat="1" applyFont="1" applyAlignment="1">
      <alignment horizontal="center"/>
    </xf>
    <xf numFmtId="166" fontId="0" fillId="0" borderId="0" xfId="0" applyNumberFormat="1" applyAlignment="1">
      <alignment horizontal="center"/>
    </xf>
    <xf numFmtId="9" fontId="0" fillId="0" borderId="0" xfId="2" applyFont="1"/>
    <xf numFmtId="168" fontId="0" fillId="0" borderId="4" xfId="0" applyNumberFormat="1" applyBorder="1" applyAlignment="1">
      <alignment horizontal="center"/>
    </xf>
    <xf numFmtId="0" fontId="0" fillId="0" borderId="0" xfId="0" applyFill="1"/>
    <xf numFmtId="0" fontId="12" fillId="0" borderId="0" xfId="0" applyFont="1" applyFill="1"/>
    <xf numFmtId="3" fontId="0" fillId="0" borderId="0" xfId="0" applyNumberFormat="1" applyFill="1" applyAlignment="1">
      <alignment horizontal="left"/>
    </xf>
    <xf numFmtId="10" fontId="0" fillId="0" borderId="0" xfId="2" applyNumberFormat="1" applyFont="1" applyAlignment="1">
      <alignment horizontal="center"/>
    </xf>
    <xf numFmtId="165" fontId="2" fillId="0" borderId="0" xfId="0" applyNumberFormat="1" applyFont="1" applyFill="1"/>
    <xf numFmtId="165" fontId="0" fillId="0" borderId="1" xfId="0" applyNumberFormat="1" applyBorder="1"/>
    <xf numFmtId="3" fontId="0" fillId="4" borderId="0" xfId="0" applyNumberFormat="1" applyFill="1" applyBorder="1" applyAlignment="1">
      <alignment horizontal="center"/>
    </xf>
    <xf numFmtId="3" fontId="3" fillId="0" borderId="0" xfId="0" applyNumberFormat="1" applyFont="1" applyFill="1" applyBorder="1" applyAlignment="1">
      <alignment horizontal="center"/>
    </xf>
    <xf numFmtId="166" fontId="0" fillId="0" borderId="0" xfId="0" applyNumberFormat="1" applyBorder="1" applyAlignment="1">
      <alignment horizontal="center"/>
    </xf>
    <xf numFmtId="165" fontId="2" fillId="4" borderId="0" xfId="0" applyNumberFormat="1" applyFont="1" applyFill="1" applyBorder="1" applyAlignment="1">
      <alignment horizontal="center"/>
    </xf>
    <xf numFmtId="165" fontId="0" fillId="4" borderId="0" xfId="0" applyNumberFormat="1" applyFill="1" applyBorder="1" applyAlignment="1">
      <alignment horizontal="center"/>
    </xf>
    <xf numFmtId="0" fontId="14" fillId="0" borderId="0" xfId="0" applyFont="1" applyAlignment="1">
      <alignment horizontal="center"/>
    </xf>
    <xf numFmtId="3" fontId="0" fillId="5" borderId="0" xfId="0" applyNumberFormat="1" applyFill="1"/>
    <xf numFmtId="3" fontId="0" fillId="0" borderId="0" xfId="0" applyNumberFormat="1" applyFont="1" applyFill="1" applyBorder="1" applyAlignment="1">
      <alignment horizontal="right"/>
    </xf>
    <xf numFmtId="17" fontId="0" fillId="0" borderId="1" xfId="0" applyNumberFormat="1" applyFill="1" applyBorder="1" applyAlignment="1">
      <alignment horizontal="center"/>
    </xf>
    <xf numFmtId="165" fontId="0" fillId="0" borderId="0" xfId="2" applyNumberFormat="1" applyFont="1" applyAlignment="1">
      <alignment horizontal="right"/>
    </xf>
    <xf numFmtId="165" fontId="0" fillId="0" borderId="0" xfId="0" applyNumberFormat="1" applyBorder="1" applyProtection="1">
      <protection locked="0"/>
    </xf>
    <xf numFmtId="3" fontId="0" fillId="0" borderId="0" xfId="0" applyNumberFormat="1" applyFill="1"/>
    <xf numFmtId="0" fontId="1" fillId="0" borderId="0" xfId="0" applyFont="1" applyFill="1"/>
    <xf numFmtId="0" fontId="13" fillId="0" borderId="0" xfId="0" applyFont="1" applyFill="1"/>
    <xf numFmtId="0" fontId="0" fillId="0" borderId="0" xfId="0" applyFont="1" applyFill="1"/>
    <xf numFmtId="0" fontId="3" fillId="0" borderId="0" xfId="0" applyFont="1" applyFill="1" applyAlignment="1">
      <alignment horizontal="center"/>
    </xf>
    <xf numFmtId="17" fontId="3" fillId="0" borderId="0" xfId="0" applyNumberFormat="1" applyFont="1" applyFill="1" applyAlignment="1">
      <alignment horizontal="center"/>
    </xf>
    <xf numFmtId="165" fontId="0" fillId="0" borderId="0" xfId="0" applyNumberFormat="1" applyFill="1"/>
    <xf numFmtId="0" fontId="0" fillId="0" borderId="1" xfId="0" applyFill="1" applyBorder="1"/>
    <xf numFmtId="165" fontId="0" fillId="0" borderId="1" xfId="0" applyNumberFormat="1" applyFill="1" applyBorder="1"/>
    <xf numFmtId="0" fontId="0" fillId="0" borderId="0" xfId="0" quotePrefix="1" applyFill="1"/>
    <xf numFmtId="3" fontId="2" fillId="0" borderId="1" xfId="0" applyNumberFormat="1" applyFont="1" applyFill="1" applyBorder="1" applyAlignment="1">
      <alignment horizontal="right"/>
    </xf>
    <xf numFmtId="10" fontId="0" fillId="0" borderId="0" xfId="2" applyNumberFormat="1" applyFont="1"/>
    <xf numFmtId="3" fontId="0" fillId="0" borderId="0" xfId="1" applyNumberFormat="1" applyFont="1"/>
    <xf numFmtId="4" fontId="0" fillId="0" borderId="0" xfId="0" applyNumberFormat="1"/>
    <xf numFmtId="0" fontId="7" fillId="0" borderId="0" xfId="4" applyAlignment="1">
      <alignment horizontal="centerContinuous"/>
    </xf>
    <xf numFmtId="0" fontId="7" fillId="0" borderId="0" xfId="4"/>
    <xf numFmtId="0" fontId="15" fillId="0" borderId="0" xfId="4" applyFont="1" applyAlignment="1">
      <alignment horizontal="centerContinuous"/>
    </xf>
    <xf numFmtId="0" fontId="7" fillId="0" borderId="0" xfId="4" applyBorder="1"/>
    <xf numFmtId="0" fontId="9" fillId="6" borderId="0" xfId="4" applyFont="1" applyFill="1" applyAlignment="1">
      <alignment horizontal="center"/>
    </xf>
    <xf numFmtId="169" fontId="16" fillId="0" borderId="0" xfId="5" applyNumberFormat="1" applyFont="1" applyFill="1" applyBorder="1" applyAlignment="1">
      <alignment horizontal="center"/>
    </xf>
    <xf numFmtId="0" fontId="7" fillId="0" borderId="0" xfId="4" applyAlignment="1">
      <alignment horizontal="center"/>
    </xf>
    <xf numFmtId="0" fontId="15" fillId="0" borderId="0" xfId="4" applyFont="1" applyAlignment="1">
      <alignment horizontal="center"/>
    </xf>
    <xf numFmtId="16" fontId="15" fillId="0" borderId="0" xfId="4" applyNumberFormat="1" applyFont="1" applyBorder="1" applyAlignment="1">
      <alignment horizontal="left"/>
    </xf>
    <xf numFmtId="10" fontId="0" fillId="0" borderId="0" xfId="6" applyNumberFormat="1" applyFont="1" applyAlignment="1">
      <alignment horizontal="center"/>
    </xf>
    <xf numFmtId="10" fontId="0" fillId="6" borderId="0" xfId="6" applyNumberFormat="1" applyFont="1" applyFill="1" applyAlignment="1">
      <alignment horizontal="center"/>
    </xf>
    <xf numFmtId="10" fontId="7" fillId="0" borderId="0" xfId="6" applyNumberFormat="1" applyFont="1" applyBorder="1" applyAlignment="1">
      <alignment horizontal="left"/>
    </xf>
    <xf numFmtId="10" fontId="0" fillId="0" borderId="0" xfId="6" applyNumberFormat="1" applyFont="1" applyFill="1" applyAlignment="1">
      <alignment horizontal="center"/>
    </xf>
    <xf numFmtId="165" fontId="7" fillId="0" borderId="0" xfId="4" applyNumberFormat="1"/>
    <xf numFmtId="165" fontId="7" fillId="0" borderId="0" xfId="4" applyNumberFormat="1" applyBorder="1"/>
    <xf numFmtId="3" fontId="7" fillId="0" borderId="0" xfId="4" applyNumberFormat="1"/>
    <xf numFmtId="3" fontId="7" fillId="0" borderId="0" xfId="4" applyNumberFormat="1" applyBorder="1"/>
    <xf numFmtId="3" fontId="7" fillId="0" borderId="0" xfId="4" applyNumberFormat="1" applyFill="1"/>
    <xf numFmtId="165" fontId="7" fillId="0" borderId="0" xfId="4" applyNumberFormat="1" applyFont="1" applyFill="1" applyAlignment="1">
      <alignment horizontal="center"/>
    </xf>
    <xf numFmtId="0" fontId="7" fillId="0" borderId="0" xfId="7" applyFont="1" applyFill="1" applyAlignment="1">
      <alignment horizontal="center"/>
    </xf>
    <xf numFmtId="3" fontId="7" fillId="0" borderId="1" xfId="4" applyNumberFormat="1" applyBorder="1"/>
    <xf numFmtId="165" fontId="18" fillId="0" borderId="0" xfId="4" applyNumberFormat="1" applyFont="1" applyFill="1"/>
    <xf numFmtId="3" fontId="7" fillId="0" borderId="6" xfId="4" applyNumberFormat="1" applyBorder="1"/>
    <xf numFmtId="9" fontId="7" fillId="0" borderId="0" xfId="4" applyNumberFormat="1"/>
    <xf numFmtId="0" fontId="7" fillId="0" borderId="0" xfId="4" applyFont="1"/>
    <xf numFmtId="0" fontId="7" fillId="0" borderId="0" xfId="4" applyFill="1"/>
    <xf numFmtId="3" fontId="7" fillId="0" borderId="0" xfId="4" applyNumberFormat="1" applyFill="1" applyBorder="1"/>
    <xf numFmtId="165" fontId="7" fillId="6" borderId="0" xfId="4" applyNumberFormat="1" applyFill="1"/>
    <xf numFmtId="3" fontId="7" fillId="6" borderId="0" xfId="4" applyNumberFormat="1" applyFill="1"/>
    <xf numFmtId="0" fontId="9" fillId="0" borderId="0" xfId="4" applyFont="1" applyFill="1"/>
    <xf numFmtId="0" fontId="7" fillId="6" borderId="0" xfId="4" applyFill="1" applyBorder="1"/>
    <xf numFmtId="0" fontId="7" fillId="6" borderId="0" xfId="4" applyFill="1" applyAlignment="1">
      <alignment horizontal="centerContinuous"/>
    </xf>
    <xf numFmtId="0" fontId="7" fillId="6" borderId="0" xfId="4" applyFill="1"/>
    <xf numFmtId="0" fontId="9" fillId="0" borderId="0" xfId="4" applyFont="1"/>
    <xf numFmtId="165" fontId="9" fillId="0" borderId="0" xfId="4" applyNumberFormat="1" applyFont="1"/>
    <xf numFmtId="3" fontId="0" fillId="6" borderId="0" xfId="0" applyNumberFormat="1" applyFont="1" applyFill="1" applyBorder="1" applyAlignment="1">
      <alignment horizontal="right"/>
    </xf>
    <xf numFmtId="3" fontId="0" fillId="6" borderId="0" xfId="0" applyNumberFormat="1" applyFill="1" applyBorder="1" applyAlignment="1">
      <alignment horizontal="right"/>
    </xf>
    <xf numFmtId="3" fontId="2" fillId="6" borderId="0" xfId="0" applyNumberFormat="1" applyFont="1" applyFill="1" applyBorder="1" applyAlignment="1">
      <alignment horizontal="right"/>
    </xf>
    <xf numFmtId="170" fontId="7" fillId="0" borderId="0" xfId="3" applyNumberFormat="1" applyFont="1" applyBorder="1"/>
    <xf numFmtId="165" fontId="21" fillId="0" borderId="0" xfId="0" applyNumberFormat="1" applyFont="1" applyFill="1"/>
    <xf numFmtId="10" fontId="0" fillId="0" borderId="0" xfId="0" applyNumberFormat="1" applyFill="1"/>
    <xf numFmtId="7" fontId="0" fillId="0" borderId="0" xfId="3" applyNumberFormat="1" applyFont="1" applyFill="1"/>
    <xf numFmtId="0" fontId="9" fillId="0" borderId="0" xfId="4" quotePrefix="1" applyFont="1"/>
    <xf numFmtId="165" fontId="7" fillId="0" borderId="1" xfId="4" applyNumberFormat="1" applyBorder="1"/>
    <xf numFmtId="0" fontId="9" fillId="0" borderId="0" xfId="4" quotePrefix="1" applyFont="1" applyAlignment="1">
      <alignment horizontal="center"/>
    </xf>
    <xf numFmtId="0" fontId="9" fillId="6" borderId="0" xfId="4" applyFont="1" applyFill="1"/>
    <xf numFmtId="0" fontId="7" fillId="6" borderId="0" xfId="4" applyFont="1" applyFill="1"/>
    <xf numFmtId="170" fontId="9" fillId="6" borderId="11" xfId="3" applyNumberFormat="1" applyFont="1" applyFill="1" applyBorder="1"/>
    <xf numFmtId="0" fontId="9" fillId="0" borderId="0" xfId="4" applyFont="1" applyAlignment="1">
      <alignment wrapText="1"/>
    </xf>
    <xf numFmtId="0" fontId="7" fillId="0" borderId="0" xfId="4" applyFont="1" applyAlignment="1">
      <alignment horizontal="center"/>
    </xf>
    <xf numFmtId="0" fontId="15" fillId="0" borderId="0" xfId="4" applyFont="1" applyBorder="1" applyAlignment="1">
      <alignment horizontal="center"/>
    </xf>
    <xf numFmtId="10" fontId="0" fillId="0" borderId="0" xfId="6" applyNumberFormat="1" applyFont="1" applyBorder="1" applyAlignment="1">
      <alignment horizontal="center"/>
    </xf>
    <xf numFmtId="3" fontId="7" fillId="0" borderId="0" xfId="1" applyNumberFormat="1" applyFont="1"/>
    <xf numFmtId="3" fontId="7" fillId="0" borderId="1" xfId="1" applyNumberFormat="1" applyFont="1" applyBorder="1"/>
    <xf numFmtId="3" fontId="7" fillId="0" borderId="1" xfId="4" applyNumberFormat="1" applyFill="1" applyBorder="1"/>
    <xf numFmtId="165" fontId="7" fillId="0" borderId="0" xfId="4" applyNumberFormat="1" applyFill="1"/>
    <xf numFmtId="0" fontId="7" fillId="0" borderId="0" xfId="4" applyFont="1" applyFill="1"/>
    <xf numFmtId="171" fontId="0" fillId="0" borderId="0" xfId="6" applyNumberFormat="1" applyFont="1"/>
    <xf numFmtId="0" fontId="7" fillId="7" borderId="0" xfId="4" applyFont="1" applyFill="1"/>
    <xf numFmtId="0" fontId="7" fillId="7" borderId="0" xfId="4" applyFill="1"/>
    <xf numFmtId="0" fontId="9" fillId="6" borderId="0" xfId="4" applyFont="1" applyFill="1" applyBorder="1" applyAlignment="1">
      <alignment horizontal="center"/>
    </xf>
    <xf numFmtId="0" fontId="9" fillId="0" borderId="0" xfId="4" applyFont="1" applyFill="1" applyBorder="1" applyAlignment="1">
      <alignment horizontal="center"/>
    </xf>
    <xf numFmtId="0" fontId="9" fillId="0" borderId="0" xfId="4" applyFont="1" applyAlignment="1">
      <alignment horizontal="center"/>
    </xf>
    <xf numFmtId="0" fontId="7" fillId="6" borderId="17" xfId="4" applyFill="1" applyBorder="1" applyAlignment="1">
      <alignment horizontal="center"/>
    </xf>
    <xf numFmtId="0" fontId="7" fillId="0" borderId="18" xfId="4" applyBorder="1"/>
    <xf numFmtId="0" fontId="15" fillId="6" borderId="17" xfId="4" applyFont="1" applyFill="1" applyBorder="1" applyAlignment="1">
      <alignment horizontal="center"/>
    </xf>
    <xf numFmtId="0" fontId="7" fillId="0" borderId="19" xfId="4" applyBorder="1"/>
    <xf numFmtId="0" fontId="7" fillId="0" borderId="20" xfId="4" applyBorder="1"/>
    <xf numFmtId="0" fontId="7" fillId="0" borderId="17" xfId="4" applyBorder="1"/>
    <xf numFmtId="165" fontId="9" fillId="0" borderId="17" xfId="4" applyNumberFormat="1" applyFont="1" applyBorder="1"/>
    <xf numFmtId="165" fontId="9" fillId="0" borderId="19" xfId="4" applyNumberFormat="1" applyFont="1" applyBorder="1"/>
    <xf numFmtId="3" fontId="9" fillId="0" borderId="17" xfId="4" applyNumberFormat="1" applyFont="1" applyBorder="1"/>
    <xf numFmtId="0" fontId="9" fillId="0" borderId="17" xfId="4" applyFont="1" applyBorder="1"/>
    <xf numFmtId="165" fontId="9" fillId="0" borderId="17" xfId="4" applyNumberFormat="1" applyFont="1" applyFill="1" applyBorder="1"/>
    <xf numFmtId="3" fontId="9" fillId="0" borderId="21" xfId="4" applyNumberFormat="1" applyFont="1" applyBorder="1"/>
    <xf numFmtId="3" fontId="9" fillId="0" borderId="19" xfId="4" applyNumberFormat="1" applyFont="1" applyBorder="1"/>
    <xf numFmtId="165" fontId="9" fillId="0" borderId="22" xfId="4" applyNumberFormat="1" applyFont="1" applyBorder="1"/>
    <xf numFmtId="0" fontId="7" fillId="0" borderId="23" xfId="4" applyBorder="1"/>
    <xf numFmtId="0" fontId="7" fillId="0" borderId="0" xfId="4" applyFill="1" applyBorder="1"/>
    <xf numFmtId="3" fontId="9" fillId="0" borderId="0" xfId="4" applyNumberFormat="1" applyFont="1" applyFill="1" applyBorder="1"/>
    <xf numFmtId="0" fontId="7" fillId="0" borderId="0" xfId="8" applyFont="1" applyAlignment="1">
      <alignment horizontal="left" wrapText="1"/>
    </xf>
    <xf numFmtId="0" fontId="7" fillId="0" borderId="0" xfId="4" applyFont="1" applyAlignment="1">
      <alignment horizontal="left" wrapText="1"/>
    </xf>
    <xf numFmtId="10" fontId="9" fillId="0" borderId="0" xfId="6" applyNumberFormat="1" applyFont="1" applyFill="1" applyAlignment="1">
      <alignment horizontal="center"/>
    </xf>
    <xf numFmtId="0" fontId="7" fillId="0" borderId="16" xfId="4" applyFill="1" applyBorder="1" applyAlignment="1">
      <alignment vertical="top" wrapText="1"/>
    </xf>
    <xf numFmtId="0" fontId="7" fillId="0" borderId="18" xfId="4" applyFill="1" applyBorder="1" applyAlignment="1">
      <alignment vertical="top" wrapText="1"/>
    </xf>
    <xf numFmtId="0" fontId="7" fillId="0" borderId="18" xfId="4" applyFill="1" applyBorder="1"/>
    <xf numFmtId="0" fontId="7" fillId="6" borderId="19" xfId="4" applyFill="1" applyBorder="1"/>
    <xf numFmtId="0" fontId="7" fillId="6" borderId="17" xfId="4" applyFill="1" applyBorder="1"/>
    <xf numFmtId="165" fontId="9" fillId="6" borderId="17" xfId="4" applyNumberFormat="1" applyFont="1" applyFill="1" applyBorder="1"/>
    <xf numFmtId="165" fontId="9" fillId="6" borderId="19" xfId="4" applyNumberFormat="1" applyFont="1" applyFill="1" applyBorder="1"/>
    <xf numFmtId="3" fontId="9" fillId="6" borderId="17" xfId="4" applyNumberFormat="1" applyFont="1" applyFill="1" applyBorder="1"/>
    <xf numFmtId="0" fontId="9" fillId="6" borderId="17" xfId="4" applyFont="1" applyFill="1" applyBorder="1"/>
    <xf numFmtId="3" fontId="9" fillId="6" borderId="21" xfId="4" applyNumberFormat="1" applyFont="1" applyFill="1" applyBorder="1"/>
    <xf numFmtId="3" fontId="9" fillId="6" borderId="19" xfId="4" applyNumberFormat="1" applyFont="1" applyFill="1" applyBorder="1"/>
    <xf numFmtId="165" fontId="9" fillId="6" borderId="22" xfId="4" applyNumberFormat="1" applyFont="1" applyFill="1" applyBorder="1"/>
    <xf numFmtId="0" fontId="9" fillId="0" borderId="0" xfId="4" applyFont="1" applyFill="1" applyBorder="1" applyAlignment="1">
      <alignment wrapText="1"/>
    </xf>
    <xf numFmtId="170" fontId="9" fillId="0" borderId="0" xfId="3" applyNumberFormat="1" applyFont="1" applyFill="1" applyBorder="1" applyAlignment="1">
      <alignment wrapText="1"/>
    </xf>
    <xf numFmtId="3" fontId="9" fillId="6" borderId="0" xfId="4" applyNumberFormat="1" applyFont="1" applyFill="1" applyBorder="1"/>
    <xf numFmtId="0" fontId="22" fillId="6" borderId="0" xfId="4" applyFont="1" applyFill="1" applyAlignment="1"/>
    <xf numFmtId="0" fontId="7" fillId="0" borderId="0" xfId="4" applyFill="1" applyAlignment="1">
      <alignment horizontal="center"/>
    </xf>
    <xf numFmtId="0" fontId="9" fillId="0" borderId="0" xfId="4" applyFont="1" applyFill="1" applyAlignment="1">
      <alignment wrapText="1"/>
    </xf>
    <xf numFmtId="0" fontId="9" fillId="0" borderId="0" xfId="4" applyFont="1" applyFill="1" applyAlignment="1">
      <alignment horizontal="center"/>
    </xf>
    <xf numFmtId="0" fontId="7" fillId="0" borderId="17" xfId="4" applyFill="1" applyBorder="1" applyAlignment="1">
      <alignment horizontal="center"/>
    </xf>
    <xf numFmtId="0" fontId="7" fillId="0" borderId="0" xfId="4" applyFont="1" applyFill="1" applyAlignment="1">
      <alignment horizontal="center"/>
    </xf>
    <xf numFmtId="0" fontId="15" fillId="0" borderId="0" xfId="4" applyFont="1" applyFill="1" applyAlignment="1">
      <alignment horizontal="center"/>
    </xf>
    <xf numFmtId="0" fontId="15" fillId="0" borderId="0" xfId="4" applyFont="1" applyFill="1" applyBorder="1" applyAlignment="1">
      <alignment horizontal="center"/>
    </xf>
    <xf numFmtId="0" fontId="15" fillId="0" borderId="17" xfId="4" applyFont="1" applyFill="1" applyBorder="1" applyAlignment="1">
      <alignment horizontal="center"/>
    </xf>
    <xf numFmtId="0" fontId="9" fillId="0" borderId="0" xfId="4" applyFont="1" applyFill="1" applyAlignment="1"/>
    <xf numFmtId="170" fontId="7" fillId="0" borderId="0" xfId="3" applyNumberFormat="1" applyFont="1" applyFill="1" applyBorder="1"/>
    <xf numFmtId="0" fontId="22" fillId="0" borderId="0" xfId="4" quotePrefix="1" applyFont="1"/>
    <xf numFmtId="0" fontId="7" fillId="0" borderId="14" xfId="4" applyBorder="1"/>
    <xf numFmtId="0" fontId="9" fillId="0" borderId="12" xfId="4" applyFont="1" applyBorder="1"/>
    <xf numFmtId="0" fontId="9" fillId="0" borderId="13" xfId="4" applyFont="1" applyBorder="1"/>
    <xf numFmtId="0" fontId="9" fillId="0" borderId="13" xfId="4" applyFont="1" applyBorder="1" applyAlignment="1">
      <alignment horizontal="right"/>
    </xf>
    <xf numFmtId="170" fontId="9" fillId="0" borderId="13" xfId="3" applyNumberFormat="1" applyFont="1" applyBorder="1"/>
    <xf numFmtId="0" fontId="20" fillId="8" borderId="0" xfId="0" applyFont="1" applyFill="1" applyAlignment="1">
      <alignment horizontal="center"/>
    </xf>
    <xf numFmtId="14" fontId="0" fillId="8" borderId="0" xfId="0" applyNumberFormat="1" applyFill="1" applyAlignment="1">
      <alignment horizontal="left"/>
    </xf>
    <xf numFmtId="0" fontId="0" fillId="8" borderId="0" xfId="0" applyFill="1"/>
    <xf numFmtId="0" fontId="7" fillId="0" borderId="0" xfId="8" applyFont="1" applyAlignment="1">
      <alignment horizontal="left" wrapText="1"/>
    </xf>
    <xf numFmtId="0" fontId="7" fillId="0" borderId="0" xfId="4" applyFont="1" applyAlignment="1">
      <alignment horizontal="left" wrapText="1"/>
    </xf>
    <xf numFmtId="0" fontId="23" fillId="6" borderId="0" xfId="4" applyFont="1" applyFill="1" applyAlignment="1">
      <alignment horizontal="center" vertical="center"/>
    </xf>
    <xf numFmtId="0" fontId="9" fillId="0" borderId="0" xfId="4" applyFont="1" applyFill="1" applyAlignment="1">
      <alignment horizontal="center"/>
    </xf>
    <xf numFmtId="0" fontId="9" fillId="6" borderId="0" xfId="4" applyFont="1" applyFill="1" applyAlignment="1">
      <alignment horizontal="center" vertical="top" wrapText="1"/>
    </xf>
    <xf numFmtId="0" fontId="9" fillId="6" borderId="9" xfId="4" applyFont="1" applyFill="1" applyBorder="1" applyAlignment="1">
      <alignment horizontal="center" vertical="top" wrapText="1"/>
    </xf>
    <xf numFmtId="0" fontId="9" fillId="0" borderId="12" xfId="4" applyFont="1" applyFill="1" applyBorder="1" applyAlignment="1">
      <alignment horizontal="center"/>
    </xf>
    <xf numFmtId="0" fontId="9" fillId="0" borderId="13" xfId="4" applyFont="1" applyFill="1" applyBorder="1" applyAlignment="1">
      <alignment horizontal="center"/>
    </xf>
    <xf numFmtId="0" fontId="9" fillId="0" borderId="14" xfId="4" applyFont="1" applyFill="1" applyBorder="1" applyAlignment="1">
      <alignment horizontal="center"/>
    </xf>
    <xf numFmtId="0" fontId="9" fillId="6" borderId="12" xfId="4" applyFont="1" applyFill="1" applyBorder="1" applyAlignment="1">
      <alignment horizontal="center"/>
    </xf>
    <xf numFmtId="0" fontId="9" fillId="6" borderId="13" xfId="4" applyFont="1" applyFill="1" applyBorder="1" applyAlignment="1">
      <alignment horizontal="center"/>
    </xf>
    <xf numFmtId="0" fontId="9" fillId="6" borderId="14" xfId="4" applyFont="1" applyFill="1" applyBorder="1" applyAlignment="1">
      <alignment horizontal="center"/>
    </xf>
    <xf numFmtId="0" fontId="7" fillId="6" borderId="15" xfId="4" applyFill="1" applyBorder="1" applyAlignment="1">
      <alignment horizontal="center" vertical="center" wrapText="1"/>
    </xf>
    <xf numFmtId="0" fontId="7" fillId="6" borderId="17" xfId="4" applyFill="1" applyBorder="1" applyAlignment="1">
      <alignment horizontal="center" vertical="center" wrapText="1"/>
    </xf>
    <xf numFmtId="0" fontId="7" fillId="0" borderId="24" xfId="4" applyBorder="1" applyAlignment="1">
      <alignment horizontal="left" vertical="top" wrapText="1"/>
    </xf>
    <xf numFmtId="0" fontId="22" fillId="6" borderId="0" xfId="4" applyFont="1" applyFill="1" applyAlignment="1">
      <alignment horizontal="center"/>
    </xf>
    <xf numFmtId="0" fontId="9" fillId="0" borderId="0" xfId="4" applyFont="1" applyFill="1" applyBorder="1" applyAlignment="1">
      <alignment horizontal="center" wrapText="1"/>
    </xf>
    <xf numFmtId="0" fontId="24" fillId="6" borderId="15" xfId="4" applyFont="1" applyFill="1" applyBorder="1" applyAlignment="1">
      <alignment horizontal="center" vertical="center" wrapText="1"/>
    </xf>
    <xf numFmtId="0" fontId="24" fillId="6" borderId="17" xfId="4" applyFont="1" applyFill="1" applyBorder="1" applyAlignment="1">
      <alignment horizontal="center" vertical="center" wrapText="1"/>
    </xf>
    <xf numFmtId="0" fontId="9" fillId="6" borderId="0" xfId="4" applyFont="1" applyFill="1" applyAlignment="1">
      <alignment horizontal="center"/>
    </xf>
    <xf numFmtId="0" fontId="7" fillId="0" borderId="0" xfId="4" applyFill="1" applyAlignment="1">
      <alignment horizontal="left" vertical="top" wrapText="1"/>
    </xf>
  </cellXfs>
  <cellStyles count="9">
    <cellStyle name="Comma" xfId="1" builtinId="3"/>
    <cellStyle name="Comma 2" xfId="5"/>
    <cellStyle name="Currency" xfId="3" builtinId="4"/>
    <cellStyle name="Normal" xfId="0" builtinId="0"/>
    <cellStyle name="Normal 2 3" xfId="4"/>
    <cellStyle name="Normal 3" xfId="8"/>
    <cellStyle name="Normal 8" xfId="7"/>
    <cellStyle name="Percent" xfId="2" builtinId="5"/>
    <cellStyle name="Percent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23</xdr:col>
      <xdr:colOff>104775</xdr:colOff>
      <xdr:row>36</xdr:row>
      <xdr:rowOff>57150</xdr:rowOff>
    </xdr:from>
    <xdr:to>
      <xdr:col>23</xdr:col>
      <xdr:colOff>104775</xdr:colOff>
      <xdr:row>48</xdr:row>
      <xdr:rowOff>219075</xdr:rowOff>
    </xdr:to>
    <xdr:cxnSp macro="">
      <xdr:nvCxnSpPr>
        <xdr:cNvPr id="3" name="Straight Arrow Connector 2"/>
        <xdr:cNvCxnSpPr/>
      </xdr:nvCxnSpPr>
      <xdr:spPr>
        <a:xfrm>
          <a:off x="10210800" y="6324600"/>
          <a:ext cx="0" cy="2181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98425</xdr:colOff>
      <xdr:row>3</xdr:row>
      <xdr:rowOff>174625</xdr:rowOff>
    </xdr:from>
    <xdr:ext cx="1809750" cy="438151"/>
    <xdr:sp macro="" textlink="">
      <xdr:nvSpPr>
        <xdr:cNvPr id="3" name="TextBox 2"/>
        <xdr:cNvSpPr txBox="1"/>
      </xdr:nvSpPr>
      <xdr:spPr>
        <a:xfrm>
          <a:off x="511175" y="650875"/>
          <a:ext cx="1809750" cy="43815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050" b="1"/>
            <a:t>Including November</a:t>
          </a:r>
          <a:r>
            <a:rPr lang="en-US" sz="1050" b="1" baseline="0"/>
            <a:t> Power Supply Update</a:t>
          </a:r>
          <a:endParaRPr lang="en-US" sz="105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295275</xdr:colOff>
      <xdr:row>1</xdr:row>
      <xdr:rowOff>38099</xdr:rowOff>
    </xdr:from>
    <xdr:ext cx="1990725" cy="436786"/>
    <xdr:sp macro="" textlink="">
      <xdr:nvSpPr>
        <xdr:cNvPr id="2" name="TextBox 1"/>
        <xdr:cNvSpPr txBox="1"/>
      </xdr:nvSpPr>
      <xdr:spPr>
        <a:xfrm>
          <a:off x="10372725" y="238124"/>
          <a:ext cx="1990725" cy="43678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t>Including November</a:t>
          </a:r>
          <a:r>
            <a:rPr lang="en-US" sz="1100" b="1" baseline="0"/>
            <a:t> Power Supply Update</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276225</xdr:colOff>
      <xdr:row>39</xdr:row>
      <xdr:rowOff>152400</xdr:rowOff>
    </xdr:from>
    <xdr:ext cx="1990725" cy="436786"/>
    <xdr:sp macro="" textlink="">
      <xdr:nvSpPr>
        <xdr:cNvPr id="2" name="TextBox 1"/>
        <xdr:cNvSpPr txBox="1"/>
      </xdr:nvSpPr>
      <xdr:spPr>
        <a:xfrm>
          <a:off x="7743825" y="6467475"/>
          <a:ext cx="1990725" cy="43678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t>Including November</a:t>
          </a:r>
          <a:r>
            <a:rPr lang="en-US" sz="1100" b="1" baseline="0"/>
            <a:t> Power Supply Update</a:t>
          </a:r>
          <a:endParaRPr lang="en-US" sz="11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2012%20WA%20Electric%20CBR%20Model%20%20(revised%20FI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abSelected="1" zoomScaleNormal="100" workbookViewId="0">
      <selection activeCell="H43" sqref="H43"/>
    </sheetView>
  </sheetViews>
  <sheetFormatPr defaultRowHeight="12.75"/>
  <cols>
    <col min="1" max="1" width="22.140625" style="147" customWidth="1"/>
    <col min="2" max="2" width="9.140625" style="147"/>
    <col min="3" max="3" width="10.5703125" style="147" customWidth="1"/>
    <col min="4" max="4" width="11.7109375" style="147" customWidth="1"/>
    <col min="5" max="5" width="10.42578125" style="147" bestFit="1" customWidth="1"/>
    <col min="6" max="6" width="11.42578125" style="147" customWidth="1"/>
    <col min="7" max="7" width="1.28515625" style="147" customWidth="1"/>
    <col min="8" max="8" width="10.85546875" style="147" bestFit="1" customWidth="1"/>
    <col min="9" max="9" width="0.140625" style="147" customWidth="1"/>
    <col min="10" max="10" width="10.42578125" style="147" hidden="1" customWidth="1"/>
    <col min="11" max="11" width="0.28515625" style="147" customWidth="1"/>
    <col min="12" max="12" width="3.42578125" style="147" customWidth="1"/>
    <col min="13" max="13" width="0.28515625" style="147" customWidth="1"/>
    <col min="14" max="14" width="11.7109375" style="147" customWidth="1"/>
    <col min="15" max="15" width="10.42578125" style="147" bestFit="1" customWidth="1"/>
    <col min="16" max="16" width="11.42578125" style="147" customWidth="1"/>
    <col min="17" max="17" width="1.28515625" style="147" customWidth="1"/>
    <col min="18" max="18" width="10.85546875" style="147" bestFit="1" customWidth="1"/>
    <col min="19" max="19" width="0.140625" style="147" customWidth="1"/>
    <col min="20" max="20" width="10.42578125" style="147" hidden="1" customWidth="1"/>
    <col min="21" max="21" width="1.85546875" style="147" customWidth="1"/>
    <col min="22" max="22" width="11.5703125" style="147" customWidth="1"/>
    <col min="23" max="23" width="0.5703125" style="147" customWidth="1"/>
    <col min="24" max="24" width="9.140625" style="147"/>
    <col min="25" max="25" width="10.7109375" style="147" bestFit="1" customWidth="1"/>
    <col min="26" max="253" width="9.140625" style="147"/>
    <col min="254" max="254" width="22.140625" style="147" customWidth="1"/>
    <col min="255" max="255" width="9.140625" style="147"/>
    <col min="256" max="256" width="10.5703125" style="147" customWidth="1"/>
    <col min="257" max="257" width="11.7109375" style="147" customWidth="1"/>
    <col min="258" max="258" width="16.28515625" style="147" customWidth="1"/>
    <col min="259" max="259" width="11.42578125" style="147" customWidth="1"/>
    <col min="260" max="260" width="1.28515625" style="147" customWidth="1"/>
    <col min="261" max="261" width="10.85546875" style="147" bestFit="1" customWidth="1"/>
    <col min="262" max="262" width="1.85546875" style="147" customWidth="1"/>
    <col min="263" max="263" width="10.42578125" style="147" bestFit="1" customWidth="1"/>
    <col min="264" max="509" width="9.140625" style="147"/>
    <col min="510" max="510" width="22.140625" style="147" customWidth="1"/>
    <col min="511" max="511" width="9.140625" style="147"/>
    <col min="512" max="512" width="10.5703125" style="147" customWidth="1"/>
    <col min="513" max="513" width="11.7109375" style="147" customWidth="1"/>
    <col min="514" max="514" width="16.28515625" style="147" customWidth="1"/>
    <col min="515" max="515" width="11.42578125" style="147" customWidth="1"/>
    <col min="516" max="516" width="1.28515625" style="147" customWidth="1"/>
    <col min="517" max="517" width="10.85546875" style="147" bestFit="1" customWidth="1"/>
    <col min="518" max="518" width="1.85546875" style="147" customWidth="1"/>
    <col min="519" max="519" width="10.42578125" style="147" bestFit="1" customWidth="1"/>
    <col min="520" max="765" width="9.140625" style="147"/>
    <col min="766" max="766" width="22.140625" style="147" customWidth="1"/>
    <col min="767" max="767" width="9.140625" style="147"/>
    <col min="768" max="768" width="10.5703125" style="147" customWidth="1"/>
    <col min="769" max="769" width="11.7109375" style="147" customWidth="1"/>
    <col min="770" max="770" width="16.28515625" style="147" customWidth="1"/>
    <col min="771" max="771" width="11.42578125" style="147" customWidth="1"/>
    <col min="772" max="772" width="1.28515625" style="147" customWidth="1"/>
    <col min="773" max="773" width="10.85546875" style="147" bestFit="1" customWidth="1"/>
    <col min="774" max="774" width="1.85546875" style="147" customWidth="1"/>
    <col min="775" max="775" width="10.42578125" style="147" bestFit="1" customWidth="1"/>
    <col min="776" max="1021" width="9.140625" style="147"/>
    <col min="1022" max="1022" width="22.140625" style="147" customWidth="1"/>
    <col min="1023" max="1023" width="9.140625" style="147"/>
    <col min="1024" max="1024" width="10.5703125" style="147" customWidth="1"/>
    <col min="1025" max="1025" width="11.7109375" style="147" customWidth="1"/>
    <col min="1026" max="1026" width="16.28515625" style="147" customWidth="1"/>
    <col min="1027" max="1027" width="11.42578125" style="147" customWidth="1"/>
    <col min="1028" max="1028" width="1.28515625" style="147" customWidth="1"/>
    <col min="1029" max="1029" width="10.85546875" style="147" bestFit="1" customWidth="1"/>
    <col min="1030" max="1030" width="1.85546875" style="147" customWidth="1"/>
    <col min="1031" max="1031" width="10.42578125" style="147" bestFit="1" customWidth="1"/>
    <col min="1032" max="1277" width="9.140625" style="147"/>
    <col min="1278" max="1278" width="22.140625" style="147" customWidth="1"/>
    <col min="1279" max="1279" width="9.140625" style="147"/>
    <col min="1280" max="1280" width="10.5703125" style="147" customWidth="1"/>
    <col min="1281" max="1281" width="11.7109375" style="147" customWidth="1"/>
    <col min="1282" max="1282" width="16.28515625" style="147" customWidth="1"/>
    <col min="1283" max="1283" width="11.42578125" style="147" customWidth="1"/>
    <col min="1284" max="1284" width="1.28515625" style="147" customWidth="1"/>
    <col min="1285" max="1285" width="10.85546875" style="147" bestFit="1" customWidth="1"/>
    <col min="1286" max="1286" width="1.85546875" style="147" customWidth="1"/>
    <col min="1287" max="1287" width="10.42578125" style="147" bestFit="1" customWidth="1"/>
    <col min="1288" max="1533" width="9.140625" style="147"/>
    <col min="1534" max="1534" width="22.140625" style="147" customWidth="1"/>
    <col min="1535" max="1535" width="9.140625" style="147"/>
    <col min="1536" max="1536" width="10.5703125" style="147" customWidth="1"/>
    <col min="1537" max="1537" width="11.7109375" style="147" customWidth="1"/>
    <col min="1538" max="1538" width="16.28515625" style="147" customWidth="1"/>
    <col min="1539" max="1539" width="11.42578125" style="147" customWidth="1"/>
    <col min="1540" max="1540" width="1.28515625" style="147" customWidth="1"/>
    <col min="1541" max="1541" width="10.85546875" style="147" bestFit="1" customWidth="1"/>
    <col min="1542" max="1542" width="1.85546875" style="147" customWidth="1"/>
    <col min="1543" max="1543" width="10.42578125" style="147" bestFit="1" customWidth="1"/>
    <col min="1544" max="1789" width="9.140625" style="147"/>
    <col min="1790" max="1790" width="22.140625" style="147" customWidth="1"/>
    <col min="1791" max="1791" width="9.140625" style="147"/>
    <col min="1792" max="1792" width="10.5703125" style="147" customWidth="1"/>
    <col min="1793" max="1793" width="11.7109375" style="147" customWidth="1"/>
    <col min="1794" max="1794" width="16.28515625" style="147" customWidth="1"/>
    <col min="1795" max="1795" width="11.42578125" style="147" customWidth="1"/>
    <col min="1796" max="1796" width="1.28515625" style="147" customWidth="1"/>
    <col min="1797" max="1797" width="10.85546875" style="147" bestFit="1" customWidth="1"/>
    <col min="1798" max="1798" width="1.85546875" style="147" customWidth="1"/>
    <col min="1799" max="1799" width="10.42578125" style="147" bestFit="1" customWidth="1"/>
    <col min="1800" max="2045" width="9.140625" style="147"/>
    <col min="2046" max="2046" width="22.140625" style="147" customWidth="1"/>
    <col min="2047" max="2047" width="9.140625" style="147"/>
    <col min="2048" max="2048" width="10.5703125" style="147" customWidth="1"/>
    <col min="2049" max="2049" width="11.7109375" style="147" customWidth="1"/>
    <col min="2050" max="2050" width="16.28515625" style="147" customWidth="1"/>
    <col min="2051" max="2051" width="11.42578125" style="147" customWidth="1"/>
    <col min="2052" max="2052" width="1.28515625" style="147" customWidth="1"/>
    <col min="2053" max="2053" width="10.85546875" style="147" bestFit="1" customWidth="1"/>
    <col min="2054" max="2054" width="1.85546875" style="147" customWidth="1"/>
    <col min="2055" max="2055" width="10.42578125" style="147" bestFit="1" customWidth="1"/>
    <col min="2056" max="2301" width="9.140625" style="147"/>
    <col min="2302" max="2302" width="22.140625" style="147" customWidth="1"/>
    <col min="2303" max="2303" width="9.140625" style="147"/>
    <col min="2304" max="2304" width="10.5703125" style="147" customWidth="1"/>
    <col min="2305" max="2305" width="11.7109375" style="147" customWidth="1"/>
    <col min="2306" max="2306" width="16.28515625" style="147" customWidth="1"/>
    <col min="2307" max="2307" width="11.42578125" style="147" customWidth="1"/>
    <col min="2308" max="2308" width="1.28515625" style="147" customWidth="1"/>
    <col min="2309" max="2309" width="10.85546875" style="147" bestFit="1" customWidth="1"/>
    <col min="2310" max="2310" width="1.85546875" style="147" customWidth="1"/>
    <col min="2311" max="2311" width="10.42578125" style="147" bestFit="1" customWidth="1"/>
    <col min="2312" max="2557" width="9.140625" style="147"/>
    <col min="2558" max="2558" width="22.140625" style="147" customWidth="1"/>
    <col min="2559" max="2559" width="9.140625" style="147"/>
    <col min="2560" max="2560" width="10.5703125" style="147" customWidth="1"/>
    <col min="2561" max="2561" width="11.7109375" style="147" customWidth="1"/>
    <col min="2562" max="2562" width="16.28515625" style="147" customWidth="1"/>
    <col min="2563" max="2563" width="11.42578125" style="147" customWidth="1"/>
    <col min="2564" max="2564" width="1.28515625" style="147" customWidth="1"/>
    <col min="2565" max="2565" width="10.85546875" style="147" bestFit="1" customWidth="1"/>
    <col min="2566" max="2566" width="1.85546875" style="147" customWidth="1"/>
    <col min="2567" max="2567" width="10.42578125" style="147" bestFit="1" customWidth="1"/>
    <col min="2568" max="2813" width="9.140625" style="147"/>
    <col min="2814" max="2814" width="22.140625" style="147" customWidth="1"/>
    <col min="2815" max="2815" width="9.140625" style="147"/>
    <col min="2816" max="2816" width="10.5703125" style="147" customWidth="1"/>
    <col min="2817" max="2817" width="11.7109375" style="147" customWidth="1"/>
    <col min="2818" max="2818" width="16.28515625" style="147" customWidth="1"/>
    <col min="2819" max="2819" width="11.42578125" style="147" customWidth="1"/>
    <col min="2820" max="2820" width="1.28515625" style="147" customWidth="1"/>
    <col min="2821" max="2821" width="10.85546875" style="147" bestFit="1" customWidth="1"/>
    <col min="2822" max="2822" width="1.85546875" style="147" customWidth="1"/>
    <col min="2823" max="2823" width="10.42578125" style="147" bestFit="1" customWidth="1"/>
    <col min="2824" max="3069" width="9.140625" style="147"/>
    <col min="3070" max="3070" width="22.140625" style="147" customWidth="1"/>
    <col min="3071" max="3071" width="9.140625" style="147"/>
    <col min="3072" max="3072" width="10.5703125" style="147" customWidth="1"/>
    <col min="3073" max="3073" width="11.7109375" style="147" customWidth="1"/>
    <col min="3074" max="3074" width="16.28515625" style="147" customWidth="1"/>
    <col min="3075" max="3075" width="11.42578125" style="147" customWidth="1"/>
    <col min="3076" max="3076" width="1.28515625" style="147" customWidth="1"/>
    <col min="3077" max="3077" width="10.85546875" style="147" bestFit="1" customWidth="1"/>
    <col min="3078" max="3078" width="1.85546875" style="147" customWidth="1"/>
    <col min="3079" max="3079" width="10.42578125" style="147" bestFit="1" customWidth="1"/>
    <col min="3080" max="3325" width="9.140625" style="147"/>
    <col min="3326" max="3326" width="22.140625" style="147" customWidth="1"/>
    <col min="3327" max="3327" width="9.140625" style="147"/>
    <col min="3328" max="3328" width="10.5703125" style="147" customWidth="1"/>
    <col min="3329" max="3329" width="11.7109375" style="147" customWidth="1"/>
    <col min="3330" max="3330" width="16.28515625" style="147" customWidth="1"/>
    <col min="3331" max="3331" width="11.42578125" style="147" customWidth="1"/>
    <col min="3332" max="3332" width="1.28515625" style="147" customWidth="1"/>
    <col min="3333" max="3333" width="10.85546875" style="147" bestFit="1" customWidth="1"/>
    <col min="3334" max="3334" width="1.85546875" style="147" customWidth="1"/>
    <col min="3335" max="3335" width="10.42578125" style="147" bestFit="1" customWidth="1"/>
    <col min="3336" max="3581" width="9.140625" style="147"/>
    <col min="3582" max="3582" width="22.140625" style="147" customWidth="1"/>
    <col min="3583" max="3583" width="9.140625" style="147"/>
    <col min="3584" max="3584" width="10.5703125" style="147" customWidth="1"/>
    <col min="3585" max="3585" width="11.7109375" style="147" customWidth="1"/>
    <col min="3586" max="3586" width="16.28515625" style="147" customWidth="1"/>
    <col min="3587" max="3587" width="11.42578125" style="147" customWidth="1"/>
    <col min="3588" max="3588" width="1.28515625" style="147" customWidth="1"/>
    <col min="3589" max="3589" width="10.85546875" style="147" bestFit="1" customWidth="1"/>
    <col min="3590" max="3590" width="1.85546875" style="147" customWidth="1"/>
    <col min="3591" max="3591" width="10.42578125" style="147" bestFit="1" customWidth="1"/>
    <col min="3592" max="3837" width="9.140625" style="147"/>
    <col min="3838" max="3838" width="22.140625" style="147" customWidth="1"/>
    <col min="3839" max="3839" width="9.140625" style="147"/>
    <col min="3840" max="3840" width="10.5703125" style="147" customWidth="1"/>
    <col min="3841" max="3841" width="11.7109375" style="147" customWidth="1"/>
    <col min="3842" max="3842" width="16.28515625" style="147" customWidth="1"/>
    <col min="3843" max="3843" width="11.42578125" style="147" customWidth="1"/>
    <col min="3844" max="3844" width="1.28515625" style="147" customWidth="1"/>
    <col min="3845" max="3845" width="10.85546875" style="147" bestFit="1" customWidth="1"/>
    <col min="3846" max="3846" width="1.85546875" style="147" customWidth="1"/>
    <col min="3847" max="3847" width="10.42578125" style="147" bestFit="1" customWidth="1"/>
    <col min="3848" max="4093" width="9.140625" style="147"/>
    <col min="4094" max="4094" width="22.140625" style="147" customWidth="1"/>
    <col min="4095" max="4095" width="9.140625" style="147"/>
    <col min="4096" max="4096" width="10.5703125" style="147" customWidth="1"/>
    <col min="4097" max="4097" width="11.7109375" style="147" customWidth="1"/>
    <col min="4098" max="4098" width="16.28515625" style="147" customWidth="1"/>
    <col min="4099" max="4099" width="11.42578125" style="147" customWidth="1"/>
    <col min="4100" max="4100" width="1.28515625" style="147" customWidth="1"/>
    <col min="4101" max="4101" width="10.85546875" style="147" bestFit="1" customWidth="1"/>
    <col min="4102" max="4102" width="1.85546875" style="147" customWidth="1"/>
    <col min="4103" max="4103" width="10.42578125" style="147" bestFit="1" customWidth="1"/>
    <col min="4104" max="4349" width="9.140625" style="147"/>
    <col min="4350" max="4350" width="22.140625" style="147" customWidth="1"/>
    <col min="4351" max="4351" width="9.140625" style="147"/>
    <col min="4352" max="4352" width="10.5703125" style="147" customWidth="1"/>
    <col min="4353" max="4353" width="11.7109375" style="147" customWidth="1"/>
    <col min="4354" max="4354" width="16.28515625" style="147" customWidth="1"/>
    <col min="4355" max="4355" width="11.42578125" style="147" customWidth="1"/>
    <col min="4356" max="4356" width="1.28515625" style="147" customWidth="1"/>
    <col min="4357" max="4357" width="10.85546875" style="147" bestFit="1" customWidth="1"/>
    <col min="4358" max="4358" width="1.85546875" style="147" customWidth="1"/>
    <col min="4359" max="4359" width="10.42578125" style="147" bestFit="1" customWidth="1"/>
    <col min="4360" max="4605" width="9.140625" style="147"/>
    <col min="4606" max="4606" width="22.140625" style="147" customWidth="1"/>
    <col min="4607" max="4607" width="9.140625" style="147"/>
    <col min="4608" max="4608" width="10.5703125" style="147" customWidth="1"/>
    <col min="4609" max="4609" width="11.7109375" style="147" customWidth="1"/>
    <col min="4610" max="4610" width="16.28515625" style="147" customWidth="1"/>
    <col min="4611" max="4611" width="11.42578125" style="147" customWidth="1"/>
    <col min="4612" max="4612" width="1.28515625" style="147" customWidth="1"/>
    <col min="4613" max="4613" width="10.85546875" style="147" bestFit="1" customWidth="1"/>
    <col min="4614" max="4614" width="1.85546875" style="147" customWidth="1"/>
    <col min="4615" max="4615" width="10.42578125" style="147" bestFit="1" customWidth="1"/>
    <col min="4616" max="4861" width="9.140625" style="147"/>
    <col min="4862" max="4862" width="22.140625" style="147" customWidth="1"/>
    <col min="4863" max="4863" width="9.140625" style="147"/>
    <col min="4864" max="4864" width="10.5703125" style="147" customWidth="1"/>
    <col min="4865" max="4865" width="11.7109375" style="147" customWidth="1"/>
    <col min="4866" max="4866" width="16.28515625" style="147" customWidth="1"/>
    <col min="4867" max="4867" width="11.42578125" style="147" customWidth="1"/>
    <col min="4868" max="4868" width="1.28515625" style="147" customWidth="1"/>
    <col min="4869" max="4869" width="10.85546875" style="147" bestFit="1" customWidth="1"/>
    <col min="4870" max="4870" width="1.85546875" style="147" customWidth="1"/>
    <col min="4871" max="4871" width="10.42578125" style="147" bestFit="1" customWidth="1"/>
    <col min="4872" max="5117" width="9.140625" style="147"/>
    <col min="5118" max="5118" width="22.140625" style="147" customWidth="1"/>
    <col min="5119" max="5119" width="9.140625" style="147"/>
    <col min="5120" max="5120" width="10.5703125" style="147" customWidth="1"/>
    <col min="5121" max="5121" width="11.7109375" style="147" customWidth="1"/>
    <col min="5122" max="5122" width="16.28515625" style="147" customWidth="1"/>
    <col min="5123" max="5123" width="11.42578125" style="147" customWidth="1"/>
    <col min="5124" max="5124" width="1.28515625" style="147" customWidth="1"/>
    <col min="5125" max="5125" width="10.85546875" style="147" bestFit="1" customWidth="1"/>
    <col min="5126" max="5126" width="1.85546875" style="147" customWidth="1"/>
    <col min="5127" max="5127" width="10.42578125" style="147" bestFit="1" customWidth="1"/>
    <col min="5128" max="5373" width="9.140625" style="147"/>
    <col min="5374" max="5374" width="22.140625" style="147" customWidth="1"/>
    <col min="5375" max="5375" width="9.140625" style="147"/>
    <col min="5376" max="5376" width="10.5703125" style="147" customWidth="1"/>
    <col min="5377" max="5377" width="11.7109375" style="147" customWidth="1"/>
    <col min="5378" max="5378" width="16.28515625" style="147" customWidth="1"/>
    <col min="5379" max="5379" width="11.42578125" style="147" customWidth="1"/>
    <col min="5380" max="5380" width="1.28515625" style="147" customWidth="1"/>
    <col min="5381" max="5381" width="10.85546875" style="147" bestFit="1" customWidth="1"/>
    <col min="5382" max="5382" width="1.85546875" style="147" customWidth="1"/>
    <col min="5383" max="5383" width="10.42578125" style="147" bestFit="1" customWidth="1"/>
    <col min="5384" max="5629" width="9.140625" style="147"/>
    <col min="5630" max="5630" width="22.140625" style="147" customWidth="1"/>
    <col min="5631" max="5631" width="9.140625" style="147"/>
    <col min="5632" max="5632" width="10.5703125" style="147" customWidth="1"/>
    <col min="5633" max="5633" width="11.7109375" style="147" customWidth="1"/>
    <col min="5634" max="5634" width="16.28515625" style="147" customWidth="1"/>
    <col min="5635" max="5635" width="11.42578125" style="147" customWidth="1"/>
    <col min="5636" max="5636" width="1.28515625" style="147" customWidth="1"/>
    <col min="5637" max="5637" width="10.85546875" style="147" bestFit="1" customWidth="1"/>
    <col min="5638" max="5638" width="1.85546875" style="147" customWidth="1"/>
    <col min="5639" max="5639" width="10.42578125" style="147" bestFit="1" customWidth="1"/>
    <col min="5640" max="5885" width="9.140625" style="147"/>
    <col min="5886" max="5886" width="22.140625" style="147" customWidth="1"/>
    <col min="5887" max="5887" width="9.140625" style="147"/>
    <col min="5888" max="5888" width="10.5703125" style="147" customWidth="1"/>
    <col min="5889" max="5889" width="11.7109375" style="147" customWidth="1"/>
    <col min="5890" max="5890" width="16.28515625" style="147" customWidth="1"/>
    <col min="5891" max="5891" width="11.42578125" style="147" customWidth="1"/>
    <col min="5892" max="5892" width="1.28515625" style="147" customWidth="1"/>
    <col min="5893" max="5893" width="10.85546875" style="147" bestFit="1" customWidth="1"/>
    <col min="5894" max="5894" width="1.85546875" style="147" customWidth="1"/>
    <col min="5895" max="5895" width="10.42578125" style="147" bestFit="1" customWidth="1"/>
    <col min="5896" max="6141" width="9.140625" style="147"/>
    <col min="6142" max="6142" width="22.140625" style="147" customWidth="1"/>
    <col min="6143" max="6143" width="9.140625" style="147"/>
    <col min="6144" max="6144" width="10.5703125" style="147" customWidth="1"/>
    <col min="6145" max="6145" width="11.7109375" style="147" customWidth="1"/>
    <col min="6146" max="6146" width="16.28515625" style="147" customWidth="1"/>
    <col min="6147" max="6147" width="11.42578125" style="147" customWidth="1"/>
    <col min="6148" max="6148" width="1.28515625" style="147" customWidth="1"/>
    <col min="6149" max="6149" width="10.85546875" style="147" bestFit="1" customWidth="1"/>
    <col min="6150" max="6150" width="1.85546875" style="147" customWidth="1"/>
    <col min="6151" max="6151" width="10.42578125" style="147" bestFit="1" customWidth="1"/>
    <col min="6152" max="6397" width="9.140625" style="147"/>
    <col min="6398" max="6398" width="22.140625" style="147" customWidth="1"/>
    <col min="6399" max="6399" width="9.140625" style="147"/>
    <col min="6400" max="6400" width="10.5703125" style="147" customWidth="1"/>
    <col min="6401" max="6401" width="11.7109375" style="147" customWidth="1"/>
    <col min="6402" max="6402" width="16.28515625" style="147" customWidth="1"/>
    <col min="6403" max="6403" width="11.42578125" style="147" customWidth="1"/>
    <col min="6404" max="6404" width="1.28515625" style="147" customWidth="1"/>
    <col min="6405" max="6405" width="10.85546875" style="147" bestFit="1" customWidth="1"/>
    <col min="6406" max="6406" width="1.85546875" style="147" customWidth="1"/>
    <col min="6407" max="6407" width="10.42578125" style="147" bestFit="1" customWidth="1"/>
    <col min="6408" max="6653" width="9.140625" style="147"/>
    <col min="6654" max="6654" width="22.140625" style="147" customWidth="1"/>
    <col min="6655" max="6655" width="9.140625" style="147"/>
    <col min="6656" max="6656" width="10.5703125" style="147" customWidth="1"/>
    <col min="6657" max="6657" width="11.7109375" style="147" customWidth="1"/>
    <col min="6658" max="6658" width="16.28515625" style="147" customWidth="1"/>
    <col min="6659" max="6659" width="11.42578125" style="147" customWidth="1"/>
    <col min="6660" max="6660" width="1.28515625" style="147" customWidth="1"/>
    <col min="6661" max="6661" width="10.85546875" style="147" bestFit="1" customWidth="1"/>
    <col min="6662" max="6662" width="1.85546875" style="147" customWidth="1"/>
    <col min="6663" max="6663" width="10.42578125" style="147" bestFit="1" customWidth="1"/>
    <col min="6664" max="6909" width="9.140625" style="147"/>
    <col min="6910" max="6910" width="22.140625" style="147" customWidth="1"/>
    <col min="6911" max="6911" width="9.140625" style="147"/>
    <col min="6912" max="6912" width="10.5703125" style="147" customWidth="1"/>
    <col min="6913" max="6913" width="11.7109375" style="147" customWidth="1"/>
    <col min="6914" max="6914" width="16.28515625" style="147" customWidth="1"/>
    <col min="6915" max="6915" width="11.42578125" style="147" customWidth="1"/>
    <col min="6916" max="6916" width="1.28515625" style="147" customWidth="1"/>
    <col min="6917" max="6917" width="10.85546875" style="147" bestFit="1" customWidth="1"/>
    <col min="6918" max="6918" width="1.85546875" style="147" customWidth="1"/>
    <col min="6919" max="6919" width="10.42578125" style="147" bestFit="1" customWidth="1"/>
    <col min="6920" max="7165" width="9.140625" style="147"/>
    <col min="7166" max="7166" width="22.140625" style="147" customWidth="1"/>
    <col min="7167" max="7167" width="9.140625" style="147"/>
    <col min="7168" max="7168" width="10.5703125" style="147" customWidth="1"/>
    <col min="7169" max="7169" width="11.7109375" style="147" customWidth="1"/>
    <col min="7170" max="7170" width="16.28515625" style="147" customWidth="1"/>
    <col min="7171" max="7171" width="11.42578125" style="147" customWidth="1"/>
    <col min="7172" max="7172" width="1.28515625" style="147" customWidth="1"/>
    <col min="7173" max="7173" width="10.85546875" style="147" bestFit="1" customWidth="1"/>
    <col min="7174" max="7174" width="1.85546875" style="147" customWidth="1"/>
    <col min="7175" max="7175" width="10.42578125" style="147" bestFit="1" customWidth="1"/>
    <col min="7176" max="7421" width="9.140625" style="147"/>
    <col min="7422" max="7422" width="22.140625" style="147" customWidth="1"/>
    <col min="7423" max="7423" width="9.140625" style="147"/>
    <col min="7424" max="7424" width="10.5703125" style="147" customWidth="1"/>
    <col min="7425" max="7425" width="11.7109375" style="147" customWidth="1"/>
    <col min="7426" max="7426" width="16.28515625" style="147" customWidth="1"/>
    <col min="7427" max="7427" width="11.42578125" style="147" customWidth="1"/>
    <col min="7428" max="7428" width="1.28515625" style="147" customWidth="1"/>
    <col min="7429" max="7429" width="10.85546875" style="147" bestFit="1" customWidth="1"/>
    <col min="7430" max="7430" width="1.85546875" style="147" customWidth="1"/>
    <col min="7431" max="7431" width="10.42578125" style="147" bestFit="1" customWidth="1"/>
    <col min="7432" max="7677" width="9.140625" style="147"/>
    <col min="7678" max="7678" width="22.140625" style="147" customWidth="1"/>
    <col min="7679" max="7679" width="9.140625" style="147"/>
    <col min="7680" max="7680" width="10.5703125" style="147" customWidth="1"/>
    <col min="7681" max="7681" width="11.7109375" style="147" customWidth="1"/>
    <col min="7682" max="7682" width="16.28515625" style="147" customWidth="1"/>
    <col min="7683" max="7683" width="11.42578125" style="147" customWidth="1"/>
    <col min="7684" max="7684" width="1.28515625" style="147" customWidth="1"/>
    <col min="7685" max="7685" width="10.85546875" style="147" bestFit="1" customWidth="1"/>
    <col min="7686" max="7686" width="1.85546875" style="147" customWidth="1"/>
    <col min="7687" max="7687" width="10.42578125" style="147" bestFit="1" customWidth="1"/>
    <col min="7688" max="7933" width="9.140625" style="147"/>
    <col min="7934" max="7934" width="22.140625" style="147" customWidth="1"/>
    <col min="7935" max="7935" width="9.140625" style="147"/>
    <col min="7936" max="7936" width="10.5703125" style="147" customWidth="1"/>
    <col min="7937" max="7937" width="11.7109375" style="147" customWidth="1"/>
    <col min="7938" max="7938" width="16.28515625" style="147" customWidth="1"/>
    <col min="7939" max="7939" width="11.42578125" style="147" customWidth="1"/>
    <col min="7940" max="7940" width="1.28515625" style="147" customWidth="1"/>
    <col min="7941" max="7941" width="10.85546875" style="147" bestFit="1" customWidth="1"/>
    <col min="7942" max="7942" width="1.85546875" style="147" customWidth="1"/>
    <col min="7943" max="7943" width="10.42578125" style="147" bestFit="1" customWidth="1"/>
    <col min="7944" max="8189" width="9.140625" style="147"/>
    <col min="8190" max="8190" width="22.140625" style="147" customWidth="1"/>
    <col min="8191" max="8191" width="9.140625" style="147"/>
    <col min="8192" max="8192" width="10.5703125" style="147" customWidth="1"/>
    <col min="8193" max="8193" width="11.7109375" style="147" customWidth="1"/>
    <col min="8194" max="8194" width="16.28515625" style="147" customWidth="1"/>
    <col min="8195" max="8195" width="11.42578125" style="147" customWidth="1"/>
    <col min="8196" max="8196" width="1.28515625" style="147" customWidth="1"/>
    <col min="8197" max="8197" width="10.85546875" style="147" bestFit="1" customWidth="1"/>
    <col min="8198" max="8198" width="1.85546875" style="147" customWidth="1"/>
    <col min="8199" max="8199" width="10.42578125" style="147" bestFit="1" customWidth="1"/>
    <col min="8200" max="8445" width="9.140625" style="147"/>
    <col min="8446" max="8446" width="22.140625" style="147" customWidth="1"/>
    <col min="8447" max="8447" width="9.140625" style="147"/>
    <col min="8448" max="8448" width="10.5703125" style="147" customWidth="1"/>
    <col min="8449" max="8449" width="11.7109375" style="147" customWidth="1"/>
    <col min="8450" max="8450" width="16.28515625" style="147" customWidth="1"/>
    <col min="8451" max="8451" width="11.42578125" style="147" customWidth="1"/>
    <col min="8452" max="8452" width="1.28515625" style="147" customWidth="1"/>
    <col min="8453" max="8453" width="10.85546875" style="147" bestFit="1" customWidth="1"/>
    <col min="8454" max="8454" width="1.85546875" style="147" customWidth="1"/>
    <col min="8455" max="8455" width="10.42578125" style="147" bestFit="1" customWidth="1"/>
    <col min="8456" max="8701" width="9.140625" style="147"/>
    <col min="8702" max="8702" width="22.140625" style="147" customWidth="1"/>
    <col min="8703" max="8703" width="9.140625" style="147"/>
    <col min="8704" max="8704" width="10.5703125" style="147" customWidth="1"/>
    <col min="8705" max="8705" width="11.7109375" style="147" customWidth="1"/>
    <col min="8706" max="8706" width="16.28515625" style="147" customWidth="1"/>
    <col min="8707" max="8707" width="11.42578125" style="147" customWidth="1"/>
    <col min="8708" max="8708" width="1.28515625" style="147" customWidth="1"/>
    <col min="8709" max="8709" width="10.85546875" style="147" bestFit="1" customWidth="1"/>
    <col min="8710" max="8710" width="1.85546875" style="147" customWidth="1"/>
    <col min="8711" max="8711" width="10.42578125" style="147" bestFit="1" customWidth="1"/>
    <col min="8712" max="8957" width="9.140625" style="147"/>
    <col min="8958" max="8958" width="22.140625" style="147" customWidth="1"/>
    <col min="8959" max="8959" width="9.140625" style="147"/>
    <col min="8960" max="8960" width="10.5703125" style="147" customWidth="1"/>
    <col min="8961" max="8961" width="11.7109375" style="147" customWidth="1"/>
    <col min="8962" max="8962" width="16.28515625" style="147" customWidth="1"/>
    <col min="8963" max="8963" width="11.42578125" style="147" customWidth="1"/>
    <col min="8964" max="8964" width="1.28515625" style="147" customWidth="1"/>
    <col min="8965" max="8965" width="10.85546875" style="147" bestFit="1" customWidth="1"/>
    <col min="8966" max="8966" width="1.85546875" style="147" customWidth="1"/>
    <col min="8967" max="8967" width="10.42578125" style="147" bestFit="1" customWidth="1"/>
    <col min="8968" max="9213" width="9.140625" style="147"/>
    <col min="9214" max="9214" width="22.140625" style="147" customWidth="1"/>
    <col min="9215" max="9215" width="9.140625" style="147"/>
    <col min="9216" max="9216" width="10.5703125" style="147" customWidth="1"/>
    <col min="9217" max="9217" width="11.7109375" style="147" customWidth="1"/>
    <col min="9218" max="9218" width="16.28515625" style="147" customWidth="1"/>
    <col min="9219" max="9219" width="11.42578125" style="147" customWidth="1"/>
    <col min="9220" max="9220" width="1.28515625" style="147" customWidth="1"/>
    <col min="9221" max="9221" width="10.85546875" style="147" bestFit="1" customWidth="1"/>
    <col min="9222" max="9222" width="1.85546875" style="147" customWidth="1"/>
    <col min="9223" max="9223" width="10.42578125" style="147" bestFit="1" customWidth="1"/>
    <col min="9224" max="9469" width="9.140625" style="147"/>
    <col min="9470" max="9470" width="22.140625" style="147" customWidth="1"/>
    <col min="9471" max="9471" width="9.140625" style="147"/>
    <col min="9472" max="9472" width="10.5703125" style="147" customWidth="1"/>
    <col min="9473" max="9473" width="11.7109375" style="147" customWidth="1"/>
    <col min="9474" max="9474" width="16.28515625" style="147" customWidth="1"/>
    <col min="9475" max="9475" width="11.42578125" style="147" customWidth="1"/>
    <col min="9476" max="9476" width="1.28515625" style="147" customWidth="1"/>
    <col min="9477" max="9477" width="10.85546875" style="147" bestFit="1" customWidth="1"/>
    <col min="9478" max="9478" width="1.85546875" style="147" customWidth="1"/>
    <col min="9479" max="9479" width="10.42578125" style="147" bestFit="1" customWidth="1"/>
    <col min="9480" max="9725" width="9.140625" style="147"/>
    <col min="9726" max="9726" width="22.140625" style="147" customWidth="1"/>
    <col min="9727" max="9727" width="9.140625" style="147"/>
    <col min="9728" max="9728" width="10.5703125" style="147" customWidth="1"/>
    <col min="9729" max="9729" width="11.7109375" style="147" customWidth="1"/>
    <col min="9730" max="9730" width="16.28515625" style="147" customWidth="1"/>
    <col min="9731" max="9731" width="11.42578125" style="147" customWidth="1"/>
    <col min="9732" max="9732" width="1.28515625" style="147" customWidth="1"/>
    <col min="9733" max="9733" width="10.85546875" style="147" bestFit="1" customWidth="1"/>
    <col min="9734" max="9734" width="1.85546875" style="147" customWidth="1"/>
    <col min="9735" max="9735" width="10.42578125" style="147" bestFit="1" customWidth="1"/>
    <col min="9736" max="9981" width="9.140625" style="147"/>
    <col min="9982" max="9982" width="22.140625" style="147" customWidth="1"/>
    <col min="9983" max="9983" width="9.140625" style="147"/>
    <col min="9984" max="9984" width="10.5703125" style="147" customWidth="1"/>
    <col min="9985" max="9985" width="11.7109375" style="147" customWidth="1"/>
    <col min="9986" max="9986" width="16.28515625" style="147" customWidth="1"/>
    <col min="9987" max="9987" width="11.42578125" style="147" customWidth="1"/>
    <col min="9988" max="9988" width="1.28515625" style="147" customWidth="1"/>
    <col min="9989" max="9989" width="10.85546875" style="147" bestFit="1" customWidth="1"/>
    <col min="9990" max="9990" width="1.85546875" style="147" customWidth="1"/>
    <col min="9991" max="9991" width="10.42578125" style="147" bestFit="1" customWidth="1"/>
    <col min="9992" max="10237" width="9.140625" style="147"/>
    <col min="10238" max="10238" width="22.140625" style="147" customWidth="1"/>
    <col min="10239" max="10239" width="9.140625" style="147"/>
    <col min="10240" max="10240" width="10.5703125" style="147" customWidth="1"/>
    <col min="10241" max="10241" width="11.7109375" style="147" customWidth="1"/>
    <col min="10242" max="10242" width="16.28515625" style="147" customWidth="1"/>
    <col min="10243" max="10243" width="11.42578125" style="147" customWidth="1"/>
    <col min="10244" max="10244" width="1.28515625" style="147" customWidth="1"/>
    <col min="10245" max="10245" width="10.85546875" style="147" bestFit="1" customWidth="1"/>
    <col min="10246" max="10246" width="1.85546875" style="147" customWidth="1"/>
    <col min="10247" max="10247" width="10.42578125" style="147" bestFit="1" customWidth="1"/>
    <col min="10248" max="10493" width="9.140625" style="147"/>
    <col min="10494" max="10494" width="22.140625" style="147" customWidth="1"/>
    <col min="10495" max="10495" width="9.140625" style="147"/>
    <col min="10496" max="10496" width="10.5703125" style="147" customWidth="1"/>
    <col min="10497" max="10497" width="11.7109375" style="147" customWidth="1"/>
    <col min="10498" max="10498" width="16.28515625" style="147" customWidth="1"/>
    <col min="10499" max="10499" width="11.42578125" style="147" customWidth="1"/>
    <col min="10500" max="10500" width="1.28515625" style="147" customWidth="1"/>
    <col min="10501" max="10501" width="10.85546875" style="147" bestFit="1" customWidth="1"/>
    <col min="10502" max="10502" width="1.85546875" style="147" customWidth="1"/>
    <col min="10503" max="10503" width="10.42578125" style="147" bestFit="1" customWidth="1"/>
    <col min="10504" max="10749" width="9.140625" style="147"/>
    <col min="10750" max="10750" width="22.140625" style="147" customWidth="1"/>
    <col min="10751" max="10751" width="9.140625" style="147"/>
    <col min="10752" max="10752" width="10.5703125" style="147" customWidth="1"/>
    <col min="10753" max="10753" width="11.7109375" style="147" customWidth="1"/>
    <col min="10754" max="10754" width="16.28515625" style="147" customWidth="1"/>
    <col min="10755" max="10755" width="11.42578125" style="147" customWidth="1"/>
    <col min="10756" max="10756" width="1.28515625" style="147" customWidth="1"/>
    <col min="10757" max="10757" width="10.85546875" style="147" bestFit="1" customWidth="1"/>
    <col min="10758" max="10758" width="1.85546875" style="147" customWidth="1"/>
    <col min="10759" max="10759" width="10.42578125" style="147" bestFit="1" customWidth="1"/>
    <col min="10760" max="11005" width="9.140625" style="147"/>
    <col min="11006" max="11006" width="22.140625" style="147" customWidth="1"/>
    <col min="11007" max="11007" width="9.140625" style="147"/>
    <col min="11008" max="11008" width="10.5703125" style="147" customWidth="1"/>
    <col min="11009" max="11009" width="11.7109375" style="147" customWidth="1"/>
    <col min="11010" max="11010" width="16.28515625" style="147" customWidth="1"/>
    <col min="11011" max="11011" width="11.42578125" style="147" customWidth="1"/>
    <col min="11012" max="11012" width="1.28515625" style="147" customWidth="1"/>
    <col min="11013" max="11013" width="10.85546875" style="147" bestFit="1" customWidth="1"/>
    <col min="11014" max="11014" width="1.85546875" style="147" customWidth="1"/>
    <col min="11015" max="11015" width="10.42578125" style="147" bestFit="1" customWidth="1"/>
    <col min="11016" max="11261" width="9.140625" style="147"/>
    <col min="11262" max="11262" width="22.140625" style="147" customWidth="1"/>
    <col min="11263" max="11263" width="9.140625" style="147"/>
    <col min="11264" max="11264" width="10.5703125" style="147" customWidth="1"/>
    <col min="11265" max="11265" width="11.7109375" style="147" customWidth="1"/>
    <col min="11266" max="11266" width="16.28515625" style="147" customWidth="1"/>
    <col min="11267" max="11267" width="11.42578125" style="147" customWidth="1"/>
    <col min="11268" max="11268" width="1.28515625" style="147" customWidth="1"/>
    <col min="11269" max="11269" width="10.85546875" style="147" bestFit="1" customWidth="1"/>
    <col min="11270" max="11270" width="1.85546875" style="147" customWidth="1"/>
    <col min="11271" max="11271" width="10.42578125" style="147" bestFit="1" customWidth="1"/>
    <col min="11272" max="11517" width="9.140625" style="147"/>
    <col min="11518" max="11518" width="22.140625" style="147" customWidth="1"/>
    <col min="11519" max="11519" width="9.140625" style="147"/>
    <col min="11520" max="11520" width="10.5703125" style="147" customWidth="1"/>
    <col min="11521" max="11521" width="11.7109375" style="147" customWidth="1"/>
    <col min="11522" max="11522" width="16.28515625" style="147" customWidth="1"/>
    <col min="11523" max="11523" width="11.42578125" style="147" customWidth="1"/>
    <col min="11524" max="11524" width="1.28515625" style="147" customWidth="1"/>
    <col min="11525" max="11525" width="10.85546875" style="147" bestFit="1" customWidth="1"/>
    <col min="11526" max="11526" width="1.85546875" style="147" customWidth="1"/>
    <col min="11527" max="11527" width="10.42578125" style="147" bestFit="1" customWidth="1"/>
    <col min="11528" max="11773" width="9.140625" style="147"/>
    <col min="11774" max="11774" width="22.140625" style="147" customWidth="1"/>
    <col min="11775" max="11775" width="9.140625" style="147"/>
    <col min="11776" max="11776" width="10.5703125" style="147" customWidth="1"/>
    <col min="11777" max="11777" width="11.7109375" style="147" customWidth="1"/>
    <col min="11778" max="11778" width="16.28515625" style="147" customWidth="1"/>
    <col min="11779" max="11779" width="11.42578125" style="147" customWidth="1"/>
    <col min="11780" max="11780" width="1.28515625" style="147" customWidth="1"/>
    <col min="11781" max="11781" width="10.85546875" style="147" bestFit="1" customWidth="1"/>
    <col min="11782" max="11782" width="1.85546875" style="147" customWidth="1"/>
    <col min="11783" max="11783" width="10.42578125" style="147" bestFit="1" customWidth="1"/>
    <col min="11784" max="12029" width="9.140625" style="147"/>
    <col min="12030" max="12030" width="22.140625" style="147" customWidth="1"/>
    <col min="12031" max="12031" width="9.140625" style="147"/>
    <col min="12032" max="12032" width="10.5703125" style="147" customWidth="1"/>
    <col min="12033" max="12033" width="11.7109375" style="147" customWidth="1"/>
    <col min="12034" max="12034" width="16.28515625" style="147" customWidth="1"/>
    <col min="12035" max="12035" width="11.42578125" style="147" customWidth="1"/>
    <col min="12036" max="12036" width="1.28515625" style="147" customWidth="1"/>
    <col min="12037" max="12037" width="10.85546875" style="147" bestFit="1" customWidth="1"/>
    <col min="12038" max="12038" width="1.85546875" style="147" customWidth="1"/>
    <col min="12039" max="12039" width="10.42578125" style="147" bestFit="1" customWidth="1"/>
    <col min="12040" max="12285" width="9.140625" style="147"/>
    <col min="12286" max="12286" width="22.140625" style="147" customWidth="1"/>
    <col min="12287" max="12287" width="9.140625" style="147"/>
    <col min="12288" max="12288" width="10.5703125" style="147" customWidth="1"/>
    <col min="12289" max="12289" width="11.7109375" style="147" customWidth="1"/>
    <col min="12290" max="12290" width="16.28515625" style="147" customWidth="1"/>
    <col min="12291" max="12291" width="11.42578125" style="147" customWidth="1"/>
    <col min="12292" max="12292" width="1.28515625" style="147" customWidth="1"/>
    <col min="12293" max="12293" width="10.85546875" style="147" bestFit="1" customWidth="1"/>
    <col min="12294" max="12294" width="1.85546875" style="147" customWidth="1"/>
    <col min="12295" max="12295" width="10.42578125" style="147" bestFit="1" customWidth="1"/>
    <col min="12296" max="12541" width="9.140625" style="147"/>
    <col min="12542" max="12542" width="22.140625" style="147" customWidth="1"/>
    <col min="12543" max="12543" width="9.140625" style="147"/>
    <col min="12544" max="12544" width="10.5703125" style="147" customWidth="1"/>
    <col min="12545" max="12545" width="11.7109375" style="147" customWidth="1"/>
    <col min="12546" max="12546" width="16.28515625" style="147" customWidth="1"/>
    <col min="12547" max="12547" width="11.42578125" style="147" customWidth="1"/>
    <col min="12548" max="12548" width="1.28515625" style="147" customWidth="1"/>
    <col min="12549" max="12549" width="10.85546875" style="147" bestFit="1" customWidth="1"/>
    <col min="12550" max="12550" width="1.85546875" style="147" customWidth="1"/>
    <col min="12551" max="12551" width="10.42578125" style="147" bestFit="1" customWidth="1"/>
    <col min="12552" max="12797" width="9.140625" style="147"/>
    <col min="12798" max="12798" width="22.140625" style="147" customWidth="1"/>
    <col min="12799" max="12799" width="9.140625" style="147"/>
    <col min="12800" max="12800" width="10.5703125" style="147" customWidth="1"/>
    <col min="12801" max="12801" width="11.7109375" style="147" customWidth="1"/>
    <col min="12802" max="12802" width="16.28515625" style="147" customWidth="1"/>
    <col min="12803" max="12803" width="11.42578125" style="147" customWidth="1"/>
    <col min="12804" max="12804" width="1.28515625" style="147" customWidth="1"/>
    <col min="12805" max="12805" width="10.85546875" style="147" bestFit="1" customWidth="1"/>
    <col min="12806" max="12806" width="1.85546875" style="147" customWidth="1"/>
    <col min="12807" max="12807" width="10.42578125" style="147" bestFit="1" customWidth="1"/>
    <col min="12808" max="13053" width="9.140625" style="147"/>
    <col min="13054" max="13054" width="22.140625" style="147" customWidth="1"/>
    <col min="13055" max="13055" width="9.140625" style="147"/>
    <col min="13056" max="13056" width="10.5703125" style="147" customWidth="1"/>
    <col min="13057" max="13057" width="11.7109375" style="147" customWidth="1"/>
    <col min="13058" max="13058" width="16.28515625" style="147" customWidth="1"/>
    <col min="13059" max="13059" width="11.42578125" style="147" customWidth="1"/>
    <col min="13060" max="13060" width="1.28515625" style="147" customWidth="1"/>
    <col min="13061" max="13061" width="10.85546875" style="147" bestFit="1" customWidth="1"/>
    <col min="13062" max="13062" width="1.85546875" style="147" customWidth="1"/>
    <col min="13063" max="13063" width="10.42578125" style="147" bestFit="1" customWidth="1"/>
    <col min="13064" max="13309" width="9.140625" style="147"/>
    <col min="13310" max="13310" width="22.140625" style="147" customWidth="1"/>
    <col min="13311" max="13311" width="9.140625" style="147"/>
    <col min="13312" max="13312" width="10.5703125" style="147" customWidth="1"/>
    <col min="13313" max="13313" width="11.7109375" style="147" customWidth="1"/>
    <col min="13314" max="13314" width="16.28515625" style="147" customWidth="1"/>
    <col min="13315" max="13315" width="11.42578125" style="147" customWidth="1"/>
    <col min="13316" max="13316" width="1.28515625" style="147" customWidth="1"/>
    <col min="13317" max="13317" width="10.85546875" style="147" bestFit="1" customWidth="1"/>
    <col min="13318" max="13318" width="1.85546875" style="147" customWidth="1"/>
    <col min="13319" max="13319" width="10.42578125" style="147" bestFit="1" customWidth="1"/>
    <col min="13320" max="13565" width="9.140625" style="147"/>
    <col min="13566" max="13566" width="22.140625" style="147" customWidth="1"/>
    <col min="13567" max="13567" width="9.140625" style="147"/>
    <col min="13568" max="13568" width="10.5703125" style="147" customWidth="1"/>
    <col min="13569" max="13569" width="11.7109375" style="147" customWidth="1"/>
    <col min="13570" max="13570" width="16.28515625" style="147" customWidth="1"/>
    <col min="13571" max="13571" width="11.42578125" style="147" customWidth="1"/>
    <col min="13572" max="13572" width="1.28515625" style="147" customWidth="1"/>
    <col min="13573" max="13573" width="10.85546875" style="147" bestFit="1" customWidth="1"/>
    <col min="13574" max="13574" width="1.85546875" style="147" customWidth="1"/>
    <col min="13575" max="13575" width="10.42578125" style="147" bestFit="1" customWidth="1"/>
    <col min="13576" max="13821" width="9.140625" style="147"/>
    <col min="13822" max="13822" width="22.140625" style="147" customWidth="1"/>
    <col min="13823" max="13823" width="9.140625" style="147"/>
    <col min="13824" max="13824" width="10.5703125" style="147" customWidth="1"/>
    <col min="13825" max="13825" width="11.7109375" style="147" customWidth="1"/>
    <col min="13826" max="13826" width="16.28515625" style="147" customWidth="1"/>
    <col min="13827" max="13827" width="11.42578125" style="147" customWidth="1"/>
    <col min="13828" max="13828" width="1.28515625" style="147" customWidth="1"/>
    <col min="13829" max="13829" width="10.85546875" style="147" bestFit="1" customWidth="1"/>
    <col min="13830" max="13830" width="1.85546875" style="147" customWidth="1"/>
    <col min="13831" max="13831" width="10.42578125" style="147" bestFit="1" customWidth="1"/>
    <col min="13832" max="14077" width="9.140625" style="147"/>
    <col min="14078" max="14078" width="22.140625" style="147" customWidth="1"/>
    <col min="14079" max="14079" width="9.140625" style="147"/>
    <col min="14080" max="14080" width="10.5703125" style="147" customWidth="1"/>
    <col min="14081" max="14081" width="11.7109375" style="147" customWidth="1"/>
    <col min="14082" max="14082" width="16.28515625" style="147" customWidth="1"/>
    <col min="14083" max="14083" width="11.42578125" style="147" customWidth="1"/>
    <col min="14084" max="14084" width="1.28515625" style="147" customWidth="1"/>
    <col min="14085" max="14085" width="10.85546875" style="147" bestFit="1" customWidth="1"/>
    <col min="14086" max="14086" width="1.85546875" style="147" customWidth="1"/>
    <col min="14087" max="14087" width="10.42578125" style="147" bestFit="1" customWidth="1"/>
    <col min="14088" max="14333" width="9.140625" style="147"/>
    <col min="14334" max="14334" width="22.140625" style="147" customWidth="1"/>
    <col min="14335" max="14335" width="9.140625" style="147"/>
    <col min="14336" max="14336" width="10.5703125" style="147" customWidth="1"/>
    <col min="14337" max="14337" width="11.7109375" style="147" customWidth="1"/>
    <col min="14338" max="14338" width="16.28515625" style="147" customWidth="1"/>
    <col min="14339" max="14339" width="11.42578125" style="147" customWidth="1"/>
    <col min="14340" max="14340" width="1.28515625" style="147" customWidth="1"/>
    <col min="14341" max="14341" width="10.85546875" style="147" bestFit="1" customWidth="1"/>
    <col min="14342" max="14342" width="1.85546875" style="147" customWidth="1"/>
    <col min="14343" max="14343" width="10.42578125" style="147" bestFit="1" customWidth="1"/>
    <col min="14344" max="14589" width="9.140625" style="147"/>
    <col min="14590" max="14590" width="22.140625" style="147" customWidth="1"/>
    <col min="14591" max="14591" width="9.140625" style="147"/>
    <col min="14592" max="14592" width="10.5703125" style="147" customWidth="1"/>
    <col min="14593" max="14593" width="11.7109375" style="147" customWidth="1"/>
    <col min="14594" max="14594" width="16.28515625" style="147" customWidth="1"/>
    <col min="14595" max="14595" width="11.42578125" style="147" customWidth="1"/>
    <col min="14596" max="14596" width="1.28515625" style="147" customWidth="1"/>
    <col min="14597" max="14597" width="10.85546875" style="147" bestFit="1" customWidth="1"/>
    <col min="14598" max="14598" width="1.85546875" style="147" customWidth="1"/>
    <col min="14599" max="14599" width="10.42578125" style="147" bestFit="1" customWidth="1"/>
    <col min="14600" max="14845" width="9.140625" style="147"/>
    <col min="14846" max="14846" width="22.140625" style="147" customWidth="1"/>
    <col min="14847" max="14847" width="9.140625" style="147"/>
    <col min="14848" max="14848" width="10.5703125" style="147" customWidth="1"/>
    <col min="14849" max="14849" width="11.7109375" style="147" customWidth="1"/>
    <col min="14850" max="14850" width="16.28515625" style="147" customWidth="1"/>
    <col min="14851" max="14851" width="11.42578125" style="147" customWidth="1"/>
    <col min="14852" max="14852" width="1.28515625" style="147" customWidth="1"/>
    <col min="14853" max="14853" width="10.85546875" style="147" bestFit="1" customWidth="1"/>
    <col min="14854" max="14854" width="1.85546875" style="147" customWidth="1"/>
    <col min="14855" max="14855" width="10.42578125" style="147" bestFit="1" customWidth="1"/>
    <col min="14856" max="15101" width="9.140625" style="147"/>
    <col min="15102" max="15102" width="22.140625" style="147" customWidth="1"/>
    <col min="15103" max="15103" width="9.140625" style="147"/>
    <col min="15104" max="15104" width="10.5703125" style="147" customWidth="1"/>
    <col min="15105" max="15105" width="11.7109375" style="147" customWidth="1"/>
    <col min="15106" max="15106" width="16.28515625" style="147" customWidth="1"/>
    <col min="15107" max="15107" width="11.42578125" style="147" customWidth="1"/>
    <col min="15108" max="15108" width="1.28515625" style="147" customWidth="1"/>
    <col min="15109" max="15109" width="10.85546875" style="147" bestFit="1" customWidth="1"/>
    <col min="15110" max="15110" width="1.85546875" style="147" customWidth="1"/>
    <col min="15111" max="15111" width="10.42578125" style="147" bestFit="1" customWidth="1"/>
    <col min="15112" max="15357" width="9.140625" style="147"/>
    <col min="15358" max="15358" width="22.140625" style="147" customWidth="1"/>
    <col min="15359" max="15359" width="9.140625" style="147"/>
    <col min="15360" max="15360" width="10.5703125" style="147" customWidth="1"/>
    <col min="15361" max="15361" width="11.7109375" style="147" customWidth="1"/>
    <col min="15362" max="15362" width="16.28515625" style="147" customWidth="1"/>
    <col min="15363" max="15363" width="11.42578125" style="147" customWidth="1"/>
    <col min="15364" max="15364" width="1.28515625" style="147" customWidth="1"/>
    <col min="15365" max="15365" width="10.85546875" style="147" bestFit="1" customWidth="1"/>
    <col min="15366" max="15366" width="1.85546875" style="147" customWidth="1"/>
    <col min="15367" max="15367" width="10.42578125" style="147" bestFit="1" customWidth="1"/>
    <col min="15368" max="15613" width="9.140625" style="147"/>
    <col min="15614" max="15614" width="22.140625" style="147" customWidth="1"/>
    <col min="15615" max="15615" width="9.140625" style="147"/>
    <col min="15616" max="15616" width="10.5703125" style="147" customWidth="1"/>
    <col min="15617" max="15617" width="11.7109375" style="147" customWidth="1"/>
    <col min="15618" max="15618" width="16.28515625" style="147" customWidth="1"/>
    <col min="15619" max="15619" width="11.42578125" style="147" customWidth="1"/>
    <col min="15620" max="15620" width="1.28515625" style="147" customWidth="1"/>
    <col min="15621" max="15621" width="10.85546875" style="147" bestFit="1" customWidth="1"/>
    <col min="15622" max="15622" width="1.85546875" style="147" customWidth="1"/>
    <col min="15623" max="15623" width="10.42578125" style="147" bestFit="1" customWidth="1"/>
    <col min="15624" max="15869" width="9.140625" style="147"/>
    <col min="15870" max="15870" width="22.140625" style="147" customWidth="1"/>
    <col min="15871" max="15871" width="9.140625" style="147"/>
    <col min="15872" max="15872" width="10.5703125" style="147" customWidth="1"/>
    <col min="15873" max="15873" width="11.7109375" style="147" customWidth="1"/>
    <col min="15874" max="15874" width="16.28515625" style="147" customWidth="1"/>
    <col min="15875" max="15875" width="11.42578125" style="147" customWidth="1"/>
    <col min="15876" max="15876" width="1.28515625" style="147" customWidth="1"/>
    <col min="15877" max="15877" width="10.85546875" style="147" bestFit="1" customWidth="1"/>
    <col min="15878" max="15878" width="1.85546875" style="147" customWidth="1"/>
    <col min="15879" max="15879" width="10.42578125" style="147" bestFit="1" customWidth="1"/>
    <col min="15880" max="16125" width="9.140625" style="147"/>
    <col min="16126" max="16126" width="22.140625" style="147" customWidth="1"/>
    <col min="16127" max="16127" width="9.140625" style="147"/>
    <col min="16128" max="16128" width="10.5703125" style="147" customWidth="1"/>
    <col min="16129" max="16129" width="11.7109375" style="147" customWidth="1"/>
    <col min="16130" max="16130" width="16.28515625" style="147" customWidth="1"/>
    <col min="16131" max="16131" width="11.42578125" style="147" customWidth="1"/>
    <col min="16132" max="16132" width="1.28515625" style="147" customWidth="1"/>
    <col min="16133" max="16133" width="10.85546875" style="147" bestFit="1" customWidth="1"/>
    <col min="16134" max="16134" width="1.85546875" style="147" customWidth="1"/>
    <col min="16135" max="16135" width="10.42578125" style="147" bestFit="1" customWidth="1"/>
    <col min="16136" max="16384" width="9.140625" style="147"/>
  </cols>
  <sheetData>
    <row r="1" spans="1:26">
      <c r="A1" s="267" t="s">
        <v>238</v>
      </c>
      <c r="B1" s="267"/>
      <c r="C1" s="267"/>
      <c r="D1" s="267"/>
      <c r="E1" s="267"/>
      <c r="F1" s="267"/>
      <c r="G1" s="267"/>
      <c r="H1" s="267"/>
      <c r="I1" s="267"/>
      <c r="J1" s="267"/>
      <c r="K1" s="267"/>
      <c r="L1" s="267"/>
      <c r="M1" s="267"/>
      <c r="N1" s="267"/>
      <c r="O1" s="267"/>
      <c r="P1" s="267"/>
      <c r="Q1" s="267"/>
      <c r="R1" s="267"/>
      <c r="S1" s="253"/>
      <c r="T1" s="253"/>
      <c r="U1" s="253"/>
      <c r="V1" s="268" t="s">
        <v>323</v>
      </c>
      <c r="W1" s="171"/>
    </row>
    <row r="2" spans="1:26" ht="12.75" customHeight="1">
      <c r="A2" s="267" t="s">
        <v>292</v>
      </c>
      <c r="B2" s="267"/>
      <c r="C2" s="267"/>
      <c r="D2" s="267"/>
      <c r="E2" s="267"/>
      <c r="F2" s="267"/>
      <c r="G2" s="267"/>
      <c r="H2" s="267"/>
      <c r="I2" s="267"/>
      <c r="J2" s="267"/>
      <c r="K2" s="267"/>
      <c r="L2" s="267"/>
      <c r="M2" s="267"/>
      <c r="N2" s="267"/>
      <c r="O2" s="267"/>
      <c r="P2" s="267"/>
      <c r="Q2" s="267"/>
      <c r="R2" s="267"/>
      <c r="S2" s="253"/>
      <c r="T2" s="253"/>
      <c r="U2" s="253"/>
      <c r="V2" s="268"/>
      <c r="W2" s="171"/>
    </row>
    <row r="3" spans="1:26" ht="12.75" customHeight="1">
      <c r="A3" s="267" t="s">
        <v>308</v>
      </c>
      <c r="B3" s="267"/>
      <c r="C3" s="267"/>
      <c r="D3" s="267"/>
      <c r="E3" s="267"/>
      <c r="F3" s="267"/>
      <c r="G3" s="267"/>
      <c r="H3" s="267"/>
      <c r="I3" s="267"/>
      <c r="J3" s="267"/>
      <c r="K3" s="267"/>
      <c r="L3" s="267"/>
      <c r="M3" s="267"/>
      <c r="N3" s="267"/>
      <c r="O3" s="267"/>
      <c r="P3" s="267"/>
      <c r="Q3" s="267"/>
      <c r="R3" s="267"/>
      <c r="S3" s="253"/>
      <c r="T3" s="253"/>
      <c r="U3" s="253"/>
      <c r="V3" s="268"/>
      <c r="W3" s="171"/>
    </row>
    <row r="4" spans="1:26" ht="18.75" thickBot="1">
      <c r="A4" s="266" t="s">
        <v>320</v>
      </c>
      <c r="B4" s="266"/>
      <c r="C4" s="266"/>
      <c r="D4" s="266"/>
      <c r="E4" s="266"/>
      <c r="F4" s="266"/>
      <c r="G4" s="266"/>
      <c r="H4" s="266"/>
      <c r="I4" s="266"/>
      <c r="J4" s="266"/>
      <c r="K4" s="266"/>
      <c r="L4" s="266"/>
      <c r="M4" s="266"/>
      <c r="N4" s="266"/>
      <c r="O4" s="266"/>
      <c r="P4" s="266"/>
      <c r="Q4" s="266"/>
      <c r="R4" s="266"/>
      <c r="S4" s="244"/>
      <c r="T4" s="244"/>
      <c r="U4" s="244"/>
      <c r="V4" s="269"/>
      <c r="W4" s="207"/>
    </row>
    <row r="5" spans="1:26" ht="13.5" customHeight="1" thickBot="1">
      <c r="A5" s="207"/>
      <c r="B5" s="207"/>
      <c r="C5" s="270" t="s">
        <v>309</v>
      </c>
      <c r="D5" s="271"/>
      <c r="E5" s="271"/>
      <c r="F5" s="271"/>
      <c r="G5" s="271"/>
      <c r="H5" s="271"/>
      <c r="I5" s="271"/>
      <c r="J5" s="272"/>
      <c r="K5" s="206"/>
      <c r="L5" s="206"/>
      <c r="M5" s="273" t="s">
        <v>322</v>
      </c>
      <c r="N5" s="274"/>
      <c r="O5" s="274"/>
      <c r="P5" s="274"/>
      <c r="Q5" s="274"/>
      <c r="R5" s="274"/>
      <c r="S5" s="274"/>
      <c r="T5" s="275"/>
      <c r="V5" s="276" t="s">
        <v>310</v>
      </c>
      <c r="W5" s="229"/>
    </row>
    <row r="6" spans="1:26" ht="25.5">
      <c r="E6" s="152" t="s">
        <v>293</v>
      </c>
      <c r="F6" s="152" t="s">
        <v>248</v>
      </c>
      <c r="H6" s="194" t="s">
        <v>294</v>
      </c>
      <c r="I6" s="149"/>
      <c r="O6" s="152" t="s">
        <v>293</v>
      </c>
      <c r="P6" s="152" t="s">
        <v>248</v>
      </c>
      <c r="R6" s="194" t="s">
        <v>294</v>
      </c>
      <c r="S6" s="149"/>
      <c r="V6" s="277"/>
      <c r="W6" s="230"/>
    </row>
    <row r="7" spans="1:26">
      <c r="D7" s="152" t="s">
        <v>245</v>
      </c>
      <c r="E7" s="152" t="s">
        <v>295</v>
      </c>
      <c r="F7" s="152" t="s">
        <v>296</v>
      </c>
      <c r="G7" s="152"/>
      <c r="H7" s="152" t="s">
        <v>32</v>
      </c>
      <c r="I7" s="149"/>
      <c r="J7" s="152" t="s">
        <v>32</v>
      </c>
      <c r="K7" s="152"/>
      <c r="N7" s="208" t="s">
        <v>311</v>
      </c>
      <c r="O7" s="152" t="s">
        <v>295</v>
      </c>
      <c r="P7" s="152" t="s">
        <v>296</v>
      </c>
      <c r="Q7" s="152"/>
      <c r="R7" s="152" t="s">
        <v>32</v>
      </c>
      <c r="S7" s="149"/>
      <c r="T7" s="152" t="s">
        <v>32</v>
      </c>
      <c r="V7" s="209" t="s">
        <v>312</v>
      </c>
      <c r="W7" s="231"/>
    </row>
    <row r="8" spans="1:26">
      <c r="D8" s="152" t="s">
        <v>246</v>
      </c>
      <c r="E8" s="195" t="s">
        <v>297</v>
      </c>
      <c r="F8" s="152" t="s">
        <v>246</v>
      </c>
      <c r="G8" s="152"/>
      <c r="H8" s="152" t="s">
        <v>247</v>
      </c>
      <c r="I8" s="149"/>
      <c r="J8" s="152" t="s">
        <v>298</v>
      </c>
      <c r="K8" s="152"/>
      <c r="N8" s="208" t="s">
        <v>245</v>
      </c>
      <c r="O8" s="195" t="s">
        <v>297</v>
      </c>
      <c r="P8" s="152" t="s">
        <v>246</v>
      </c>
      <c r="Q8" s="152"/>
      <c r="R8" s="152" t="s">
        <v>247</v>
      </c>
      <c r="S8" s="149"/>
      <c r="T8" s="152" t="s">
        <v>298</v>
      </c>
      <c r="V8" s="209" t="s">
        <v>247</v>
      </c>
      <c r="W8" s="231"/>
    </row>
    <row r="9" spans="1:26">
      <c r="D9" s="153" t="s">
        <v>3</v>
      </c>
      <c r="E9" s="153" t="s">
        <v>3</v>
      </c>
      <c r="F9" s="153" t="s">
        <v>3</v>
      </c>
      <c r="G9" s="153"/>
      <c r="H9" s="153" t="s">
        <v>313</v>
      </c>
      <c r="I9" s="196"/>
      <c r="J9" s="153" t="s">
        <v>3</v>
      </c>
      <c r="K9" s="153"/>
      <c r="N9" s="208" t="s">
        <v>246</v>
      </c>
      <c r="O9" s="153" t="s">
        <v>3</v>
      </c>
      <c r="P9" s="153" t="s">
        <v>3</v>
      </c>
      <c r="Q9" s="153"/>
      <c r="R9" s="153" t="s">
        <v>314</v>
      </c>
      <c r="S9" s="196"/>
      <c r="T9" s="153" t="s">
        <v>3</v>
      </c>
      <c r="V9" s="211" t="s">
        <v>3</v>
      </c>
      <c r="W9" s="231"/>
    </row>
    <row r="10" spans="1:26" ht="26.25" customHeight="1">
      <c r="A10" s="147" t="s">
        <v>250</v>
      </c>
      <c r="F10" s="155"/>
      <c r="G10" s="155"/>
      <c r="H10" s="228">
        <v>0.64710000000000001</v>
      </c>
      <c r="I10" s="197"/>
      <c r="J10" s="158">
        <f>100%-H10</f>
        <v>0.35289999999999999</v>
      </c>
      <c r="K10" s="158"/>
      <c r="P10" s="155"/>
      <c r="Q10" s="155"/>
      <c r="R10" s="228">
        <v>0.65629999999999999</v>
      </c>
      <c r="S10" s="197"/>
      <c r="T10" s="158">
        <f>100%-R10</f>
        <v>0.34370000000000001</v>
      </c>
      <c r="V10" s="232"/>
      <c r="W10" s="213"/>
    </row>
    <row r="11" spans="1:26">
      <c r="I11" s="149"/>
      <c r="S11" s="149"/>
      <c r="V11" s="233"/>
      <c r="W11" s="210"/>
    </row>
    <row r="12" spans="1:26">
      <c r="A12" s="147" t="s">
        <v>251</v>
      </c>
      <c r="D12" s="159">
        <f>'BR_10.4 PS Adj detail'!D91</f>
        <v>130837</v>
      </c>
      <c r="E12" s="159"/>
      <c r="F12" s="159">
        <f>SUM(D12:E12)</f>
        <v>130837</v>
      </c>
      <c r="G12" s="159"/>
      <c r="H12" s="159">
        <f>H$10*F12</f>
        <v>84664.622700000007</v>
      </c>
      <c r="I12" s="160"/>
      <c r="J12" s="159">
        <f>J$10*F12</f>
        <v>46172.3773</v>
      </c>
      <c r="K12" s="159"/>
      <c r="L12" s="159"/>
      <c r="N12" s="159">
        <f>'BR_10.4 PS Adj detail'!F91</f>
        <v>56677.973679408678</v>
      </c>
      <c r="O12" s="159"/>
      <c r="P12" s="159">
        <f>SUM(N12:O12)</f>
        <v>56677.973679408678</v>
      </c>
      <c r="Q12" s="159"/>
      <c r="R12" s="159">
        <f>R$10*P12</f>
        <v>37197.754125795916</v>
      </c>
      <c r="S12" s="160"/>
      <c r="T12" s="159">
        <f>T$10*P12</f>
        <v>19480.219553612762</v>
      </c>
      <c r="V12" s="234">
        <f>R12-H12</f>
        <v>-47466.868574204091</v>
      </c>
      <c r="W12" s="210"/>
      <c r="X12" s="159">
        <f>P12-F12</f>
        <v>-74159.026320591322</v>
      </c>
      <c r="Y12" s="159">
        <f>X12*$R$10</f>
        <v>-48670.568974204085</v>
      </c>
      <c r="Z12" s="159">
        <f>Y12-V12</f>
        <v>-1203.7003999999943</v>
      </c>
    </row>
    <row r="13" spans="1:26">
      <c r="A13" s="147" t="s">
        <v>252</v>
      </c>
      <c r="D13" s="161">
        <f>'BR_10.4 PS Adj detail'!D100</f>
        <v>418</v>
      </c>
      <c r="E13" s="161"/>
      <c r="F13" s="198">
        <f>SUM(D13:E13)</f>
        <v>418</v>
      </c>
      <c r="G13" s="161"/>
      <c r="H13" s="161">
        <f>H$10*F13</f>
        <v>270.48779999999999</v>
      </c>
      <c r="I13" s="162"/>
      <c r="J13" s="161">
        <f>J$10*F13</f>
        <v>147.51220000000001</v>
      </c>
      <c r="K13" s="161"/>
      <c r="L13" s="159"/>
      <c r="N13" s="161">
        <f>'BR_10.4 PS Adj detail'!F100</f>
        <v>466</v>
      </c>
      <c r="O13" s="161"/>
      <c r="P13" s="198">
        <f>SUM(N13:O13)</f>
        <v>466</v>
      </c>
      <c r="Q13" s="161"/>
      <c r="R13" s="161">
        <f>R$10*P13</f>
        <v>305.83580000000001</v>
      </c>
      <c r="S13" s="162"/>
      <c r="T13" s="161">
        <f>T$10*P13</f>
        <v>160.16419999999999</v>
      </c>
      <c r="V13" s="234">
        <f t="shared" ref="V13:V16" si="0">R13-H13</f>
        <v>35.348000000000013</v>
      </c>
      <c r="W13" s="210"/>
      <c r="X13" s="159">
        <f t="shared" ref="X13:X33" si="1">P13-F13</f>
        <v>48</v>
      </c>
      <c r="Y13" s="159">
        <f t="shared" ref="Y13:Y33" si="2">X13*$R$10</f>
        <v>31.502400000000002</v>
      </c>
      <c r="Z13" s="159">
        <f t="shared" ref="Z13:Z34" si="3">Y13-V13</f>
        <v>-3.8456000000000117</v>
      </c>
    </row>
    <row r="14" spans="1:26">
      <c r="A14" s="147" t="s">
        <v>253</v>
      </c>
      <c r="D14" s="161">
        <v>0</v>
      </c>
      <c r="E14" s="161"/>
      <c r="F14" s="198">
        <f>SUM(D14:E14)</f>
        <v>0</v>
      </c>
      <c r="G14" s="161"/>
      <c r="H14" s="161">
        <f>H$10*F14</f>
        <v>0</v>
      </c>
      <c r="I14" s="162"/>
      <c r="J14" s="161">
        <f>J$10*F14</f>
        <v>0</v>
      </c>
      <c r="K14" s="161"/>
      <c r="L14" s="159"/>
      <c r="N14" s="161">
        <v>0</v>
      </c>
      <c r="O14" s="161"/>
      <c r="P14" s="198">
        <f>SUM(N14:O14)</f>
        <v>0</v>
      </c>
      <c r="Q14" s="161"/>
      <c r="R14" s="161">
        <f>R$10*P14</f>
        <v>0</v>
      </c>
      <c r="S14" s="162"/>
      <c r="T14" s="161">
        <f>T$10*P14</f>
        <v>0</v>
      </c>
      <c r="V14" s="234">
        <f t="shared" si="0"/>
        <v>0</v>
      </c>
      <c r="W14" s="210"/>
      <c r="X14" s="159">
        <f t="shared" si="1"/>
        <v>0</v>
      </c>
      <c r="Y14" s="159">
        <f t="shared" si="2"/>
        <v>0</v>
      </c>
      <c r="Z14" s="159">
        <f t="shared" si="3"/>
        <v>0</v>
      </c>
    </row>
    <row r="15" spans="1:26">
      <c r="A15" s="147" t="s">
        <v>257</v>
      </c>
      <c r="D15" s="161">
        <f>'BR_10.4 PS Adj detail'!D97-D16</f>
        <v>98457</v>
      </c>
      <c r="E15" s="161"/>
      <c r="F15" s="198">
        <f>SUM(D15:E15)</f>
        <v>98457</v>
      </c>
      <c r="G15" s="161"/>
      <c r="H15" s="161">
        <f>H$10*F15</f>
        <v>63711.524700000002</v>
      </c>
      <c r="I15" s="162"/>
      <c r="J15" s="161">
        <f>J$10*F15</f>
        <v>34745.475299999998</v>
      </c>
      <c r="K15" s="161"/>
      <c r="L15" s="159"/>
      <c r="N15" s="161">
        <f>'BR_10.4 PS Adj detail'!F97-F16</f>
        <v>0</v>
      </c>
      <c r="O15" s="161"/>
      <c r="P15" s="198">
        <f>SUM(N15:O15)</f>
        <v>0</v>
      </c>
      <c r="Q15" s="161"/>
      <c r="R15" s="161">
        <f>R$10*P15</f>
        <v>0</v>
      </c>
      <c r="S15" s="162"/>
      <c r="T15" s="161">
        <f>T$10*P15</f>
        <v>0</v>
      </c>
      <c r="V15" s="234">
        <f t="shared" si="0"/>
        <v>-63711.524700000002</v>
      </c>
      <c r="W15" s="210"/>
      <c r="X15" s="159">
        <f t="shared" si="1"/>
        <v>-98457</v>
      </c>
      <c r="Y15" s="159">
        <f t="shared" si="2"/>
        <v>-64617.329100000003</v>
      </c>
      <c r="Z15" s="159">
        <f t="shared" si="3"/>
        <v>-905.8044000000009</v>
      </c>
    </row>
    <row r="16" spans="1:26">
      <c r="A16" s="147" t="s">
        <v>299</v>
      </c>
      <c r="D16" s="166">
        <f>'BR_10.4 PS Adj detail'!D95</f>
        <v>163</v>
      </c>
      <c r="E16" s="166">
        <f>-D16</f>
        <v>-163</v>
      </c>
      <c r="F16" s="199">
        <f>SUM(D16:E16)</f>
        <v>0</v>
      </c>
      <c r="G16" s="162"/>
      <c r="H16" s="200">
        <f>-E16</f>
        <v>163</v>
      </c>
      <c r="I16" s="162"/>
      <c r="J16" s="166">
        <f>J$10*F16</f>
        <v>0</v>
      </c>
      <c r="K16" s="162"/>
      <c r="L16" s="159"/>
      <c r="N16" s="166">
        <f>'BR_10.4 PS Adj detail'!F95</f>
        <v>0</v>
      </c>
      <c r="O16" s="166">
        <f>-N16</f>
        <v>0</v>
      </c>
      <c r="P16" s="199">
        <f>SUM(N16:O16)</f>
        <v>0</v>
      </c>
      <c r="Q16" s="162"/>
      <c r="R16" s="200">
        <f>-O16</f>
        <v>0</v>
      </c>
      <c r="S16" s="162"/>
      <c r="T16" s="166">
        <f>T$10*P16</f>
        <v>0</v>
      </c>
      <c r="V16" s="235">
        <f t="shared" si="0"/>
        <v>-163</v>
      </c>
      <c r="W16" s="210"/>
      <c r="X16" s="159">
        <f t="shared" si="1"/>
        <v>0</v>
      </c>
      <c r="Y16" s="159">
        <f>V16</f>
        <v>-163</v>
      </c>
      <c r="Z16" s="159">
        <f t="shared" si="3"/>
        <v>0</v>
      </c>
    </row>
    <row r="17" spans="1:26">
      <c r="A17" s="147" t="s">
        <v>259</v>
      </c>
      <c r="D17" s="161">
        <f>SUM(D12:D16)</f>
        <v>229875</v>
      </c>
      <c r="E17" s="161">
        <f>SUM(E12:E16)</f>
        <v>-163</v>
      </c>
      <c r="F17" s="161">
        <f>SUM(F12:F16)</f>
        <v>229712</v>
      </c>
      <c r="G17" s="162"/>
      <c r="H17" s="161">
        <f>SUM(H12:H16)</f>
        <v>148809.63520000002</v>
      </c>
      <c r="I17" s="162"/>
      <c r="J17" s="161">
        <f>SUM(J12:J16)</f>
        <v>81065.364799999996</v>
      </c>
      <c r="K17" s="161"/>
      <c r="L17" s="159"/>
      <c r="N17" s="161">
        <f>SUM(N12:N16)</f>
        <v>57143.973679408678</v>
      </c>
      <c r="O17" s="161">
        <f>SUM(O12:O16)</f>
        <v>0</v>
      </c>
      <c r="P17" s="161">
        <f>SUM(P12:P16)</f>
        <v>57143.973679408678</v>
      </c>
      <c r="Q17" s="162"/>
      <c r="R17" s="161">
        <f>SUM(R12:R16)</f>
        <v>37503.589925795917</v>
      </c>
      <c r="S17" s="162"/>
      <c r="T17" s="161">
        <f>SUM(T12:T16)</f>
        <v>19640.383753612761</v>
      </c>
      <c r="V17" s="236">
        <f>SUM(V12:V16)</f>
        <v>-111306.04527420409</v>
      </c>
      <c r="W17" s="210"/>
      <c r="X17" s="159">
        <f t="shared" si="1"/>
        <v>-172568.02632059134</v>
      </c>
      <c r="Y17" s="159">
        <f>SUM(Y12:Y16)</f>
        <v>-113419.39567420409</v>
      </c>
      <c r="Z17" s="159">
        <f t="shared" si="3"/>
        <v>-2113.3503999999957</v>
      </c>
    </row>
    <row r="18" spans="1:26">
      <c r="D18" s="161"/>
      <c r="E18" s="161"/>
      <c r="F18" s="161"/>
      <c r="G18" s="162"/>
      <c r="H18" s="161"/>
      <c r="I18" s="162"/>
      <c r="J18" s="161"/>
      <c r="K18" s="161"/>
      <c r="L18" s="159"/>
      <c r="N18" s="161"/>
      <c r="O18" s="161"/>
      <c r="P18" s="161"/>
      <c r="Q18" s="162"/>
      <c r="R18" s="161"/>
      <c r="S18" s="162"/>
      <c r="T18" s="161"/>
      <c r="V18" s="237"/>
      <c r="W18" s="210"/>
      <c r="X18" s="159">
        <f t="shared" si="1"/>
        <v>0</v>
      </c>
      <c r="Y18" s="159">
        <f t="shared" si="2"/>
        <v>0</v>
      </c>
      <c r="Z18" s="159">
        <f t="shared" si="3"/>
        <v>0</v>
      </c>
    </row>
    <row r="19" spans="1:26">
      <c r="D19" s="161"/>
      <c r="E19" s="161"/>
      <c r="F19" s="161"/>
      <c r="G19" s="162"/>
      <c r="H19" s="161"/>
      <c r="I19" s="162"/>
      <c r="J19" s="161"/>
      <c r="K19" s="161"/>
      <c r="L19" s="159"/>
      <c r="N19" s="161"/>
      <c r="O19" s="161"/>
      <c r="P19" s="161"/>
      <c r="Q19" s="162"/>
      <c r="R19" s="161"/>
      <c r="S19" s="162"/>
      <c r="T19" s="161"/>
      <c r="V19" s="237"/>
      <c r="W19" s="210"/>
      <c r="X19" s="159">
        <f t="shared" si="1"/>
        <v>0</v>
      </c>
      <c r="Y19" s="159">
        <f t="shared" si="2"/>
        <v>0</v>
      </c>
      <c r="Z19" s="159">
        <f t="shared" si="3"/>
        <v>0</v>
      </c>
    </row>
    <row r="20" spans="1:26">
      <c r="A20" s="147" t="s">
        <v>260</v>
      </c>
      <c r="D20" s="161">
        <f>'BR_10.4 PS Adj detail'!D44</f>
        <v>28642</v>
      </c>
      <c r="E20" s="161"/>
      <c r="F20" s="159">
        <f>SUM(D20:E20)</f>
        <v>28642</v>
      </c>
      <c r="G20" s="162"/>
      <c r="H20" s="161">
        <f t="shared" ref="H20:H27" si="4">H$10*F20</f>
        <v>18534.2382</v>
      </c>
      <c r="I20" s="162"/>
      <c r="J20" s="161">
        <f t="shared" ref="J20:J32" si="5">J$10*F20</f>
        <v>10107.7618</v>
      </c>
      <c r="K20" s="161"/>
      <c r="L20" s="159"/>
      <c r="N20" s="161">
        <f>'BR_10.4 PS Adj detail'!F44</f>
        <v>29206.16785859724</v>
      </c>
      <c r="O20" s="161"/>
      <c r="P20" s="159">
        <f>SUM(N20:O20)</f>
        <v>29206.16785859724</v>
      </c>
      <c r="Q20" s="162"/>
      <c r="R20" s="161">
        <f>R$10*P20</f>
        <v>19168.007965597368</v>
      </c>
      <c r="S20" s="162"/>
      <c r="T20" s="161">
        <f t="shared" ref="T20:T29" si="6">T$10*P20</f>
        <v>10038.159892999871</v>
      </c>
      <c r="V20" s="234">
        <f>R20-H20</f>
        <v>633.76976559736795</v>
      </c>
      <c r="W20" s="210"/>
      <c r="X20" s="159">
        <f t="shared" si="1"/>
        <v>564.16785859724041</v>
      </c>
      <c r="Y20" s="159">
        <f t="shared" si="2"/>
        <v>370.26336559736887</v>
      </c>
      <c r="Z20" s="159">
        <f t="shared" si="3"/>
        <v>-263.50639999999908</v>
      </c>
    </row>
    <row r="21" spans="1:26">
      <c r="A21" s="147" t="s">
        <v>261</v>
      </c>
      <c r="D21" s="161">
        <v>0</v>
      </c>
      <c r="E21" s="161"/>
      <c r="F21" s="159">
        <f>SUM(D21:E21)</f>
        <v>0</v>
      </c>
      <c r="G21" s="162"/>
      <c r="H21" s="161">
        <f t="shared" si="4"/>
        <v>0</v>
      </c>
      <c r="I21" s="162"/>
      <c r="J21" s="161">
        <f t="shared" si="5"/>
        <v>0</v>
      </c>
      <c r="K21" s="161"/>
      <c r="L21" s="159"/>
      <c r="N21" s="161">
        <v>0</v>
      </c>
      <c r="O21" s="161"/>
      <c r="P21" s="159">
        <f>SUM(N21:O21)</f>
        <v>0</v>
      </c>
      <c r="Q21" s="162"/>
      <c r="R21" s="161">
        <f t="shared" ref="R21:R27" si="7">R$10*P21</f>
        <v>0</v>
      </c>
      <c r="S21" s="162"/>
      <c r="T21" s="161">
        <f t="shared" si="6"/>
        <v>0</v>
      </c>
      <c r="V21" s="234">
        <f t="shared" ref="V21:V32" si="8">R21-H21</f>
        <v>0</v>
      </c>
      <c r="W21" s="210"/>
      <c r="X21" s="159">
        <f t="shared" si="1"/>
        <v>0</v>
      </c>
      <c r="Y21" s="159">
        <f t="shared" si="2"/>
        <v>0</v>
      </c>
      <c r="Z21" s="159">
        <f t="shared" si="3"/>
        <v>0</v>
      </c>
    </row>
    <row r="22" spans="1:26">
      <c r="A22" s="147" t="s">
        <v>262</v>
      </c>
      <c r="D22" s="161">
        <f>'BR_10.4 PS Adj detail'!D58</f>
        <v>90788</v>
      </c>
      <c r="E22" s="161"/>
      <c r="F22" s="159">
        <f>SUM(D22:E22)</f>
        <v>90788</v>
      </c>
      <c r="G22" s="162"/>
      <c r="H22" s="161">
        <f t="shared" si="4"/>
        <v>58748.914799999999</v>
      </c>
      <c r="I22" s="162"/>
      <c r="J22" s="161">
        <f t="shared" si="5"/>
        <v>32039.085199999998</v>
      </c>
      <c r="K22" s="161"/>
      <c r="L22" s="159"/>
      <c r="N22" s="161">
        <f>'BR_10.4 PS Adj detail'!F58</f>
        <v>73065.534765441465</v>
      </c>
      <c r="O22" s="161"/>
      <c r="P22" s="159">
        <f>SUM(N22:O22)</f>
        <v>73065.534765441465</v>
      </c>
      <c r="Q22" s="162"/>
      <c r="R22" s="161">
        <f t="shared" si="7"/>
        <v>47952.910466559231</v>
      </c>
      <c r="S22" s="162"/>
      <c r="T22" s="161">
        <f t="shared" si="6"/>
        <v>25112.624298882231</v>
      </c>
      <c r="V22" s="234">
        <f t="shared" si="8"/>
        <v>-10796.004333440767</v>
      </c>
      <c r="W22" s="210"/>
      <c r="X22" s="159">
        <f t="shared" si="1"/>
        <v>-17722.465234558535</v>
      </c>
      <c r="Y22" s="159">
        <f t="shared" si="2"/>
        <v>-11631.253933440767</v>
      </c>
      <c r="Z22" s="159">
        <f t="shared" si="3"/>
        <v>-835.24959999999919</v>
      </c>
    </row>
    <row r="23" spans="1:26">
      <c r="A23" s="147" t="s">
        <v>263</v>
      </c>
      <c r="D23" s="161">
        <f>'BR_10.4 PS Adj detail'!D76</f>
        <v>997</v>
      </c>
      <c r="E23" s="161"/>
      <c r="F23" s="159">
        <f>SUM(D23:E23)</f>
        <v>997</v>
      </c>
      <c r="G23" s="162"/>
      <c r="H23" s="161">
        <f t="shared" si="4"/>
        <v>645.15869999999995</v>
      </c>
      <c r="I23" s="162"/>
      <c r="J23" s="161">
        <f t="shared" si="5"/>
        <v>351.84129999999999</v>
      </c>
      <c r="K23" s="161"/>
      <c r="L23" s="159"/>
      <c r="N23" s="161">
        <f>'BR_10.4 PS Adj detail'!F76</f>
        <v>1029</v>
      </c>
      <c r="O23" s="161"/>
      <c r="P23" s="159">
        <f>SUM(N23:O23)</f>
        <v>1029</v>
      </c>
      <c r="Q23" s="162"/>
      <c r="R23" s="161">
        <f t="shared" si="7"/>
        <v>675.33270000000005</v>
      </c>
      <c r="S23" s="162"/>
      <c r="T23" s="161">
        <f t="shared" si="6"/>
        <v>353.66730000000001</v>
      </c>
      <c r="V23" s="234">
        <f t="shared" si="8"/>
        <v>30.174000000000092</v>
      </c>
      <c r="W23" s="210"/>
      <c r="X23" s="159">
        <f t="shared" si="1"/>
        <v>32</v>
      </c>
      <c r="Y23" s="159">
        <f t="shared" si="2"/>
        <v>21.0016</v>
      </c>
      <c r="Z23" s="159">
        <f t="shared" si="3"/>
        <v>-9.172400000000092</v>
      </c>
    </row>
    <row r="24" spans="1:26">
      <c r="A24" s="147" t="s">
        <v>264</v>
      </c>
      <c r="D24" s="161">
        <f>'BR_10.4 PS Adj detail'!D28</f>
        <v>177764</v>
      </c>
      <c r="E24" s="163"/>
      <c r="F24" s="159">
        <f>D24-E24</f>
        <v>177764</v>
      </c>
      <c r="G24" s="162"/>
      <c r="H24" s="161">
        <f t="shared" si="4"/>
        <v>115031.08440000001</v>
      </c>
      <c r="I24" s="162"/>
      <c r="J24" s="161">
        <f t="shared" si="5"/>
        <v>62732.9156</v>
      </c>
      <c r="K24" s="161"/>
      <c r="L24" s="159"/>
      <c r="N24" s="161">
        <f>'BR_10.4 PS Adj detail'!F28</f>
        <v>113156.90562181579</v>
      </c>
      <c r="O24" s="163"/>
      <c r="P24" s="159">
        <f>N24-O24</f>
        <v>113156.90562181579</v>
      </c>
      <c r="Q24" s="162"/>
      <c r="R24" s="161">
        <f t="shared" si="7"/>
        <v>74264.877159597701</v>
      </c>
      <c r="S24" s="162"/>
      <c r="T24" s="161">
        <f t="shared" si="6"/>
        <v>38892.028462218092</v>
      </c>
      <c r="V24" s="234">
        <f t="shared" si="8"/>
        <v>-40766.207240402306</v>
      </c>
      <c r="W24" s="210"/>
      <c r="X24" s="159">
        <f t="shared" si="1"/>
        <v>-64607.094378184207</v>
      </c>
      <c r="Y24" s="159">
        <f t="shared" si="2"/>
        <v>-42401.636040402293</v>
      </c>
      <c r="Z24" s="159">
        <f t="shared" si="3"/>
        <v>-1635.4287999999869</v>
      </c>
    </row>
    <row r="25" spans="1:26">
      <c r="A25" s="147" t="s">
        <v>265</v>
      </c>
      <c r="D25" s="161">
        <v>0</v>
      </c>
      <c r="E25" s="161"/>
      <c r="F25" s="159">
        <f t="shared" ref="F25:F32" si="9">SUM(D25:E25)</f>
        <v>0</v>
      </c>
      <c r="G25" s="162"/>
      <c r="H25" s="161">
        <f t="shared" si="4"/>
        <v>0</v>
      </c>
      <c r="I25" s="162"/>
      <c r="J25" s="161">
        <f t="shared" si="5"/>
        <v>0</v>
      </c>
      <c r="K25" s="161"/>
      <c r="L25" s="159"/>
      <c r="N25" s="161">
        <v>0</v>
      </c>
      <c r="O25" s="161"/>
      <c r="P25" s="159">
        <f t="shared" ref="P25:P29" si="10">SUM(N25:O25)</f>
        <v>0</v>
      </c>
      <c r="Q25" s="162"/>
      <c r="R25" s="161">
        <f t="shared" si="7"/>
        <v>0</v>
      </c>
      <c r="S25" s="162"/>
      <c r="T25" s="161">
        <f t="shared" si="6"/>
        <v>0</v>
      </c>
      <c r="V25" s="234">
        <f t="shared" si="8"/>
        <v>0</v>
      </c>
      <c r="W25" s="210"/>
      <c r="X25" s="159">
        <f t="shared" si="1"/>
        <v>0</v>
      </c>
      <c r="Y25" s="159">
        <f t="shared" si="2"/>
        <v>0</v>
      </c>
      <c r="Z25" s="159">
        <f t="shared" si="3"/>
        <v>0</v>
      </c>
    </row>
    <row r="26" spans="1:26">
      <c r="A26" s="147" t="s">
        <v>266</v>
      </c>
      <c r="D26" s="161">
        <v>0</v>
      </c>
      <c r="E26" s="161"/>
      <c r="F26" s="159">
        <f t="shared" si="9"/>
        <v>0</v>
      </c>
      <c r="G26" s="162"/>
      <c r="H26" s="161">
        <f t="shared" si="4"/>
        <v>0</v>
      </c>
      <c r="I26" s="162"/>
      <c r="J26" s="161">
        <f t="shared" si="5"/>
        <v>0</v>
      </c>
      <c r="K26" s="161"/>
      <c r="L26" s="159"/>
      <c r="N26" s="161">
        <v>0</v>
      </c>
      <c r="O26" s="161"/>
      <c r="P26" s="159">
        <f t="shared" si="10"/>
        <v>0</v>
      </c>
      <c r="Q26" s="162"/>
      <c r="R26" s="161">
        <f t="shared" si="7"/>
        <v>0</v>
      </c>
      <c r="S26" s="162"/>
      <c r="T26" s="161">
        <f t="shared" si="6"/>
        <v>0</v>
      </c>
      <c r="V26" s="234">
        <f t="shared" si="8"/>
        <v>0</v>
      </c>
      <c r="W26" s="210"/>
      <c r="X26" s="159">
        <f t="shared" si="1"/>
        <v>0</v>
      </c>
      <c r="Y26" s="159">
        <f t="shared" si="2"/>
        <v>0</v>
      </c>
      <c r="Z26" s="159">
        <f t="shared" si="3"/>
        <v>0</v>
      </c>
    </row>
    <row r="27" spans="1:26">
      <c r="A27" s="147" t="s">
        <v>267</v>
      </c>
      <c r="D27" s="161">
        <v>0</v>
      </c>
      <c r="E27" s="161"/>
      <c r="F27" s="159">
        <f t="shared" si="9"/>
        <v>0</v>
      </c>
      <c r="G27" s="162"/>
      <c r="H27" s="161">
        <f t="shared" si="4"/>
        <v>0</v>
      </c>
      <c r="I27" s="162"/>
      <c r="J27" s="161">
        <f t="shared" si="5"/>
        <v>0</v>
      </c>
      <c r="K27" s="161"/>
      <c r="L27" s="159"/>
      <c r="N27" s="161">
        <v>0</v>
      </c>
      <c r="O27" s="161"/>
      <c r="P27" s="159">
        <f t="shared" si="10"/>
        <v>0</v>
      </c>
      <c r="Q27" s="162"/>
      <c r="R27" s="161">
        <f t="shared" si="7"/>
        <v>0</v>
      </c>
      <c r="S27" s="162"/>
      <c r="T27" s="161">
        <f t="shared" si="6"/>
        <v>0</v>
      </c>
      <c r="V27" s="234">
        <f t="shared" si="8"/>
        <v>0</v>
      </c>
      <c r="W27" s="210"/>
      <c r="X27" s="159">
        <f t="shared" si="1"/>
        <v>0</v>
      </c>
      <c r="Y27" s="159">
        <f t="shared" si="2"/>
        <v>0</v>
      </c>
      <c r="Z27" s="159">
        <f t="shared" si="3"/>
        <v>0</v>
      </c>
    </row>
    <row r="28" spans="1:26">
      <c r="A28" s="171" t="s">
        <v>268</v>
      </c>
      <c r="B28" s="171"/>
      <c r="C28" s="171"/>
      <c r="D28" s="163">
        <f>'BR_10.4 PS Adj detail'!D37-D29-D30-D31</f>
        <v>87060</v>
      </c>
      <c r="E28" s="163"/>
      <c r="F28" s="201">
        <f t="shared" si="9"/>
        <v>87060</v>
      </c>
      <c r="G28" s="172"/>
      <c r="H28" s="163">
        <f>H$10*F28</f>
        <v>56336.525999999998</v>
      </c>
      <c r="I28" s="172"/>
      <c r="J28" s="163">
        <f t="shared" si="5"/>
        <v>30723.473999999998</v>
      </c>
      <c r="K28" s="163"/>
      <c r="L28" s="201"/>
      <c r="M28" s="171"/>
      <c r="N28" s="163">
        <f>'BR_10.4 PS Adj detail'!F37-F29-F30-F31</f>
        <v>407</v>
      </c>
      <c r="O28" s="163"/>
      <c r="P28" s="201">
        <f t="shared" si="10"/>
        <v>407</v>
      </c>
      <c r="Q28" s="172"/>
      <c r="R28" s="163">
        <f>R$10*P28</f>
        <v>267.11410000000001</v>
      </c>
      <c r="S28" s="172"/>
      <c r="T28" s="163">
        <f t="shared" si="6"/>
        <v>139.88589999999999</v>
      </c>
      <c r="V28" s="234">
        <f t="shared" si="8"/>
        <v>-56069.411899999999</v>
      </c>
      <c r="W28" s="210"/>
      <c r="X28" s="159">
        <f t="shared" si="1"/>
        <v>-86653</v>
      </c>
      <c r="Y28" s="159">
        <f t="shared" si="2"/>
        <v>-56870.363899999997</v>
      </c>
      <c r="Z28" s="159">
        <f t="shared" si="3"/>
        <v>-800.9519999999975</v>
      </c>
    </row>
    <row r="29" spans="1:26">
      <c r="A29" s="202" t="s">
        <v>300</v>
      </c>
      <c r="B29" s="171"/>
      <c r="C29" s="171"/>
      <c r="D29" s="163">
        <f>'BR_10.4 PS Adj detail'!D32</f>
        <v>645</v>
      </c>
      <c r="E29" s="163">
        <f>-D29</f>
        <v>-645</v>
      </c>
      <c r="F29" s="201">
        <f t="shared" si="9"/>
        <v>0</v>
      </c>
      <c r="G29" s="172"/>
      <c r="H29" s="163">
        <f>-E29</f>
        <v>645</v>
      </c>
      <c r="I29" s="172"/>
      <c r="J29" s="163">
        <f t="shared" si="5"/>
        <v>0</v>
      </c>
      <c r="K29" s="163"/>
      <c r="L29" s="201"/>
      <c r="M29" s="171"/>
      <c r="N29" s="163">
        <f>'BR_10.4 PS Adj detail'!F32</f>
        <v>0</v>
      </c>
      <c r="O29" s="163">
        <f>-N29</f>
        <v>0</v>
      </c>
      <c r="P29" s="201">
        <f t="shared" si="10"/>
        <v>0</v>
      </c>
      <c r="Q29" s="172"/>
      <c r="R29" s="163">
        <f>-O29</f>
        <v>0</v>
      </c>
      <c r="S29" s="172"/>
      <c r="T29" s="163">
        <f t="shared" si="6"/>
        <v>0</v>
      </c>
      <c r="V29" s="234">
        <f t="shared" si="8"/>
        <v>-645</v>
      </c>
      <c r="W29" s="210"/>
      <c r="X29" s="159">
        <f t="shared" si="1"/>
        <v>0</v>
      </c>
      <c r="Y29" s="159">
        <f>V29</f>
        <v>-645</v>
      </c>
      <c r="Z29" s="159">
        <f t="shared" si="3"/>
        <v>0</v>
      </c>
    </row>
    <row r="30" spans="1:26">
      <c r="A30" s="202" t="s">
        <v>301</v>
      </c>
      <c r="B30" s="171"/>
      <c r="C30" s="171"/>
      <c r="D30" s="163">
        <f>'BR_10.4 PS Adj detail'!D34-D31</f>
        <v>-3464</v>
      </c>
      <c r="E30" s="163">
        <f>-D30</f>
        <v>3464</v>
      </c>
      <c r="F30" s="201">
        <f t="shared" ref="F30" si="11">SUM(D30:E30)</f>
        <v>0</v>
      </c>
      <c r="G30" s="172"/>
      <c r="H30" s="163">
        <f>-E30</f>
        <v>-3464</v>
      </c>
      <c r="I30" s="172"/>
      <c r="J30" s="163"/>
      <c r="K30" s="163"/>
      <c r="L30" s="201"/>
      <c r="M30" s="171"/>
      <c r="N30" s="163">
        <f>'BR_10.4 PS Adj detail'!F34-F31</f>
        <v>0</v>
      </c>
      <c r="O30" s="163">
        <f>-N30</f>
        <v>0</v>
      </c>
      <c r="P30" s="201">
        <f t="shared" ref="P30" si="12">SUM(N30:O30)</f>
        <v>0</v>
      </c>
      <c r="Q30" s="172"/>
      <c r="R30" s="163">
        <f>-O30</f>
        <v>0</v>
      </c>
      <c r="S30" s="172"/>
      <c r="T30" s="163"/>
      <c r="V30" s="234">
        <f t="shared" si="8"/>
        <v>3464</v>
      </c>
      <c r="W30" s="210"/>
      <c r="X30" s="159">
        <f t="shared" si="1"/>
        <v>0</v>
      </c>
      <c r="Y30" s="159">
        <f>V30</f>
        <v>3464</v>
      </c>
      <c r="Z30" s="159">
        <f t="shared" si="3"/>
        <v>0</v>
      </c>
    </row>
    <row r="31" spans="1:26">
      <c r="A31" s="202" t="s">
        <v>302</v>
      </c>
      <c r="B31" s="171"/>
      <c r="C31" s="171"/>
      <c r="D31" s="163">
        <v>-1846</v>
      </c>
      <c r="E31" s="163">
        <f>-D31</f>
        <v>1846</v>
      </c>
      <c r="F31" s="201">
        <f t="shared" ref="F31" si="13">SUM(D31:E31)</f>
        <v>0</v>
      </c>
      <c r="G31" s="172"/>
      <c r="H31" s="163"/>
      <c r="I31" s="172"/>
      <c r="J31" s="163">
        <f>-E31</f>
        <v>-1846</v>
      </c>
      <c r="K31" s="163"/>
      <c r="L31" s="201"/>
      <c r="M31" s="171"/>
      <c r="N31" s="163">
        <v>0</v>
      </c>
      <c r="O31" s="163">
        <f>-N31</f>
        <v>0</v>
      </c>
      <c r="P31" s="201">
        <f t="shared" ref="P31:P32" si="14">SUM(N31:O31)</f>
        <v>0</v>
      </c>
      <c r="Q31" s="172"/>
      <c r="R31" s="163"/>
      <c r="S31" s="172"/>
      <c r="T31" s="163">
        <f>-O31</f>
        <v>0</v>
      </c>
      <c r="V31" s="234">
        <f t="shared" si="8"/>
        <v>0</v>
      </c>
      <c r="W31" s="210"/>
      <c r="X31" s="159">
        <f t="shared" si="1"/>
        <v>0</v>
      </c>
      <c r="Y31" s="159">
        <f t="shared" si="2"/>
        <v>0</v>
      </c>
      <c r="Z31" s="159">
        <f t="shared" si="3"/>
        <v>0</v>
      </c>
    </row>
    <row r="32" spans="1:26">
      <c r="A32" s="147" t="s">
        <v>270</v>
      </c>
      <c r="D32" s="161">
        <f>'BR_10.4 PS Adj detail'!D73</f>
        <v>17354</v>
      </c>
      <c r="E32" s="161"/>
      <c r="F32" s="201">
        <f t="shared" si="9"/>
        <v>17354</v>
      </c>
      <c r="G32" s="162"/>
      <c r="H32" s="163">
        <f>H$10*F32</f>
        <v>11229.7734</v>
      </c>
      <c r="I32" s="162"/>
      <c r="J32" s="161">
        <f t="shared" si="5"/>
        <v>6124.2266</v>
      </c>
      <c r="K32" s="161"/>
      <c r="L32" s="159"/>
      <c r="N32" s="161">
        <f>'BR_10.4 PS Adj detail'!F73</f>
        <v>17596</v>
      </c>
      <c r="O32" s="161"/>
      <c r="P32" s="201">
        <f t="shared" si="14"/>
        <v>17596</v>
      </c>
      <c r="Q32" s="162"/>
      <c r="R32" s="163">
        <f t="shared" ref="R32" si="15">R$10*P32</f>
        <v>11548.254800000001</v>
      </c>
      <c r="S32" s="162"/>
      <c r="T32" s="161">
        <f t="shared" ref="T32" si="16">T$10*P32</f>
        <v>6047.7452000000003</v>
      </c>
      <c r="V32" s="234">
        <f t="shared" si="8"/>
        <v>318.48140000000058</v>
      </c>
      <c r="W32" s="210"/>
      <c r="X32" s="159">
        <f t="shared" si="1"/>
        <v>242</v>
      </c>
      <c r="Y32" s="159">
        <f t="shared" si="2"/>
        <v>158.8246</v>
      </c>
      <c r="Z32" s="159">
        <f t="shared" si="3"/>
        <v>-159.65680000000057</v>
      </c>
    </row>
    <row r="33" spans="1:26" ht="15" customHeight="1">
      <c r="D33" s="161"/>
      <c r="E33" s="161"/>
      <c r="F33" s="201"/>
      <c r="G33" s="162"/>
      <c r="H33" s="161"/>
      <c r="I33" s="162"/>
      <c r="J33" s="161"/>
      <c r="K33" s="161"/>
      <c r="L33" s="159"/>
      <c r="N33" s="161"/>
      <c r="O33" s="161"/>
      <c r="P33" s="201"/>
      <c r="Q33" s="162"/>
      <c r="R33" s="161"/>
      <c r="S33" s="162"/>
      <c r="T33" s="161"/>
      <c r="V33" s="234"/>
      <c r="W33" s="210"/>
      <c r="X33" s="159">
        <f t="shared" si="1"/>
        <v>0</v>
      </c>
      <c r="Y33" s="159">
        <f t="shared" si="2"/>
        <v>0</v>
      </c>
      <c r="Z33" s="159">
        <f t="shared" si="3"/>
        <v>0</v>
      </c>
    </row>
    <row r="34" spans="1:26">
      <c r="A34" s="147" t="s">
        <v>271</v>
      </c>
      <c r="D34" s="168">
        <f>SUM(D20:D33)</f>
        <v>397940</v>
      </c>
      <c r="E34" s="168">
        <f>SUM(E20:E33)</f>
        <v>4665</v>
      </c>
      <c r="F34" s="168">
        <f>SUM(F20:F33)</f>
        <v>402605</v>
      </c>
      <c r="G34" s="162"/>
      <c r="H34" s="168">
        <f>SUM(H20:H33)</f>
        <v>257706.69550000003</v>
      </c>
      <c r="I34" s="162"/>
      <c r="J34" s="168">
        <f>SUM(J20:J33)</f>
        <v>140233.30449999997</v>
      </c>
      <c r="K34" s="162"/>
      <c r="L34" s="159"/>
      <c r="N34" s="168">
        <f>SUM(N20:N33)</f>
        <v>234460.6082458545</v>
      </c>
      <c r="O34" s="168">
        <f>SUM(O20:O33)</f>
        <v>0</v>
      </c>
      <c r="P34" s="168">
        <f>SUM(P20:P33)</f>
        <v>234460.6082458545</v>
      </c>
      <c r="Q34" s="162"/>
      <c r="R34" s="168">
        <f>SUM(R20:R33)</f>
        <v>153876.49719175429</v>
      </c>
      <c r="S34" s="162"/>
      <c r="T34" s="168">
        <f>SUM(T20:T33)</f>
        <v>80584.111054100184</v>
      </c>
      <c r="V34" s="238">
        <f>SUM(V20:V33)</f>
        <v>-103830.1983082457</v>
      </c>
      <c r="W34" s="210"/>
      <c r="X34" s="159">
        <f>P34-F34</f>
        <v>-168144.3917541455</v>
      </c>
      <c r="Y34" s="168">
        <f>SUM(Y20:Y33)</f>
        <v>-107534.16430824569</v>
      </c>
      <c r="Z34" s="159">
        <f t="shared" si="3"/>
        <v>-3703.9659999999858</v>
      </c>
    </row>
    <row r="35" spans="1:26">
      <c r="I35" s="149"/>
      <c r="L35" s="159"/>
      <c r="S35" s="149"/>
      <c r="V35" s="237"/>
      <c r="W35" s="210"/>
    </row>
    <row r="36" spans="1:26">
      <c r="A36" s="147" t="s">
        <v>272</v>
      </c>
      <c r="D36" s="161">
        <f>D17-D34</f>
        <v>-168065</v>
      </c>
      <c r="E36" s="161">
        <f>E17-E34</f>
        <v>-4828</v>
      </c>
      <c r="F36" s="161">
        <f>F17-F34</f>
        <v>-172893</v>
      </c>
      <c r="G36" s="161"/>
      <c r="H36" s="161">
        <f>H17-H34</f>
        <v>-108897.06030000001</v>
      </c>
      <c r="I36" s="162"/>
      <c r="J36" s="161">
        <f>J17-J34</f>
        <v>-59167.939699999974</v>
      </c>
      <c r="K36" s="161"/>
      <c r="L36" s="159"/>
      <c r="N36" s="161">
        <f>N17-N34</f>
        <v>-177316.63456644583</v>
      </c>
      <c r="O36" s="161">
        <f>O17-O34</f>
        <v>0</v>
      </c>
      <c r="P36" s="161">
        <f>P17-P34</f>
        <v>-177316.63456644583</v>
      </c>
      <c r="Q36" s="161"/>
      <c r="R36" s="161">
        <f>R17-R34</f>
        <v>-116372.90726595838</v>
      </c>
      <c r="S36" s="162"/>
      <c r="T36" s="161">
        <f>T17-T34</f>
        <v>-60943.727300487422</v>
      </c>
      <c r="V36" s="236">
        <f>V17-V34</f>
        <v>-7475.8469659583934</v>
      </c>
      <c r="W36" s="210"/>
      <c r="Y36" s="159">
        <f>-Y34+Y17</f>
        <v>-5885.2313659584033</v>
      </c>
      <c r="Z36" s="159">
        <f>-Z34+Z17</f>
        <v>1590.6155999999901</v>
      </c>
    </row>
    <row r="37" spans="1:26">
      <c r="F37" s="161"/>
      <c r="G37" s="161"/>
      <c r="H37" s="161"/>
      <c r="I37" s="161"/>
      <c r="J37" s="161"/>
      <c r="K37" s="161"/>
      <c r="P37" s="161"/>
      <c r="Q37" s="161"/>
      <c r="R37" s="161"/>
      <c r="S37" s="161"/>
      <c r="T37" s="161"/>
      <c r="V37" s="236"/>
      <c r="W37" s="210"/>
    </row>
    <row r="38" spans="1:26">
      <c r="A38" s="147" t="s">
        <v>303</v>
      </c>
      <c r="C38" s="203">
        <v>1.142E-2</v>
      </c>
      <c r="F38" s="162"/>
      <c r="G38" s="162"/>
      <c r="H38" s="166"/>
      <c r="I38" s="162"/>
      <c r="J38" s="166">
        <f>C38*J36</f>
        <v>-675.69787137399965</v>
      </c>
      <c r="K38" s="162"/>
      <c r="M38" s="203">
        <v>1.142E-2</v>
      </c>
      <c r="P38" s="162"/>
      <c r="Q38" s="162"/>
      <c r="R38" s="166"/>
      <c r="S38" s="162"/>
      <c r="T38" s="166">
        <f>M38*T36</f>
        <v>-695.97736577156638</v>
      </c>
      <c r="V38" s="239"/>
      <c r="W38" s="210"/>
      <c r="Y38" s="159">
        <f>Y36-V36</f>
        <v>1590.6155999999901</v>
      </c>
    </row>
    <row r="39" spans="1:26">
      <c r="F39" s="162"/>
      <c r="G39" s="162"/>
      <c r="H39" s="161"/>
      <c r="I39" s="161"/>
      <c r="J39" s="161"/>
      <c r="K39" s="161"/>
      <c r="P39" s="162"/>
      <c r="Q39" s="162"/>
      <c r="R39" s="161"/>
      <c r="S39" s="161"/>
      <c r="T39" s="161"/>
      <c r="V39" s="236"/>
      <c r="W39" s="210"/>
    </row>
    <row r="40" spans="1:26" ht="12.75" customHeight="1">
      <c r="A40" s="147" t="s">
        <v>304</v>
      </c>
      <c r="F40" s="160"/>
      <c r="G40" s="160"/>
      <c r="H40" s="161">
        <f>H36-H38</f>
        <v>-108897.06030000001</v>
      </c>
      <c r="I40" s="159"/>
      <c r="J40" s="161">
        <f>J36-J38</f>
        <v>-58492.241828625971</v>
      </c>
      <c r="K40" s="161"/>
      <c r="P40" s="160"/>
      <c r="Q40" s="160"/>
      <c r="R40" s="161">
        <f>R36-R38</f>
        <v>-116372.90726595838</v>
      </c>
      <c r="S40" s="159"/>
      <c r="T40" s="161">
        <f>T36-T38</f>
        <v>-60247.749934715859</v>
      </c>
      <c r="V40" s="236">
        <f>V36-V38</f>
        <v>-7475.8469659583934</v>
      </c>
      <c r="W40" s="210"/>
    </row>
    <row r="41" spans="1:26">
      <c r="F41" s="160"/>
      <c r="G41" s="160"/>
      <c r="H41" s="159"/>
      <c r="I41" s="159"/>
      <c r="J41" s="159"/>
      <c r="K41" s="159"/>
      <c r="P41" s="160"/>
      <c r="Q41" s="160"/>
      <c r="R41" s="159"/>
      <c r="S41" s="159"/>
      <c r="T41" s="159"/>
      <c r="V41" s="234"/>
      <c r="W41" s="210"/>
    </row>
    <row r="42" spans="1:26">
      <c r="A42" s="147" t="s">
        <v>273</v>
      </c>
      <c r="C42" s="169">
        <v>0.35</v>
      </c>
      <c r="F42" s="160"/>
      <c r="G42" s="160"/>
      <c r="H42" s="166">
        <f>C42*H40</f>
        <v>-38113.971105000004</v>
      </c>
      <c r="I42" s="159"/>
      <c r="J42" s="166">
        <f>C42*J40</f>
        <v>-20472.28464001909</v>
      </c>
      <c r="K42" s="162"/>
      <c r="M42" s="169">
        <v>0.35</v>
      </c>
      <c r="P42" s="160"/>
      <c r="Q42" s="160"/>
      <c r="R42" s="166">
        <f>M42*R40</f>
        <v>-40730.517543085429</v>
      </c>
      <c r="S42" s="159"/>
      <c r="T42" s="166">
        <f>M42*T40</f>
        <v>-21086.712477150548</v>
      </c>
      <c r="V42" s="239">
        <f>C42*V40</f>
        <v>-2616.5464380854373</v>
      </c>
      <c r="W42" s="210"/>
    </row>
    <row r="43" spans="1:26">
      <c r="F43" s="160"/>
      <c r="G43" s="160"/>
      <c r="H43" s="159"/>
      <c r="I43" s="159"/>
      <c r="J43" s="159"/>
      <c r="K43" s="159"/>
      <c r="P43" s="160"/>
      <c r="Q43" s="160"/>
      <c r="R43" s="159"/>
      <c r="S43" s="159"/>
      <c r="T43" s="159"/>
      <c r="V43" s="234"/>
      <c r="W43" s="210"/>
    </row>
    <row r="44" spans="1:26" ht="12.75" customHeight="1" thickBot="1">
      <c r="A44" s="147" t="s">
        <v>274</v>
      </c>
      <c r="F44" s="161"/>
      <c r="G44" s="161"/>
      <c r="H44" s="159">
        <f>H40-H42</f>
        <v>-70783.089195000008</v>
      </c>
      <c r="I44" s="161"/>
      <c r="J44" s="159">
        <f>J40-J42</f>
        <v>-38019.957188606881</v>
      </c>
      <c r="K44" s="159"/>
      <c r="P44" s="161"/>
      <c r="Q44" s="161"/>
      <c r="R44" s="159">
        <f>R40-R42</f>
        <v>-75642.389722872947</v>
      </c>
      <c r="S44" s="161"/>
      <c r="T44" s="159">
        <f>T40-T42</f>
        <v>-39161.037457565311</v>
      </c>
      <c r="V44" s="240">
        <f>V40-V42</f>
        <v>-4859.3005278729561</v>
      </c>
      <c r="W44" s="223"/>
    </row>
    <row r="45" spans="1:26">
      <c r="F45" s="161"/>
      <c r="G45" s="161"/>
      <c r="H45" s="161"/>
      <c r="I45" s="161"/>
      <c r="J45" s="161"/>
      <c r="K45" s="161"/>
      <c r="P45" s="161"/>
      <c r="Q45" s="161"/>
      <c r="R45" s="161"/>
      <c r="S45" s="161"/>
      <c r="T45" s="161"/>
      <c r="V45" s="241"/>
    </row>
    <row r="46" spans="1:26">
      <c r="A46" s="170" t="s">
        <v>316</v>
      </c>
      <c r="V46" s="241"/>
    </row>
    <row r="47" spans="1:26">
      <c r="U47" s="224"/>
      <c r="V47" s="225"/>
    </row>
    <row r="48" spans="1:26" ht="18.75" customHeight="1">
      <c r="A48" s="204" t="s">
        <v>305</v>
      </c>
      <c r="B48" s="205"/>
      <c r="C48" s="205"/>
      <c r="M48" s="205"/>
      <c r="V48" s="224"/>
    </row>
    <row r="49" spans="1:11" ht="26.25" customHeight="1">
      <c r="A49" s="264" t="s">
        <v>306</v>
      </c>
      <c r="B49" s="264"/>
      <c r="C49" s="264"/>
      <c r="D49" s="264"/>
      <c r="E49" s="264"/>
      <c r="F49" s="264"/>
      <c r="G49" s="264"/>
      <c r="H49" s="264"/>
      <c r="I49" s="264"/>
      <c r="J49" s="264"/>
      <c r="K49" s="226"/>
    </row>
    <row r="50" spans="1:11" ht="39.6" customHeight="1">
      <c r="A50" s="265" t="s">
        <v>307</v>
      </c>
      <c r="B50" s="265"/>
      <c r="C50" s="265"/>
      <c r="D50" s="265"/>
      <c r="E50" s="265"/>
      <c r="F50" s="265"/>
      <c r="G50" s="265"/>
      <c r="H50" s="265"/>
      <c r="I50" s="265"/>
      <c r="J50" s="265"/>
      <c r="K50" s="227"/>
    </row>
  </sheetData>
  <mergeCells count="10">
    <mergeCell ref="A49:J49"/>
    <mergeCell ref="A50:J50"/>
    <mergeCell ref="A4:R4"/>
    <mergeCell ref="A3:R3"/>
    <mergeCell ref="V1:V4"/>
    <mergeCell ref="C5:J5"/>
    <mergeCell ref="M5:T5"/>
    <mergeCell ref="V5:V6"/>
    <mergeCell ref="A2:R2"/>
    <mergeCell ref="A1:R1"/>
  </mergeCells>
  <pageMargins left="0.7" right="0.7" top="0.75" bottom="0.75" header="0.3" footer="0.3"/>
  <pageSetup scale="72" orientation="landscape" r:id="rId1"/>
  <headerFooter scaleWithDoc="0">
    <oddHeader xml:space="preserve">&amp;CBench Request 10.4 - Attachment A&amp;RRevised Pro Forma Adjustment 3.00 (Power Supply)
</oddHead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topLeftCell="A5" zoomScaleNormal="100" workbookViewId="0">
      <selection activeCell="H43" sqref="H43"/>
    </sheetView>
  </sheetViews>
  <sheetFormatPr defaultRowHeight="12.75"/>
  <cols>
    <col min="1" max="1" width="22.140625" style="147" customWidth="1"/>
    <col min="2" max="2" width="9.140625" style="147"/>
    <col min="3" max="3" width="10.5703125" style="147" customWidth="1"/>
    <col min="4" max="4" width="11.7109375" style="147" customWidth="1"/>
    <col min="5" max="5" width="10.42578125" style="147" bestFit="1" customWidth="1"/>
    <col min="6" max="6" width="11.42578125" style="147" customWidth="1"/>
    <col min="7" max="7" width="1.28515625" style="147" customWidth="1"/>
    <col min="8" max="8" width="10.85546875" style="147" bestFit="1" customWidth="1"/>
    <col min="9" max="9" width="0.140625" style="147" customWidth="1"/>
    <col min="10" max="10" width="10.42578125" style="147" hidden="1" customWidth="1"/>
    <col min="11" max="11" width="0.28515625" style="147" customWidth="1"/>
    <col min="12" max="12" width="3.42578125" style="147" customWidth="1"/>
    <col min="13" max="13" width="0.28515625" style="147" customWidth="1"/>
    <col min="14" max="14" width="11.7109375" style="147" customWidth="1"/>
    <col min="15" max="15" width="10.42578125" style="147" bestFit="1" customWidth="1"/>
    <col min="16" max="16" width="11.42578125" style="147" customWidth="1"/>
    <col min="17" max="17" width="1.28515625" style="147" customWidth="1"/>
    <col min="18" max="18" width="10.85546875" style="147" bestFit="1" customWidth="1"/>
    <col min="19" max="19" width="0.140625" style="147" customWidth="1"/>
    <col min="20" max="20" width="10.42578125" style="147" hidden="1" customWidth="1"/>
    <col min="21" max="21" width="1.85546875" style="147" customWidth="1"/>
    <col min="22" max="22" width="11.5703125" style="147" customWidth="1"/>
    <col min="23" max="23" width="0.5703125" style="147" customWidth="1"/>
    <col min="24" max="24" width="9.140625" style="147"/>
    <col min="25" max="25" width="10.7109375" style="147" bestFit="1" customWidth="1"/>
    <col min="26" max="253" width="9.140625" style="147"/>
    <col min="254" max="254" width="22.140625" style="147" customWidth="1"/>
    <col min="255" max="255" width="9.140625" style="147"/>
    <col min="256" max="256" width="10.5703125" style="147" customWidth="1"/>
    <col min="257" max="257" width="11.7109375" style="147" customWidth="1"/>
    <col min="258" max="258" width="16.28515625" style="147" customWidth="1"/>
    <col min="259" max="259" width="11.42578125" style="147" customWidth="1"/>
    <col min="260" max="260" width="1.28515625" style="147" customWidth="1"/>
    <col min="261" max="261" width="10.85546875" style="147" bestFit="1" customWidth="1"/>
    <col min="262" max="262" width="1.85546875" style="147" customWidth="1"/>
    <col min="263" max="263" width="10.42578125" style="147" bestFit="1" customWidth="1"/>
    <col min="264" max="509" width="9.140625" style="147"/>
    <col min="510" max="510" width="22.140625" style="147" customWidth="1"/>
    <col min="511" max="511" width="9.140625" style="147"/>
    <col min="512" max="512" width="10.5703125" style="147" customWidth="1"/>
    <col min="513" max="513" width="11.7109375" style="147" customWidth="1"/>
    <col min="514" max="514" width="16.28515625" style="147" customWidth="1"/>
    <col min="515" max="515" width="11.42578125" style="147" customWidth="1"/>
    <col min="516" max="516" width="1.28515625" style="147" customWidth="1"/>
    <col min="517" max="517" width="10.85546875" style="147" bestFit="1" customWidth="1"/>
    <col min="518" max="518" width="1.85546875" style="147" customWidth="1"/>
    <col min="519" max="519" width="10.42578125" style="147" bestFit="1" customWidth="1"/>
    <col min="520" max="765" width="9.140625" style="147"/>
    <col min="766" max="766" width="22.140625" style="147" customWidth="1"/>
    <col min="767" max="767" width="9.140625" style="147"/>
    <col min="768" max="768" width="10.5703125" style="147" customWidth="1"/>
    <col min="769" max="769" width="11.7109375" style="147" customWidth="1"/>
    <col min="770" max="770" width="16.28515625" style="147" customWidth="1"/>
    <col min="771" max="771" width="11.42578125" style="147" customWidth="1"/>
    <col min="772" max="772" width="1.28515625" style="147" customWidth="1"/>
    <col min="773" max="773" width="10.85546875" style="147" bestFit="1" customWidth="1"/>
    <col min="774" max="774" width="1.85546875" style="147" customWidth="1"/>
    <col min="775" max="775" width="10.42578125" style="147" bestFit="1" customWidth="1"/>
    <col min="776" max="1021" width="9.140625" style="147"/>
    <col min="1022" max="1022" width="22.140625" style="147" customWidth="1"/>
    <col min="1023" max="1023" width="9.140625" style="147"/>
    <col min="1024" max="1024" width="10.5703125" style="147" customWidth="1"/>
    <col min="1025" max="1025" width="11.7109375" style="147" customWidth="1"/>
    <col min="1026" max="1026" width="16.28515625" style="147" customWidth="1"/>
    <col min="1027" max="1027" width="11.42578125" style="147" customWidth="1"/>
    <col min="1028" max="1028" width="1.28515625" style="147" customWidth="1"/>
    <col min="1029" max="1029" width="10.85546875" style="147" bestFit="1" customWidth="1"/>
    <col min="1030" max="1030" width="1.85546875" style="147" customWidth="1"/>
    <col min="1031" max="1031" width="10.42578125" style="147" bestFit="1" customWidth="1"/>
    <col min="1032" max="1277" width="9.140625" style="147"/>
    <col min="1278" max="1278" width="22.140625" style="147" customWidth="1"/>
    <col min="1279" max="1279" width="9.140625" style="147"/>
    <col min="1280" max="1280" width="10.5703125" style="147" customWidth="1"/>
    <col min="1281" max="1281" width="11.7109375" style="147" customWidth="1"/>
    <col min="1282" max="1282" width="16.28515625" style="147" customWidth="1"/>
    <col min="1283" max="1283" width="11.42578125" style="147" customWidth="1"/>
    <col min="1284" max="1284" width="1.28515625" style="147" customWidth="1"/>
    <col min="1285" max="1285" width="10.85546875" style="147" bestFit="1" customWidth="1"/>
    <col min="1286" max="1286" width="1.85546875" style="147" customWidth="1"/>
    <col min="1287" max="1287" width="10.42578125" style="147" bestFit="1" customWidth="1"/>
    <col min="1288" max="1533" width="9.140625" style="147"/>
    <col min="1534" max="1534" width="22.140625" style="147" customWidth="1"/>
    <col min="1535" max="1535" width="9.140625" style="147"/>
    <col min="1536" max="1536" width="10.5703125" style="147" customWidth="1"/>
    <col min="1537" max="1537" width="11.7109375" style="147" customWidth="1"/>
    <col min="1538" max="1538" width="16.28515625" style="147" customWidth="1"/>
    <col min="1539" max="1539" width="11.42578125" style="147" customWidth="1"/>
    <col min="1540" max="1540" width="1.28515625" style="147" customWidth="1"/>
    <col min="1541" max="1541" width="10.85546875" style="147" bestFit="1" customWidth="1"/>
    <col min="1542" max="1542" width="1.85546875" style="147" customWidth="1"/>
    <col min="1543" max="1543" width="10.42578125" style="147" bestFit="1" customWidth="1"/>
    <col min="1544" max="1789" width="9.140625" style="147"/>
    <col min="1790" max="1790" width="22.140625" style="147" customWidth="1"/>
    <col min="1791" max="1791" width="9.140625" style="147"/>
    <col min="1792" max="1792" width="10.5703125" style="147" customWidth="1"/>
    <col min="1793" max="1793" width="11.7109375" style="147" customWidth="1"/>
    <col min="1794" max="1794" width="16.28515625" style="147" customWidth="1"/>
    <col min="1795" max="1795" width="11.42578125" style="147" customWidth="1"/>
    <col min="1796" max="1796" width="1.28515625" style="147" customWidth="1"/>
    <col min="1797" max="1797" width="10.85546875" style="147" bestFit="1" customWidth="1"/>
    <col min="1798" max="1798" width="1.85546875" style="147" customWidth="1"/>
    <col min="1799" max="1799" width="10.42578125" style="147" bestFit="1" customWidth="1"/>
    <col min="1800" max="2045" width="9.140625" style="147"/>
    <col min="2046" max="2046" width="22.140625" style="147" customWidth="1"/>
    <col min="2047" max="2047" width="9.140625" style="147"/>
    <col min="2048" max="2048" width="10.5703125" style="147" customWidth="1"/>
    <col min="2049" max="2049" width="11.7109375" style="147" customWidth="1"/>
    <col min="2050" max="2050" width="16.28515625" style="147" customWidth="1"/>
    <col min="2051" max="2051" width="11.42578125" style="147" customWidth="1"/>
    <col min="2052" max="2052" width="1.28515625" style="147" customWidth="1"/>
    <col min="2053" max="2053" width="10.85546875" style="147" bestFit="1" customWidth="1"/>
    <col min="2054" max="2054" width="1.85546875" style="147" customWidth="1"/>
    <col min="2055" max="2055" width="10.42578125" style="147" bestFit="1" customWidth="1"/>
    <col min="2056" max="2301" width="9.140625" style="147"/>
    <col min="2302" max="2302" width="22.140625" style="147" customWidth="1"/>
    <col min="2303" max="2303" width="9.140625" style="147"/>
    <col min="2304" max="2304" width="10.5703125" style="147" customWidth="1"/>
    <col min="2305" max="2305" width="11.7109375" style="147" customWidth="1"/>
    <col min="2306" max="2306" width="16.28515625" style="147" customWidth="1"/>
    <col min="2307" max="2307" width="11.42578125" style="147" customWidth="1"/>
    <col min="2308" max="2308" width="1.28515625" style="147" customWidth="1"/>
    <col min="2309" max="2309" width="10.85546875" style="147" bestFit="1" customWidth="1"/>
    <col min="2310" max="2310" width="1.85546875" style="147" customWidth="1"/>
    <col min="2311" max="2311" width="10.42578125" style="147" bestFit="1" customWidth="1"/>
    <col min="2312" max="2557" width="9.140625" style="147"/>
    <col min="2558" max="2558" width="22.140625" style="147" customWidth="1"/>
    <col min="2559" max="2559" width="9.140625" style="147"/>
    <col min="2560" max="2560" width="10.5703125" style="147" customWidth="1"/>
    <col min="2561" max="2561" width="11.7109375" style="147" customWidth="1"/>
    <col min="2562" max="2562" width="16.28515625" style="147" customWidth="1"/>
    <col min="2563" max="2563" width="11.42578125" style="147" customWidth="1"/>
    <col min="2564" max="2564" width="1.28515625" style="147" customWidth="1"/>
    <col min="2565" max="2565" width="10.85546875" style="147" bestFit="1" customWidth="1"/>
    <col min="2566" max="2566" width="1.85546875" style="147" customWidth="1"/>
    <col min="2567" max="2567" width="10.42578125" style="147" bestFit="1" customWidth="1"/>
    <col min="2568" max="2813" width="9.140625" style="147"/>
    <col min="2814" max="2814" width="22.140625" style="147" customWidth="1"/>
    <col min="2815" max="2815" width="9.140625" style="147"/>
    <col min="2816" max="2816" width="10.5703125" style="147" customWidth="1"/>
    <col min="2817" max="2817" width="11.7109375" style="147" customWidth="1"/>
    <col min="2818" max="2818" width="16.28515625" style="147" customWidth="1"/>
    <col min="2819" max="2819" width="11.42578125" style="147" customWidth="1"/>
    <col min="2820" max="2820" width="1.28515625" style="147" customWidth="1"/>
    <col min="2821" max="2821" width="10.85546875" style="147" bestFit="1" customWidth="1"/>
    <col min="2822" max="2822" width="1.85546875" style="147" customWidth="1"/>
    <col min="2823" max="2823" width="10.42578125" style="147" bestFit="1" customWidth="1"/>
    <col min="2824" max="3069" width="9.140625" style="147"/>
    <col min="3070" max="3070" width="22.140625" style="147" customWidth="1"/>
    <col min="3071" max="3071" width="9.140625" style="147"/>
    <col min="3072" max="3072" width="10.5703125" style="147" customWidth="1"/>
    <col min="3073" max="3073" width="11.7109375" style="147" customWidth="1"/>
    <col min="3074" max="3074" width="16.28515625" style="147" customWidth="1"/>
    <col min="3075" max="3075" width="11.42578125" style="147" customWidth="1"/>
    <col min="3076" max="3076" width="1.28515625" style="147" customWidth="1"/>
    <col min="3077" max="3077" width="10.85546875" style="147" bestFit="1" customWidth="1"/>
    <col min="3078" max="3078" width="1.85546875" style="147" customWidth="1"/>
    <col min="3079" max="3079" width="10.42578125" style="147" bestFit="1" customWidth="1"/>
    <col min="3080" max="3325" width="9.140625" style="147"/>
    <col min="3326" max="3326" width="22.140625" style="147" customWidth="1"/>
    <col min="3327" max="3327" width="9.140625" style="147"/>
    <col min="3328" max="3328" width="10.5703125" style="147" customWidth="1"/>
    <col min="3329" max="3329" width="11.7109375" style="147" customWidth="1"/>
    <col min="3330" max="3330" width="16.28515625" style="147" customWidth="1"/>
    <col min="3331" max="3331" width="11.42578125" style="147" customWidth="1"/>
    <col min="3332" max="3332" width="1.28515625" style="147" customWidth="1"/>
    <col min="3333" max="3333" width="10.85546875" style="147" bestFit="1" customWidth="1"/>
    <col min="3334" max="3334" width="1.85546875" style="147" customWidth="1"/>
    <col min="3335" max="3335" width="10.42578125" style="147" bestFit="1" customWidth="1"/>
    <col min="3336" max="3581" width="9.140625" style="147"/>
    <col min="3582" max="3582" width="22.140625" style="147" customWidth="1"/>
    <col min="3583" max="3583" width="9.140625" style="147"/>
    <col min="3584" max="3584" width="10.5703125" style="147" customWidth="1"/>
    <col min="3585" max="3585" width="11.7109375" style="147" customWidth="1"/>
    <col min="3586" max="3586" width="16.28515625" style="147" customWidth="1"/>
    <col min="3587" max="3587" width="11.42578125" style="147" customWidth="1"/>
    <col min="3588" max="3588" width="1.28515625" style="147" customWidth="1"/>
    <col min="3589" max="3589" width="10.85546875" style="147" bestFit="1" customWidth="1"/>
    <col min="3590" max="3590" width="1.85546875" style="147" customWidth="1"/>
    <col min="3591" max="3591" width="10.42578125" style="147" bestFit="1" customWidth="1"/>
    <col min="3592" max="3837" width="9.140625" style="147"/>
    <col min="3838" max="3838" width="22.140625" style="147" customWidth="1"/>
    <col min="3839" max="3839" width="9.140625" style="147"/>
    <col min="3840" max="3840" width="10.5703125" style="147" customWidth="1"/>
    <col min="3841" max="3841" width="11.7109375" style="147" customWidth="1"/>
    <col min="3842" max="3842" width="16.28515625" style="147" customWidth="1"/>
    <col min="3843" max="3843" width="11.42578125" style="147" customWidth="1"/>
    <col min="3844" max="3844" width="1.28515625" style="147" customWidth="1"/>
    <col min="3845" max="3845" width="10.85546875" style="147" bestFit="1" customWidth="1"/>
    <col min="3846" max="3846" width="1.85546875" style="147" customWidth="1"/>
    <col min="3847" max="3847" width="10.42578125" style="147" bestFit="1" customWidth="1"/>
    <col min="3848" max="4093" width="9.140625" style="147"/>
    <col min="4094" max="4094" width="22.140625" style="147" customWidth="1"/>
    <col min="4095" max="4095" width="9.140625" style="147"/>
    <col min="4096" max="4096" width="10.5703125" style="147" customWidth="1"/>
    <col min="4097" max="4097" width="11.7109375" style="147" customWidth="1"/>
    <col min="4098" max="4098" width="16.28515625" style="147" customWidth="1"/>
    <col min="4099" max="4099" width="11.42578125" style="147" customWidth="1"/>
    <col min="4100" max="4100" width="1.28515625" style="147" customWidth="1"/>
    <col min="4101" max="4101" width="10.85546875" style="147" bestFit="1" customWidth="1"/>
    <col min="4102" max="4102" width="1.85546875" style="147" customWidth="1"/>
    <col min="4103" max="4103" width="10.42578125" style="147" bestFit="1" customWidth="1"/>
    <col min="4104" max="4349" width="9.140625" style="147"/>
    <col min="4350" max="4350" width="22.140625" style="147" customWidth="1"/>
    <col min="4351" max="4351" width="9.140625" style="147"/>
    <col min="4352" max="4352" width="10.5703125" style="147" customWidth="1"/>
    <col min="4353" max="4353" width="11.7109375" style="147" customWidth="1"/>
    <col min="4354" max="4354" width="16.28515625" style="147" customWidth="1"/>
    <col min="4355" max="4355" width="11.42578125" style="147" customWidth="1"/>
    <col min="4356" max="4356" width="1.28515625" style="147" customWidth="1"/>
    <col min="4357" max="4357" width="10.85546875" style="147" bestFit="1" customWidth="1"/>
    <col min="4358" max="4358" width="1.85546875" style="147" customWidth="1"/>
    <col min="4359" max="4359" width="10.42578125" style="147" bestFit="1" customWidth="1"/>
    <col min="4360" max="4605" width="9.140625" style="147"/>
    <col min="4606" max="4606" width="22.140625" style="147" customWidth="1"/>
    <col min="4607" max="4607" width="9.140625" style="147"/>
    <col min="4608" max="4608" width="10.5703125" style="147" customWidth="1"/>
    <col min="4609" max="4609" width="11.7109375" style="147" customWidth="1"/>
    <col min="4610" max="4610" width="16.28515625" style="147" customWidth="1"/>
    <col min="4611" max="4611" width="11.42578125" style="147" customWidth="1"/>
    <col min="4612" max="4612" width="1.28515625" style="147" customWidth="1"/>
    <col min="4613" max="4613" width="10.85546875" style="147" bestFit="1" customWidth="1"/>
    <col min="4614" max="4614" width="1.85546875" style="147" customWidth="1"/>
    <col min="4615" max="4615" width="10.42578125" style="147" bestFit="1" customWidth="1"/>
    <col min="4616" max="4861" width="9.140625" style="147"/>
    <col min="4862" max="4862" width="22.140625" style="147" customWidth="1"/>
    <col min="4863" max="4863" width="9.140625" style="147"/>
    <col min="4864" max="4864" width="10.5703125" style="147" customWidth="1"/>
    <col min="4865" max="4865" width="11.7109375" style="147" customWidth="1"/>
    <col min="4866" max="4866" width="16.28515625" style="147" customWidth="1"/>
    <col min="4867" max="4867" width="11.42578125" style="147" customWidth="1"/>
    <col min="4868" max="4868" width="1.28515625" style="147" customWidth="1"/>
    <col min="4869" max="4869" width="10.85546875" style="147" bestFit="1" customWidth="1"/>
    <col min="4870" max="4870" width="1.85546875" style="147" customWidth="1"/>
    <col min="4871" max="4871" width="10.42578125" style="147" bestFit="1" customWidth="1"/>
    <col min="4872" max="5117" width="9.140625" style="147"/>
    <col min="5118" max="5118" width="22.140625" style="147" customWidth="1"/>
    <col min="5119" max="5119" width="9.140625" style="147"/>
    <col min="5120" max="5120" width="10.5703125" style="147" customWidth="1"/>
    <col min="5121" max="5121" width="11.7109375" style="147" customWidth="1"/>
    <col min="5122" max="5122" width="16.28515625" style="147" customWidth="1"/>
    <col min="5123" max="5123" width="11.42578125" style="147" customWidth="1"/>
    <col min="5124" max="5124" width="1.28515625" style="147" customWidth="1"/>
    <col min="5125" max="5125" width="10.85546875" style="147" bestFit="1" customWidth="1"/>
    <col min="5126" max="5126" width="1.85546875" style="147" customWidth="1"/>
    <col min="5127" max="5127" width="10.42578125" style="147" bestFit="1" customWidth="1"/>
    <col min="5128" max="5373" width="9.140625" style="147"/>
    <col min="5374" max="5374" width="22.140625" style="147" customWidth="1"/>
    <col min="5375" max="5375" width="9.140625" style="147"/>
    <col min="5376" max="5376" width="10.5703125" style="147" customWidth="1"/>
    <col min="5377" max="5377" width="11.7109375" style="147" customWidth="1"/>
    <col min="5378" max="5378" width="16.28515625" style="147" customWidth="1"/>
    <col min="5379" max="5379" width="11.42578125" style="147" customWidth="1"/>
    <col min="5380" max="5380" width="1.28515625" style="147" customWidth="1"/>
    <col min="5381" max="5381" width="10.85546875" style="147" bestFit="1" customWidth="1"/>
    <col min="5382" max="5382" width="1.85546875" style="147" customWidth="1"/>
    <col min="5383" max="5383" width="10.42578125" style="147" bestFit="1" customWidth="1"/>
    <col min="5384" max="5629" width="9.140625" style="147"/>
    <col min="5630" max="5630" width="22.140625" style="147" customWidth="1"/>
    <col min="5631" max="5631" width="9.140625" style="147"/>
    <col min="5632" max="5632" width="10.5703125" style="147" customWidth="1"/>
    <col min="5633" max="5633" width="11.7109375" style="147" customWidth="1"/>
    <col min="5634" max="5634" width="16.28515625" style="147" customWidth="1"/>
    <col min="5635" max="5635" width="11.42578125" style="147" customWidth="1"/>
    <col min="5636" max="5636" width="1.28515625" style="147" customWidth="1"/>
    <col min="5637" max="5637" width="10.85546875" style="147" bestFit="1" customWidth="1"/>
    <col min="5638" max="5638" width="1.85546875" style="147" customWidth="1"/>
    <col min="5639" max="5639" width="10.42578125" style="147" bestFit="1" customWidth="1"/>
    <col min="5640" max="5885" width="9.140625" style="147"/>
    <col min="5886" max="5886" width="22.140625" style="147" customWidth="1"/>
    <col min="5887" max="5887" width="9.140625" style="147"/>
    <col min="5888" max="5888" width="10.5703125" style="147" customWidth="1"/>
    <col min="5889" max="5889" width="11.7109375" style="147" customWidth="1"/>
    <col min="5890" max="5890" width="16.28515625" style="147" customWidth="1"/>
    <col min="5891" max="5891" width="11.42578125" style="147" customWidth="1"/>
    <col min="5892" max="5892" width="1.28515625" style="147" customWidth="1"/>
    <col min="5893" max="5893" width="10.85546875" style="147" bestFit="1" customWidth="1"/>
    <col min="5894" max="5894" width="1.85546875" style="147" customWidth="1"/>
    <col min="5895" max="5895" width="10.42578125" style="147" bestFit="1" customWidth="1"/>
    <col min="5896" max="6141" width="9.140625" style="147"/>
    <col min="6142" max="6142" width="22.140625" style="147" customWidth="1"/>
    <col min="6143" max="6143" width="9.140625" style="147"/>
    <col min="6144" max="6144" width="10.5703125" style="147" customWidth="1"/>
    <col min="6145" max="6145" width="11.7109375" style="147" customWidth="1"/>
    <col min="6146" max="6146" width="16.28515625" style="147" customWidth="1"/>
    <col min="6147" max="6147" width="11.42578125" style="147" customWidth="1"/>
    <col min="6148" max="6148" width="1.28515625" style="147" customWidth="1"/>
    <col min="6149" max="6149" width="10.85546875" style="147" bestFit="1" customWidth="1"/>
    <col min="6150" max="6150" width="1.85546875" style="147" customWidth="1"/>
    <col min="6151" max="6151" width="10.42578125" style="147" bestFit="1" customWidth="1"/>
    <col min="6152" max="6397" width="9.140625" style="147"/>
    <col min="6398" max="6398" width="22.140625" style="147" customWidth="1"/>
    <col min="6399" max="6399" width="9.140625" style="147"/>
    <col min="6400" max="6400" width="10.5703125" style="147" customWidth="1"/>
    <col min="6401" max="6401" width="11.7109375" style="147" customWidth="1"/>
    <col min="6402" max="6402" width="16.28515625" style="147" customWidth="1"/>
    <col min="6403" max="6403" width="11.42578125" style="147" customWidth="1"/>
    <col min="6404" max="6404" width="1.28515625" style="147" customWidth="1"/>
    <col min="6405" max="6405" width="10.85546875" style="147" bestFit="1" customWidth="1"/>
    <col min="6406" max="6406" width="1.85546875" style="147" customWidth="1"/>
    <col min="6407" max="6407" width="10.42578125" style="147" bestFit="1" customWidth="1"/>
    <col min="6408" max="6653" width="9.140625" style="147"/>
    <col min="6654" max="6654" width="22.140625" style="147" customWidth="1"/>
    <col min="6655" max="6655" width="9.140625" style="147"/>
    <col min="6656" max="6656" width="10.5703125" style="147" customWidth="1"/>
    <col min="6657" max="6657" width="11.7109375" style="147" customWidth="1"/>
    <col min="6658" max="6658" width="16.28515625" style="147" customWidth="1"/>
    <col min="6659" max="6659" width="11.42578125" style="147" customWidth="1"/>
    <col min="6660" max="6660" width="1.28515625" style="147" customWidth="1"/>
    <col min="6661" max="6661" width="10.85546875" style="147" bestFit="1" customWidth="1"/>
    <col min="6662" max="6662" width="1.85546875" style="147" customWidth="1"/>
    <col min="6663" max="6663" width="10.42578125" style="147" bestFit="1" customWidth="1"/>
    <col min="6664" max="6909" width="9.140625" style="147"/>
    <col min="6910" max="6910" width="22.140625" style="147" customWidth="1"/>
    <col min="6911" max="6911" width="9.140625" style="147"/>
    <col min="6912" max="6912" width="10.5703125" style="147" customWidth="1"/>
    <col min="6913" max="6913" width="11.7109375" style="147" customWidth="1"/>
    <col min="6914" max="6914" width="16.28515625" style="147" customWidth="1"/>
    <col min="6915" max="6915" width="11.42578125" style="147" customWidth="1"/>
    <col min="6916" max="6916" width="1.28515625" style="147" customWidth="1"/>
    <col min="6917" max="6917" width="10.85546875" style="147" bestFit="1" customWidth="1"/>
    <col min="6918" max="6918" width="1.85546875" style="147" customWidth="1"/>
    <col min="6919" max="6919" width="10.42578125" style="147" bestFit="1" customWidth="1"/>
    <col min="6920" max="7165" width="9.140625" style="147"/>
    <col min="7166" max="7166" width="22.140625" style="147" customWidth="1"/>
    <col min="7167" max="7167" width="9.140625" style="147"/>
    <col min="7168" max="7168" width="10.5703125" style="147" customWidth="1"/>
    <col min="7169" max="7169" width="11.7109375" style="147" customWidth="1"/>
    <col min="7170" max="7170" width="16.28515625" style="147" customWidth="1"/>
    <col min="7171" max="7171" width="11.42578125" style="147" customWidth="1"/>
    <col min="7172" max="7172" width="1.28515625" style="147" customWidth="1"/>
    <col min="7173" max="7173" width="10.85546875" style="147" bestFit="1" customWidth="1"/>
    <col min="7174" max="7174" width="1.85546875" style="147" customWidth="1"/>
    <col min="7175" max="7175" width="10.42578125" style="147" bestFit="1" customWidth="1"/>
    <col min="7176" max="7421" width="9.140625" style="147"/>
    <col min="7422" max="7422" width="22.140625" style="147" customWidth="1"/>
    <col min="7423" max="7423" width="9.140625" style="147"/>
    <col min="7424" max="7424" width="10.5703125" style="147" customWidth="1"/>
    <col min="7425" max="7425" width="11.7109375" style="147" customWidth="1"/>
    <col min="7426" max="7426" width="16.28515625" style="147" customWidth="1"/>
    <col min="7427" max="7427" width="11.42578125" style="147" customWidth="1"/>
    <col min="7428" max="7428" width="1.28515625" style="147" customWidth="1"/>
    <col min="7429" max="7429" width="10.85546875" style="147" bestFit="1" customWidth="1"/>
    <col min="7430" max="7430" width="1.85546875" style="147" customWidth="1"/>
    <col min="7431" max="7431" width="10.42578125" style="147" bestFit="1" customWidth="1"/>
    <col min="7432" max="7677" width="9.140625" style="147"/>
    <col min="7678" max="7678" width="22.140625" style="147" customWidth="1"/>
    <col min="7679" max="7679" width="9.140625" style="147"/>
    <col min="7680" max="7680" width="10.5703125" style="147" customWidth="1"/>
    <col min="7681" max="7681" width="11.7109375" style="147" customWidth="1"/>
    <col min="7682" max="7682" width="16.28515625" style="147" customWidth="1"/>
    <col min="7683" max="7683" width="11.42578125" style="147" customWidth="1"/>
    <col min="7684" max="7684" width="1.28515625" style="147" customWidth="1"/>
    <col min="7685" max="7685" width="10.85546875" style="147" bestFit="1" customWidth="1"/>
    <col min="7686" max="7686" width="1.85546875" style="147" customWidth="1"/>
    <col min="7687" max="7687" width="10.42578125" style="147" bestFit="1" customWidth="1"/>
    <col min="7688" max="7933" width="9.140625" style="147"/>
    <col min="7934" max="7934" width="22.140625" style="147" customWidth="1"/>
    <col min="7935" max="7935" width="9.140625" style="147"/>
    <col min="7936" max="7936" width="10.5703125" style="147" customWidth="1"/>
    <col min="7937" max="7937" width="11.7109375" style="147" customWidth="1"/>
    <col min="7938" max="7938" width="16.28515625" style="147" customWidth="1"/>
    <col min="7939" max="7939" width="11.42578125" style="147" customWidth="1"/>
    <col min="7940" max="7940" width="1.28515625" style="147" customWidth="1"/>
    <col min="7941" max="7941" width="10.85546875" style="147" bestFit="1" customWidth="1"/>
    <col min="7942" max="7942" width="1.85546875" style="147" customWidth="1"/>
    <col min="7943" max="7943" width="10.42578125" style="147" bestFit="1" customWidth="1"/>
    <col min="7944" max="8189" width="9.140625" style="147"/>
    <col min="8190" max="8190" width="22.140625" style="147" customWidth="1"/>
    <col min="8191" max="8191" width="9.140625" style="147"/>
    <col min="8192" max="8192" width="10.5703125" style="147" customWidth="1"/>
    <col min="8193" max="8193" width="11.7109375" style="147" customWidth="1"/>
    <col min="8194" max="8194" width="16.28515625" style="147" customWidth="1"/>
    <col min="8195" max="8195" width="11.42578125" style="147" customWidth="1"/>
    <col min="8196" max="8196" width="1.28515625" style="147" customWidth="1"/>
    <col min="8197" max="8197" width="10.85546875" style="147" bestFit="1" customWidth="1"/>
    <col min="8198" max="8198" width="1.85546875" style="147" customWidth="1"/>
    <col min="8199" max="8199" width="10.42578125" style="147" bestFit="1" customWidth="1"/>
    <col min="8200" max="8445" width="9.140625" style="147"/>
    <col min="8446" max="8446" width="22.140625" style="147" customWidth="1"/>
    <col min="8447" max="8447" width="9.140625" style="147"/>
    <col min="8448" max="8448" width="10.5703125" style="147" customWidth="1"/>
    <col min="8449" max="8449" width="11.7109375" style="147" customWidth="1"/>
    <col min="8450" max="8450" width="16.28515625" style="147" customWidth="1"/>
    <col min="8451" max="8451" width="11.42578125" style="147" customWidth="1"/>
    <col min="8452" max="8452" width="1.28515625" style="147" customWidth="1"/>
    <col min="8453" max="8453" width="10.85546875" style="147" bestFit="1" customWidth="1"/>
    <col min="8454" max="8454" width="1.85546875" style="147" customWidth="1"/>
    <col min="8455" max="8455" width="10.42578125" style="147" bestFit="1" customWidth="1"/>
    <col min="8456" max="8701" width="9.140625" style="147"/>
    <col min="8702" max="8702" width="22.140625" style="147" customWidth="1"/>
    <col min="8703" max="8703" width="9.140625" style="147"/>
    <col min="8704" max="8704" width="10.5703125" style="147" customWidth="1"/>
    <col min="8705" max="8705" width="11.7109375" style="147" customWidth="1"/>
    <col min="8706" max="8706" width="16.28515625" style="147" customWidth="1"/>
    <col min="8707" max="8707" width="11.42578125" style="147" customWidth="1"/>
    <col min="8708" max="8708" width="1.28515625" style="147" customWidth="1"/>
    <col min="8709" max="8709" width="10.85546875" style="147" bestFit="1" customWidth="1"/>
    <col min="8710" max="8710" width="1.85546875" style="147" customWidth="1"/>
    <col min="8711" max="8711" width="10.42578125" style="147" bestFit="1" customWidth="1"/>
    <col min="8712" max="8957" width="9.140625" style="147"/>
    <col min="8958" max="8958" width="22.140625" style="147" customWidth="1"/>
    <col min="8959" max="8959" width="9.140625" style="147"/>
    <col min="8960" max="8960" width="10.5703125" style="147" customWidth="1"/>
    <col min="8961" max="8961" width="11.7109375" style="147" customWidth="1"/>
    <col min="8962" max="8962" width="16.28515625" style="147" customWidth="1"/>
    <col min="8963" max="8963" width="11.42578125" style="147" customWidth="1"/>
    <col min="8964" max="8964" width="1.28515625" style="147" customWidth="1"/>
    <col min="8965" max="8965" width="10.85546875" style="147" bestFit="1" customWidth="1"/>
    <col min="8966" max="8966" width="1.85546875" style="147" customWidth="1"/>
    <col min="8967" max="8967" width="10.42578125" style="147" bestFit="1" customWidth="1"/>
    <col min="8968" max="9213" width="9.140625" style="147"/>
    <col min="9214" max="9214" width="22.140625" style="147" customWidth="1"/>
    <col min="9215" max="9215" width="9.140625" style="147"/>
    <col min="9216" max="9216" width="10.5703125" style="147" customWidth="1"/>
    <col min="9217" max="9217" width="11.7109375" style="147" customWidth="1"/>
    <col min="9218" max="9218" width="16.28515625" style="147" customWidth="1"/>
    <col min="9219" max="9219" width="11.42578125" style="147" customWidth="1"/>
    <col min="9220" max="9220" width="1.28515625" style="147" customWidth="1"/>
    <col min="9221" max="9221" width="10.85546875" style="147" bestFit="1" customWidth="1"/>
    <col min="9222" max="9222" width="1.85546875" style="147" customWidth="1"/>
    <col min="9223" max="9223" width="10.42578125" style="147" bestFit="1" customWidth="1"/>
    <col min="9224" max="9469" width="9.140625" style="147"/>
    <col min="9470" max="9470" width="22.140625" style="147" customWidth="1"/>
    <col min="9471" max="9471" width="9.140625" style="147"/>
    <col min="9472" max="9472" width="10.5703125" style="147" customWidth="1"/>
    <col min="9473" max="9473" width="11.7109375" style="147" customWidth="1"/>
    <col min="9474" max="9474" width="16.28515625" style="147" customWidth="1"/>
    <col min="9475" max="9475" width="11.42578125" style="147" customWidth="1"/>
    <col min="9476" max="9476" width="1.28515625" style="147" customWidth="1"/>
    <col min="9477" max="9477" width="10.85546875" style="147" bestFit="1" customWidth="1"/>
    <col min="9478" max="9478" width="1.85546875" style="147" customWidth="1"/>
    <col min="9479" max="9479" width="10.42578125" style="147" bestFit="1" customWidth="1"/>
    <col min="9480" max="9725" width="9.140625" style="147"/>
    <col min="9726" max="9726" width="22.140625" style="147" customWidth="1"/>
    <col min="9727" max="9727" width="9.140625" style="147"/>
    <col min="9728" max="9728" width="10.5703125" style="147" customWidth="1"/>
    <col min="9729" max="9729" width="11.7109375" style="147" customWidth="1"/>
    <col min="9730" max="9730" width="16.28515625" style="147" customWidth="1"/>
    <col min="9731" max="9731" width="11.42578125" style="147" customWidth="1"/>
    <col min="9732" max="9732" width="1.28515625" style="147" customWidth="1"/>
    <col min="9733" max="9733" width="10.85546875" style="147" bestFit="1" customWidth="1"/>
    <col min="9734" max="9734" width="1.85546875" style="147" customWidth="1"/>
    <col min="9735" max="9735" width="10.42578125" style="147" bestFit="1" customWidth="1"/>
    <col min="9736" max="9981" width="9.140625" style="147"/>
    <col min="9982" max="9982" width="22.140625" style="147" customWidth="1"/>
    <col min="9983" max="9983" width="9.140625" style="147"/>
    <col min="9984" max="9984" width="10.5703125" style="147" customWidth="1"/>
    <col min="9985" max="9985" width="11.7109375" style="147" customWidth="1"/>
    <col min="9986" max="9986" width="16.28515625" style="147" customWidth="1"/>
    <col min="9987" max="9987" width="11.42578125" style="147" customWidth="1"/>
    <col min="9988" max="9988" width="1.28515625" style="147" customWidth="1"/>
    <col min="9989" max="9989" width="10.85546875" style="147" bestFit="1" customWidth="1"/>
    <col min="9990" max="9990" width="1.85546875" style="147" customWidth="1"/>
    <col min="9991" max="9991" width="10.42578125" style="147" bestFit="1" customWidth="1"/>
    <col min="9992" max="10237" width="9.140625" style="147"/>
    <col min="10238" max="10238" width="22.140625" style="147" customWidth="1"/>
    <col min="10239" max="10239" width="9.140625" style="147"/>
    <col min="10240" max="10240" width="10.5703125" style="147" customWidth="1"/>
    <col min="10241" max="10241" width="11.7109375" style="147" customWidth="1"/>
    <col min="10242" max="10242" width="16.28515625" style="147" customWidth="1"/>
    <col min="10243" max="10243" width="11.42578125" style="147" customWidth="1"/>
    <col min="10244" max="10244" width="1.28515625" style="147" customWidth="1"/>
    <col min="10245" max="10245" width="10.85546875" style="147" bestFit="1" customWidth="1"/>
    <col min="10246" max="10246" width="1.85546875" style="147" customWidth="1"/>
    <col min="10247" max="10247" width="10.42578125" style="147" bestFit="1" customWidth="1"/>
    <col min="10248" max="10493" width="9.140625" style="147"/>
    <col min="10494" max="10494" width="22.140625" style="147" customWidth="1"/>
    <col min="10495" max="10495" width="9.140625" style="147"/>
    <col min="10496" max="10496" width="10.5703125" style="147" customWidth="1"/>
    <col min="10497" max="10497" width="11.7109375" style="147" customWidth="1"/>
    <col min="10498" max="10498" width="16.28515625" style="147" customWidth="1"/>
    <col min="10499" max="10499" width="11.42578125" style="147" customWidth="1"/>
    <col min="10500" max="10500" width="1.28515625" style="147" customWidth="1"/>
    <col min="10501" max="10501" width="10.85546875" style="147" bestFit="1" customWidth="1"/>
    <col min="10502" max="10502" width="1.85546875" style="147" customWidth="1"/>
    <col min="10503" max="10503" width="10.42578125" style="147" bestFit="1" customWidth="1"/>
    <col min="10504" max="10749" width="9.140625" style="147"/>
    <col min="10750" max="10750" width="22.140625" style="147" customWidth="1"/>
    <col min="10751" max="10751" width="9.140625" style="147"/>
    <col min="10752" max="10752" width="10.5703125" style="147" customWidth="1"/>
    <col min="10753" max="10753" width="11.7109375" style="147" customWidth="1"/>
    <col min="10754" max="10754" width="16.28515625" style="147" customWidth="1"/>
    <col min="10755" max="10755" width="11.42578125" style="147" customWidth="1"/>
    <col min="10756" max="10756" width="1.28515625" style="147" customWidth="1"/>
    <col min="10757" max="10757" width="10.85546875" style="147" bestFit="1" customWidth="1"/>
    <col min="10758" max="10758" width="1.85546875" style="147" customWidth="1"/>
    <col min="10759" max="10759" width="10.42578125" style="147" bestFit="1" customWidth="1"/>
    <col min="10760" max="11005" width="9.140625" style="147"/>
    <col min="11006" max="11006" width="22.140625" style="147" customWidth="1"/>
    <col min="11007" max="11007" width="9.140625" style="147"/>
    <col min="11008" max="11008" width="10.5703125" style="147" customWidth="1"/>
    <col min="11009" max="11009" width="11.7109375" style="147" customWidth="1"/>
    <col min="11010" max="11010" width="16.28515625" style="147" customWidth="1"/>
    <col min="11011" max="11011" width="11.42578125" style="147" customWidth="1"/>
    <col min="11012" max="11012" width="1.28515625" style="147" customWidth="1"/>
    <col min="11013" max="11013" width="10.85546875" style="147" bestFit="1" customWidth="1"/>
    <col min="11014" max="11014" width="1.85546875" style="147" customWidth="1"/>
    <col min="11015" max="11015" width="10.42578125" style="147" bestFit="1" customWidth="1"/>
    <col min="11016" max="11261" width="9.140625" style="147"/>
    <col min="11262" max="11262" width="22.140625" style="147" customWidth="1"/>
    <col min="11263" max="11263" width="9.140625" style="147"/>
    <col min="11264" max="11264" width="10.5703125" style="147" customWidth="1"/>
    <col min="11265" max="11265" width="11.7109375" style="147" customWidth="1"/>
    <col min="11266" max="11266" width="16.28515625" style="147" customWidth="1"/>
    <col min="11267" max="11267" width="11.42578125" style="147" customWidth="1"/>
    <col min="11268" max="11268" width="1.28515625" style="147" customWidth="1"/>
    <col min="11269" max="11269" width="10.85546875" style="147" bestFit="1" customWidth="1"/>
    <col min="11270" max="11270" width="1.85546875" style="147" customWidth="1"/>
    <col min="11271" max="11271" width="10.42578125" style="147" bestFit="1" customWidth="1"/>
    <col min="11272" max="11517" width="9.140625" style="147"/>
    <col min="11518" max="11518" width="22.140625" style="147" customWidth="1"/>
    <col min="11519" max="11519" width="9.140625" style="147"/>
    <col min="11520" max="11520" width="10.5703125" style="147" customWidth="1"/>
    <col min="11521" max="11521" width="11.7109375" style="147" customWidth="1"/>
    <col min="11522" max="11522" width="16.28515625" style="147" customWidth="1"/>
    <col min="11523" max="11523" width="11.42578125" style="147" customWidth="1"/>
    <col min="11524" max="11524" width="1.28515625" style="147" customWidth="1"/>
    <col min="11525" max="11525" width="10.85546875" style="147" bestFit="1" customWidth="1"/>
    <col min="11526" max="11526" width="1.85546875" style="147" customWidth="1"/>
    <col min="11527" max="11527" width="10.42578125" style="147" bestFit="1" customWidth="1"/>
    <col min="11528" max="11773" width="9.140625" style="147"/>
    <col min="11774" max="11774" width="22.140625" style="147" customWidth="1"/>
    <col min="11775" max="11775" width="9.140625" style="147"/>
    <col min="11776" max="11776" width="10.5703125" style="147" customWidth="1"/>
    <col min="11777" max="11777" width="11.7109375" style="147" customWidth="1"/>
    <col min="11778" max="11778" width="16.28515625" style="147" customWidth="1"/>
    <col min="11779" max="11779" width="11.42578125" style="147" customWidth="1"/>
    <col min="11780" max="11780" width="1.28515625" style="147" customWidth="1"/>
    <col min="11781" max="11781" width="10.85546875" style="147" bestFit="1" customWidth="1"/>
    <col min="11782" max="11782" width="1.85546875" style="147" customWidth="1"/>
    <col min="11783" max="11783" width="10.42578125" style="147" bestFit="1" customWidth="1"/>
    <col min="11784" max="12029" width="9.140625" style="147"/>
    <col min="12030" max="12030" width="22.140625" style="147" customWidth="1"/>
    <col min="12031" max="12031" width="9.140625" style="147"/>
    <col min="12032" max="12032" width="10.5703125" style="147" customWidth="1"/>
    <col min="12033" max="12033" width="11.7109375" style="147" customWidth="1"/>
    <col min="12034" max="12034" width="16.28515625" style="147" customWidth="1"/>
    <col min="12035" max="12035" width="11.42578125" style="147" customWidth="1"/>
    <col min="12036" max="12036" width="1.28515625" style="147" customWidth="1"/>
    <col min="12037" max="12037" width="10.85546875" style="147" bestFit="1" customWidth="1"/>
    <col min="12038" max="12038" width="1.85546875" style="147" customWidth="1"/>
    <col min="12039" max="12039" width="10.42578125" style="147" bestFit="1" customWidth="1"/>
    <col min="12040" max="12285" width="9.140625" style="147"/>
    <col min="12286" max="12286" width="22.140625" style="147" customWidth="1"/>
    <col min="12287" max="12287" width="9.140625" style="147"/>
    <col min="12288" max="12288" width="10.5703125" style="147" customWidth="1"/>
    <col min="12289" max="12289" width="11.7109375" style="147" customWidth="1"/>
    <col min="12290" max="12290" width="16.28515625" style="147" customWidth="1"/>
    <col min="12291" max="12291" width="11.42578125" style="147" customWidth="1"/>
    <col min="12292" max="12292" width="1.28515625" style="147" customWidth="1"/>
    <col min="12293" max="12293" width="10.85546875" style="147" bestFit="1" customWidth="1"/>
    <col min="12294" max="12294" width="1.85546875" style="147" customWidth="1"/>
    <col min="12295" max="12295" width="10.42578125" style="147" bestFit="1" customWidth="1"/>
    <col min="12296" max="12541" width="9.140625" style="147"/>
    <col min="12542" max="12542" width="22.140625" style="147" customWidth="1"/>
    <col min="12543" max="12543" width="9.140625" style="147"/>
    <col min="12544" max="12544" width="10.5703125" style="147" customWidth="1"/>
    <col min="12545" max="12545" width="11.7109375" style="147" customWidth="1"/>
    <col min="12546" max="12546" width="16.28515625" style="147" customWidth="1"/>
    <col min="12547" max="12547" width="11.42578125" style="147" customWidth="1"/>
    <col min="12548" max="12548" width="1.28515625" style="147" customWidth="1"/>
    <col min="12549" max="12549" width="10.85546875" style="147" bestFit="1" customWidth="1"/>
    <col min="12550" max="12550" width="1.85546875" style="147" customWidth="1"/>
    <col min="12551" max="12551" width="10.42578125" style="147" bestFit="1" customWidth="1"/>
    <col min="12552" max="12797" width="9.140625" style="147"/>
    <col min="12798" max="12798" width="22.140625" style="147" customWidth="1"/>
    <col min="12799" max="12799" width="9.140625" style="147"/>
    <col min="12800" max="12800" width="10.5703125" style="147" customWidth="1"/>
    <col min="12801" max="12801" width="11.7109375" style="147" customWidth="1"/>
    <col min="12802" max="12802" width="16.28515625" style="147" customWidth="1"/>
    <col min="12803" max="12803" width="11.42578125" style="147" customWidth="1"/>
    <col min="12804" max="12804" width="1.28515625" style="147" customWidth="1"/>
    <col min="12805" max="12805" width="10.85546875" style="147" bestFit="1" customWidth="1"/>
    <col min="12806" max="12806" width="1.85546875" style="147" customWidth="1"/>
    <col min="12807" max="12807" width="10.42578125" style="147" bestFit="1" customWidth="1"/>
    <col min="12808" max="13053" width="9.140625" style="147"/>
    <col min="13054" max="13054" width="22.140625" style="147" customWidth="1"/>
    <col min="13055" max="13055" width="9.140625" style="147"/>
    <col min="13056" max="13056" width="10.5703125" style="147" customWidth="1"/>
    <col min="13057" max="13057" width="11.7109375" style="147" customWidth="1"/>
    <col min="13058" max="13058" width="16.28515625" style="147" customWidth="1"/>
    <col min="13059" max="13059" width="11.42578125" style="147" customWidth="1"/>
    <col min="13060" max="13060" width="1.28515625" style="147" customWidth="1"/>
    <col min="13061" max="13061" width="10.85546875" style="147" bestFit="1" customWidth="1"/>
    <col min="13062" max="13062" width="1.85546875" style="147" customWidth="1"/>
    <col min="13063" max="13063" width="10.42578125" style="147" bestFit="1" customWidth="1"/>
    <col min="13064" max="13309" width="9.140625" style="147"/>
    <col min="13310" max="13310" width="22.140625" style="147" customWidth="1"/>
    <col min="13311" max="13311" width="9.140625" style="147"/>
    <col min="13312" max="13312" width="10.5703125" style="147" customWidth="1"/>
    <col min="13313" max="13313" width="11.7109375" style="147" customWidth="1"/>
    <col min="13314" max="13314" width="16.28515625" style="147" customWidth="1"/>
    <col min="13315" max="13315" width="11.42578125" style="147" customWidth="1"/>
    <col min="13316" max="13316" width="1.28515625" style="147" customWidth="1"/>
    <col min="13317" max="13317" width="10.85546875" style="147" bestFit="1" customWidth="1"/>
    <col min="13318" max="13318" width="1.85546875" style="147" customWidth="1"/>
    <col min="13319" max="13319" width="10.42578125" style="147" bestFit="1" customWidth="1"/>
    <col min="13320" max="13565" width="9.140625" style="147"/>
    <col min="13566" max="13566" width="22.140625" style="147" customWidth="1"/>
    <col min="13567" max="13567" width="9.140625" style="147"/>
    <col min="13568" max="13568" width="10.5703125" style="147" customWidth="1"/>
    <col min="13569" max="13569" width="11.7109375" style="147" customWidth="1"/>
    <col min="13570" max="13570" width="16.28515625" style="147" customWidth="1"/>
    <col min="13571" max="13571" width="11.42578125" style="147" customWidth="1"/>
    <col min="13572" max="13572" width="1.28515625" style="147" customWidth="1"/>
    <col min="13573" max="13573" width="10.85546875" style="147" bestFit="1" customWidth="1"/>
    <col min="13574" max="13574" width="1.85546875" style="147" customWidth="1"/>
    <col min="13575" max="13575" width="10.42578125" style="147" bestFit="1" customWidth="1"/>
    <col min="13576" max="13821" width="9.140625" style="147"/>
    <col min="13822" max="13822" width="22.140625" style="147" customWidth="1"/>
    <col min="13823" max="13823" width="9.140625" style="147"/>
    <col min="13824" max="13824" width="10.5703125" style="147" customWidth="1"/>
    <col min="13825" max="13825" width="11.7109375" style="147" customWidth="1"/>
    <col min="13826" max="13826" width="16.28515625" style="147" customWidth="1"/>
    <col min="13827" max="13827" width="11.42578125" style="147" customWidth="1"/>
    <col min="13828" max="13828" width="1.28515625" style="147" customWidth="1"/>
    <col min="13829" max="13829" width="10.85546875" style="147" bestFit="1" customWidth="1"/>
    <col min="13830" max="13830" width="1.85546875" style="147" customWidth="1"/>
    <col min="13831" max="13831" width="10.42578125" style="147" bestFit="1" customWidth="1"/>
    <col min="13832" max="14077" width="9.140625" style="147"/>
    <col min="14078" max="14078" width="22.140625" style="147" customWidth="1"/>
    <col min="14079" max="14079" width="9.140625" style="147"/>
    <col min="14080" max="14080" width="10.5703125" style="147" customWidth="1"/>
    <col min="14081" max="14081" width="11.7109375" style="147" customWidth="1"/>
    <col min="14082" max="14082" width="16.28515625" style="147" customWidth="1"/>
    <col min="14083" max="14083" width="11.42578125" style="147" customWidth="1"/>
    <col min="14084" max="14084" width="1.28515625" style="147" customWidth="1"/>
    <col min="14085" max="14085" width="10.85546875" style="147" bestFit="1" customWidth="1"/>
    <col min="14086" max="14086" width="1.85546875" style="147" customWidth="1"/>
    <col min="14087" max="14087" width="10.42578125" style="147" bestFit="1" customWidth="1"/>
    <col min="14088" max="14333" width="9.140625" style="147"/>
    <col min="14334" max="14334" width="22.140625" style="147" customWidth="1"/>
    <col min="14335" max="14335" width="9.140625" style="147"/>
    <col min="14336" max="14336" width="10.5703125" style="147" customWidth="1"/>
    <col min="14337" max="14337" width="11.7109375" style="147" customWidth="1"/>
    <col min="14338" max="14338" width="16.28515625" style="147" customWidth="1"/>
    <col min="14339" max="14339" width="11.42578125" style="147" customWidth="1"/>
    <col min="14340" max="14340" width="1.28515625" style="147" customWidth="1"/>
    <col min="14341" max="14341" width="10.85546875" style="147" bestFit="1" customWidth="1"/>
    <col min="14342" max="14342" width="1.85546875" style="147" customWidth="1"/>
    <col min="14343" max="14343" width="10.42578125" style="147" bestFit="1" customWidth="1"/>
    <col min="14344" max="14589" width="9.140625" style="147"/>
    <col min="14590" max="14590" width="22.140625" style="147" customWidth="1"/>
    <col min="14591" max="14591" width="9.140625" style="147"/>
    <col min="14592" max="14592" width="10.5703125" style="147" customWidth="1"/>
    <col min="14593" max="14593" width="11.7109375" style="147" customWidth="1"/>
    <col min="14594" max="14594" width="16.28515625" style="147" customWidth="1"/>
    <col min="14595" max="14595" width="11.42578125" style="147" customWidth="1"/>
    <col min="14596" max="14596" width="1.28515625" style="147" customWidth="1"/>
    <col min="14597" max="14597" width="10.85546875" style="147" bestFit="1" customWidth="1"/>
    <col min="14598" max="14598" width="1.85546875" style="147" customWidth="1"/>
    <col min="14599" max="14599" width="10.42578125" style="147" bestFit="1" customWidth="1"/>
    <col min="14600" max="14845" width="9.140625" style="147"/>
    <col min="14846" max="14846" width="22.140625" style="147" customWidth="1"/>
    <col min="14847" max="14847" width="9.140625" style="147"/>
    <col min="14848" max="14848" width="10.5703125" style="147" customWidth="1"/>
    <col min="14849" max="14849" width="11.7109375" style="147" customWidth="1"/>
    <col min="14850" max="14850" width="16.28515625" style="147" customWidth="1"/>
    <col min="14851" max="14851" width="11.42578125" style="147" customWidth="1"/>
    <col min="14852" max="14852" width="1.28515625" style="147" customWidth="1"/>
    <col min="14853" max="14853" width="10.85546875" style="147" bestFit="1" customWidth="1"/>
    <col min="14854" max="14854" width="1.85546875" style="147" customWidth="1"/>
    <col min="14855" max="14855" width="10.42578125" style="147" bestFit="1" customWidth="1"/>
    <col min="14856" max="15101" width="9.140625" style="147"/>
    <col min="15102" max="15102" width="22.140625" style="147" customWidth="1"/>
    <col min="15103" max="15103" width="9.140625" style="147"/>
    <col min="15104" max="15104" width="10.5703125" style="147" customWidth="1"/>
    <col min="15105" max="15105" width="11.7109375" style="147" customWidth="1"/>
    <col min="15106" max="15106" width="16.28515625" style="147" customWidth="1"/>
    <col min="15107" max="15107" width="11.42578125" style="147" customWidth="1"/>
    <col min="15108" max="15108" width="1.28515625" style="147" customWidth="1"/>
    <col min="15109" max="15109" width="10.85546875" style="147" bestFit="1" customWidth="1"/>
    <col min="15110" max="15110" width="1.85546875" style="147" customWidth="1"/>
    <col min="15111" max="15111" width="10.42578125" style="147" bestFit="1" customWidth="1"/>
    <col min="15112" max="15357" width="9.140625" style="147"/>
    <col min="15358" max="15358" width="22.140625" style="147" customWidth="1"/>
    <col min="15359" max="15359" width="9.140625" style="147"/>
    <col min="15360" max="15360" width="10.5703125" style="147" customWidth="1"/>
    <col min="15361" max="15361" width="11.7109375" style="147" customWidth="1"/>
    <col min="15362" max="15362" width="16.28515625" style="147" customWidth="1"/>
    <col min="15363" max="15363" width="11.42578125" style="147" customWidth="1"/>
    <col min="15364" max="15364" width="1.28515625" style="147" customWidth="1"/>
    <col min="15365" max="15365" width="10.85546875" style="147" bestFit="1" customWidth="1"/>
    <col min="15366" max="15366" width="1.85546875" style="147" customWidth="1"/>
    <col min="15367" max="15367" width="10.42578125" style="147" bestFit="1" customWidth="1"/>
    <col min="15368" max="15613" width="9.140625" style="147"/>
    <col min="15614" max="15614" width="22.140625" style="147" customWidth="1"/>
    <col min="15615" max="15615" width="9.140625" style="147"/>
    <col min="15616" max="15616" width="10.5703125" style="147" customWidth="1"/>
    <col min="15617" max="15617" width="11.7109375" style="147" customWidth="1"/>
    <col min="15618" max="15618" width="16.28515625" style="147" customWidth="1"/>
    <col min="15619" max="15619" width="11.42578125" style="147" customWidth="1"/>
    <col min="15620" max="15620" width="1.28515625" style="147" customWidth="1"/>
    <col min="15621" max="15621" width="10.85546875" style="147" bestFit="1" customWidth="1"/>
    <col min="15622" max="15622" width="1.85546875" style="147" customWidth="1"/>
    <col min="15623" max="15623" width="10.42578125" style="147" bestFit="1" customWidth="1"/>
    <col min="15624" max="15869" width="9.140625" style="147"/>
    <col min="15870" max="15870" width="22.140625" style="147" customWidth="1"/>
    <col min="15871" max="15871" width="9.140625" style="147"/>
    <col min="15872" max="15872" width="10.5703125" style="147" customWidth="1"/>
    <col min="15873" max="15873" width="11.7109375" style="147" customWidth="1"/>
    <col min="15874" max="15874" width="16.28515625" style="147" customWidth="1"/>
    <col min="15875" max="15875" width="11.42578125" style="147" customWidth="1"/>
    <col min="15876" max="15876" width="1.28515625" style="147" customWidth="1"/>
    <col min="15877" max="15877" width="10.85546875" style="147" bestFit="1" customWidth="1"/>
    <col min="15878" max="15878" width="1.85546875" style="147" customWidth="1"/>
    <col min="15879" max="15879" width="10.42578125" style="147" bestFit="1" customWidth="1"/>
    <col min="15880" max="16125" width="9.140625" style="147"/>
    <col min="16126" max="16126" width="22.140625" style="147" customWidth="1"/>
    <col min="16127" max="16127" width="9.140625" style="147"/>
    <col min="16128" max="16128" width="10.5703125" style="147" customWidth="1"/>
    <col min="16129" max="16129" width="11.7109375" style="147" customWidth="1"/>
    <col min="16130" max="16130" width="16.28515625" style="147" customWidth="1"/>
    <col min="16131" max="16131" width="11.42578125" style="147" customWidth="1"/>
    <col min="16132" max="16132" width="1.28515625" style="147" customWidth="1"/>
    <col min="16133" max="16133" width="10.85546875" style="147" bestFit="1" customWidth="1"/>
    <col min="16134" max="16134" width="1.85546875" style="147" customWidth="1"/>
    <col min="16135" max="16135" width="10.42578125" style="147" bestFit="1" customWidth="1"/>
    <col min="16136" max="16384" width="9.140625" style="147"/>
  </cols>
  <sheetData>
    <row r="1" spans="1:26">
      <c r="A1" s="267" t="s">
        <v>238</v>
      </c>
      <c r="B1" s="267"/>
      <c r="C1" s="267"/>
      <c r="D1" s="267"/>
      <c r="E1" s="267"/>
      <c r="F1" s="267"/>
      <c r="G1" s="267"/>
      <c r="H1" s="267"/>
      <c r="I1" s="267"/>
      <c r="J1" s="267"/>
      <c r="K1" s="267"/>
      <c r="L1" s="267"/>
      <c r="M1" s="267"/>
      <c r="N1" s="267"/>
      <c r="O1" s="267"/>
      <c r="P1" s="267"/>
      <c r="Q1" s="267"/>
      <c r="R1" s="267"/>
      <c r="S1" s="267"/>
      <c r="T1" s="267"/>
      <c r="U1" s="267"/>
      <c r="V1" s="267"/>
      <c r="W1" s="171"/>
    </row>
    <row r="2" spans="1:26">
      <c r="A2" s="267" t="s">
        <v>292</v>
      </c>
      <c r="B2" s="267"/>
      <c r="C2" s="267"/>
      <c r="D2" s="267"/>
      <c r="E2" s="267"/>
      <c r="F2" s="267"/>
      <c r="G2" s="267"/>
      <c r="H2" s="267"/>
      <c r="I2" s="267"/>
      <c r="J2" s="267"/>
      <c r="K2" s="267"/>
      <c r="L2" s="267"/>
      <c r="M2" s="267"/>
      <c r="N2" s="267"/>
      <c r="O2" s="267"/>
      <c r="P2" s="267"/>
      <c r="Q2" s="267"/>
      <c r="R2" s="267"/>
      <c r="S2" s="267"/>
      <c r="T2" s="267"/>
      <c r="U2" s="267"/>
      <c r="V2" s="267"/>
      <c r="W2" s="171"/>
    </row>
    <row r="3" spans="1:26">
      <c r="A3" s="267" t="s">
        <v>308</v>
      </c>
      <c r="B3" s="267"/>
      <c r="C3" s="267"/>
      <c r="D3" s="267"/>
      <c r="E3" s="267"/>
      <c r="F3" s="267"/>
      <c r="G3" s="267"/>
      <c r="H3" s="267"/>
      <c r="I3" s="267"/>
      <c r="J3" s="267"/>
      <c r="K3" s="267"/>
      <c r="L3" s="267"/>
      <c r="M3" s="267"/>
      <c r="N3" s="267"/>
      <c r="O3" s="267"/>
      <c r="P3" s="267"/>
      <c r="Q3" s="267"/>
      <c r="R3" s="267"/>
      <c r="S3" s="267"/>
      <c r="T3" s="267"/>
      <c r="U3" s="267"/>
      <c r="V3" s="267"/>
      <c r="W3" s="171"/>
    </row>
    <row r="4" spans="1:26" ht="15.75" thickBot="1">
      <c r="A4" s="279" t="s">
        <v>315</v>
      </c>
      <c r="B4" s="279"/>
      <c r="C4" s="279"/>
      <c r="D4" s="279"/>
      <c r="E4" s="279"/>
      <c r="F4" s="279"/>
      <c r="G4" s="279"/>
      <c r="H4" s="279"/>
      <c r="I4" s="279"/>
      <c r="J4" s="279"/>
      <c r="K4" s="279"/>
      <c r="L4" s="279"/>
      <c r="M4" s="279"/>
      <c r="N4" s="279"/>
      <c r="O4" s="279"/>
      <c r="P4" s="279"/>
      <c r="Q4" s="279"/>
      <c r="R4" s="279"/>
      <c r="S4" s="279"/>
      <c r="T4" s="279"/>
      <c r="U4" s="279"/>
      <c r="V4" s="279"/>
      <c r="W4" s="207"/>
    </row>
    <row r="5" spans="1:26" ht="13.5" customHeight="1" thickBot="1">
      <c r="A5" s="207"/>
      <c r="B5" s="207"/>
      <c r="C5" s="273" t="s">
        <v>321</v>
      </c>
      <c r="D5" s="274"/>
      <c r="E5" s="274"/>
      <c r="F5" s="274"/>
      <c r="G5" s="274"/>
      <c r="H5" s="274"/>
      <c r="I5" s="274"/>
      <c r="J5" s="275"/>
      <c r="K5" s="206"/>
      <c r="L5" s="206"/>
      <c r="M5" s="273" t="s">
        <v>322</v>
      </c>
      <c r="N5" s="274"/>
      <c r="O5" s="274"/>
      <c r="P5" s="274"/>
      <c r="Q5" s="274"/>
      <c r="R5" s="274"/>
      <c r="S5" s="274"/>
      <c r="T5" s="275"/>
      <c r="V5" s="276" t="s">
        <v>317</v>
      </c>
      <c r="W5" s="229"/>
    </row>
    <row r="6" spans="1:26" ht="25.5">
      <c r="E6" s="152" t="s">
        <v>293</v>
      </c>
      <c r="F6" s="152" t="s">
        <v>248</v>
      </c>
      <c r="H6" s="194" t="s">
        <v>294</v>
      </c>
      <c r="I6" s="149"/>
      <c r="O6" s="152" t="s">
        <v>293</v>
      </c>
      <c r="P6" s="152" t="s">
        <v>248</v>
      </c>
      <c r="R6" s="194" t="s">
        <v>294</v>
      </c>
      <c r="S6" s="149"/>
      <c r="V6" s="277"/>
      <c r="W6" s="230"/>
    </row>
    <row r="7" spans="1:26">
      <c r="D7" s="152" t="s">
        <v>311</v>
      </c>
      <c r="E7" s="152" t="s">
        <v>295</v>
      </c>
      <c r="F7" s="152" t="s">
        <v>296</v>
      </c>
      <c r="G7" s="152"/>
      <c r="H7" s="152" t="s">
        <v>32</v>
      </c>
      <c r="I7" s="149"/>
      <c r="J7" s="152" t="s">
        <v>32</v>
      </c>
      <c r="K7" s="152"/>
      <c r="N7" s="208" t="s">
        <v>311</v>
      </c>
      <c r="O7" s="152" t="s">
        <v>295</v>
      </c>
      <c r="P7" s="152" t="s">
        <v>296</v>
      </c>
      <c r="Q7" s="152"/>
      <c r="R7" s="152" t="s">
        <v>32</v>
      </c>
      <c r="S7" s="149"/>
      <c r="T7" s="152" t="s">
        <v>32</v>
      </c>
      <c r="V7" s="209" t="s">
        <v>312</v>
      </c>
      <c r="W7" s="231"/>
    </row>
    <row r="8" spans="1:26">
      <c r="D8" s="152" t="s">
        <v>245</v>
      </c>
      <c r="E8" s="195" t="s">
        <v>297</v>
      </c>
      <c r="F8" s="152" t="s">
        <v>246</v>
      </c>
      <c r="G8" s="152"/>
      <c r="H8" s="152" t="s">
        <v>247</v>
      </c>
      <c r="I8" s="149"/>
      <c r="J8" s="152" t="s">
        <v>298</v>
      </c>
      <c r="K8" s="152"/>
      <c r="N8" s="208" t="s">
        <v>245</v>
      </c>
      <c r="O8" s="195" t="s">
        <v>297</v>
      </c>
      <c r="P8" s="152" t="s">
        <v>246</v>
      </c>
      <c r="Q8" s="152"/>
      <c r="R8" s="152" t="s">
        <v>247</v>
      </c>
      <c r="S8" s="149"/>
      <c r="T8" s="152" t="s">
        <v>298</v>
      </c>
      <c r="V8" s="209" t="s">
        <v>247</v>
      </c>
      <c r="W8" s="231"/>
    </row>
    <row r="9" spans="1:26">
      <c r="D9" s="153" t="s">
        <v>246</v>
      </c>
      <c r="E9" s="153" t="s">
        <v>3</v>
      </c>
      <c r="F9" s="153" t="s">
        <v>3</v>
      </c>
      <c r="G9" s="153"/>
      <c r="H9" s="153" t="s">
        <v>314</v>
      </c>
      <c r="I9" s="196"/>
      <c r="J9" s="153" t="s">
        <v>3</v>
      </c>
      <c r="K9" s="153"/>
      <c r="N9" s="208" t="s">
        <v>246</v>
      </c>
      <c r="O9" s="153" t="s">
        <v>3</v>
      </c>
      <c r="P9" s="153" t="s">
        <v>3</v>
      </c>
      <c r="Q9" s="153"/>
      <c r="R9" s="153" t="s">
        <v>314</v>
      </c>
      <c r="S9" s="196"/>
      <c r="T9" s="153" t="s">
        <v>3</v>
      </c>
      <c r="V9" s="211" t="s">
        <v>3</v>
      </c>
      <c r="W9" s="231"/>
    </row>
    <row r="10" spans="1:26" ht="26.25" customHeight="1">
      <c r="A10" s="147" t="s">
        <v>250</v>
      </c>
      <c r="F10" s="155"/>
      <c r="G10" s="155"/>
      <c r="H10" s="228">
        <v>0.65629999999999999</v>
      </c>
      <c r="I10" s="197"/>
      <c r="J10" s="158">
        <f>100%-H10</f>
        <v>0.34370000000000001</v>
      </c>
      <c r="K10" s="158"/>
      <c r="P10" s="155"/>
      <c r="Q10" s="155"/>
      <c r="R10" s="228">
        <v>0.65629999999999999</v>
      </c>
      <c r="S10" s="197"/>
      <c r="T10" s="158">
        <f>100%-R10</f>
        <v>0.34370000000000001</v>
      </c>
      <c r="V10" s="232"/>
      <c r="W10" s="213"/>
    </row>
    <row r="11" spans="1:26">
      <c r="I11" s="149"/>
      <c r="S11" s="149"/>
      <c r="V11" s="233"/>
      <c r="W11" s="210"/>
    </row>
    <row r="12" spans="1:26">
      <c r="A12" s="147" t="s">
        <v>251</v>
      </c>
      <c r="D12" s="159">
        <v>57503.580051619967</v>
      </c>
      <c r="E12" s="159"/>
      <c r="F12" s="159">
        <v>57503.580051619967</v>
      </c>
      <c r="G12" s="159"/>
      <c r="H12" s="159">
        <v>37739.599587878183</v>
      </c>
      <c r="I12" s="160"/>
      <c r="J12" s="159">
        <f>J$10*F12</f>
        <v>19763.980463741784</v>
      </c>
      <c r="K12" s="159"/>
      <c r="L12" s="159"/>
      <c r="N12" s="159">
        <f>'BR_10.4 PS Adj detail'!F91</f>
        <v>56677.973679408678</v>
      </c>
      <c r="O12" s="159"/>
      <c r="P12" s="159">
        <f>SUM(N12:O12)</f>
        <v>56677.973679408678</v>
      </c>
      <c r="Q12" s="159"/>
      <c r="R12" s="159">
        <f>R$10*P12</f>
        <v>37197.754125795916</v>
      </c>
      <c r="S12" s="160"/>
      <c r="T12" s="159">
        <f>T$10*P12</f>
        <v>19480.219553612762</v>
      </c>
      <c r="V12" s="234">
        <f>R12-H12</f>
        <v>-541.84546208226675</v>
      </c>
      <c r="W12" s="210"/>
      <c r="X12" s="159">
        <f>P12-F12</f>
        <v>-825.60637221128854</v>
      </c>
      <c r="Y12" s="159">
        <f>X12*$R$10</f>
        <v>-541.84546208226868</v>
      </c>
      <c r="Z12" s="159"/>
    </row>
    <row r="13" spans="1:26">
      <c r="A13" s="147" t="s">
        <v>252</v>
      </c>
      <c r="D13" s="161">
        <v>466</v>
      </c>
      <c r="E13" s="161"/>
      <c r="F13" s="198">
        <v>466</v>
      </c>
      <c r="G13" s="161"/>
      <c r="H13" s="161">
        <v>305.83580000000001</v>
      </c>
      <c r="I13" s="162"/>
      <c r="J13" s="161">
        <f>J$10*F13</f>
        <v>160.16419999999999</v>
      </c>
      <c r="K13" s="161"/>
      <c r="L13" s="159"/>
      <c r="N13" s="161">
        <f>'BR_10.4 PS Adj detail'!F100</f>
        <v>466</v>
      </c>
      <c r="O13" s="161"/>
      <c r="P13" s="198">
        <f>SUM(N13:O13)</f>
        <v>466</v>
      </c>
      <c r="Q13" s="161"/>
      <c r="R13" s="161">
        <f>R$10*P13</f>
        <v>305.83580000000001</v>
      </c>
      <c r="S13" s="162"/>
      <c r="T13" s="161">
        <f>T$10*P13</f>
        <v>160.16419999999999</v>
      </c>
      <c r="V13" s="234">
        <f t="shared" ref="V13:V16" si="0">R13-H13</f>
        <v>0</v>
      </c>
      <c r="W13" s="210"/>
      <c r="X13" s="159"/>
      <c r="Y13" s="159"/>
      <c r="Z13" s="159"/>
    </row>
    <row r="14" spans="1:26">
      <c r="A14" s="147" t="s">
        <v>253</v>
      </c>
      <c r="D14" s="161">
        <v>0</v>
      </c>
      <c r="E14" s="161"/>
      <c r="F14" s="198">
        <v>0</v>
      </c>
      <c r="G14" s="161"/>
      <c r="H14" s="161">
        <v>0</v>
      </c>
      <c r="I14" s="162"/>
      <c r="J14" s="161">
        <f>J$10*F14</f>
        <v>0</v>
      </c>
      <c r="K14" s="161"/>
      <c r="L14" s="159"/>
      <c r="N14" s="161">
        <v>0</v>
      </c>
      <c r="O14" s="161"/>
      <c r="P14" s="198">
        <f>SUM(N14:O14)</f>
        <v>0</v>
      </c>
      <c r="Q14" s="161"/>
      <c r="R14" s="161">
        <f>R$10*P14</f>
        <v>0</v>
      </c>
      <c r="S14" s="162"/>
      <c r="T14" s="161">
        <f>T$10*P14</f>
        <v>0</v>
      </c>
      <c r="V14" s="234">
        <f t="shared" si="0"/>
        <v>0</v>
      </c>
      <c r="W14" s="210"/>
      <c r="X14" s="159"/>
      <c r="Y14" s="159"/>
      <c r="Z14" s="159"/>
    </row>
    <row r="15" spans="1:26">
      <c r="A15" s="147" t="s">
        <v>257</v>
      </c>
      <c r="D15" s="161">
        <v>0</v>
      </c>
      <c r="E15" s="161"/>
      <c r="F15" s="198">
        <v>0</v>
      </c>
      <c r="G15" s="161"/>
      <c r="H15" s="161">
        <v>0</v>
      </c>
      <c r="I15" s="162"/>
      <c r="J15" s="161">
        <f>J$10*F15</f>
        <v>0</v>
      </c>
      <c r="K15" s="161"/>
      <c r="L15" s="159"/>
      <c r="N15" s="161">
        <f>'BR_10.4 PS Adj detail'!F97-F16</f>
        <v>0</v>
      </c>
      <c r="O15" s="161"/>
      <c r="P15" s="198">
        <f>SUM(N15:O15)</f>
        <v>0</v>
      </c>
      <c r="Q15" s="161"/>
      <c r="R15" s="161">
        <f>R$10*P15</f>
        <v>0</v>
      </c>
      <c r="S15" s="162"/>
      <c r="T15" s="161">
        <f>T$10*P15</f>
        <v>0</v>
      </c>
      <c r="V15" s="234">
        <f t="shared" si="0"/>
        <v>0</v>
      </c>
      <c r="W15" s="210"/>
      <c r="X15" s="159"/>
      <c r="Y15" s="159"/>
      <c r="Z15" s="159"/>
    </row>
    <row r="16" spans="1:26">
      <c r="A16" s="147" t="s">
        <v>299</v>
      </c>
      <c r="D16" s="166">
        <v>0</v>
      </c>
      <c r="E16" s="166">
        <v>0</v>
      </c>
      <c r="F16" s="199">
        <v>0</v>
      </c>
      <c r="G16" s="162"/>
      <c r="H16" s="200">
        <v>0</v>
      </c>
      <c r="I16" s="162"/>
      <c r="J16" s="166">
        <f>J$10*F16</f>
        <v>0</v>
      </c>
      <c r="K16" s="162"/>
      <c r="L16" s="159"/>
      <c r="N16" s="166">
        <f>'BR_10.4 PS Adj detail'!F95</f>
        <v>0</v>
      </c>
      <c r="O16" s="166">
        <f>-N16</f>
        <v>0</v>
      </c>
      <c r="P16" s="199">
        <f>SUM(N16:O16)</f>
        <v>0</v>
      </c>
      <c r="Q16" s="162"/>
      <c r="R16" s="200">
        <f>-O16</f>
        <v>0</v>
      </c>
      <c r="S16" s="162"/>
      <c r="T16" s="166">
        <f>T$10*P16</f>
        <v>0</v>
      </c>
      <c r="V16" s="235">
        <f t="shared" si="0"/>
        <v>0</v>
      </c>
      <c r="W16" s="210"/>
      <c r="X16" s="159"/>
      <c r="Y16" s="159"/>
      <c r="Z16" s="159"/>
    </row>
    <row r="17" spans="1:26">
      <c r="A17" s="147" t="s">
        <v>259</v>
      </c>
      <c r="D17" s="161">
        <v>57969.580051619967</v>
      </c>
      <c r="E17" s="161">
        <v>0</v>
      </c>
      <c r="F17" s="161">
        <v>57969.580051619967</v>
      </c>
      <c r="G17" s="162"/>
      <c r="H17" s="161">
        <v>38045.435387878184</v>
      </c>
      <c r="I17" s="162"/>
      <c r="J17" s="161">
        <f>SUM(J12:J16)</f>
        <v>19924.144663741783</v>
      </c>
      <c r="K17" s="161"/>
      <c r="L17" s="159"/>
      <c r="N17" s="161">
        <f>SUM(N12:N16)</f>
        <v>57143.973679408678</v>
      </c>
      <c r="O17" s="161">
        <f>SUM(O12:O16)</f>
        <v>0</v>
      </c>
      <c r="P17" s="161">
        <f>SUM(P12:P16)</f>
        <v>57143.973679408678</v>
      </c>
      <c r="Q17" s="162"/>
      <c r="R17" s="161">
        <f>SUM(R12:R16)</f>
        <v>37503.589925795917</v>
      </c>
      <c r="S17" s="162"/>
      <c r="T17" s="161">
        <f>SUM(T12:T16)</f>
        <v>19640.383753612761</v>
      </c>
      <c r="V17" s="236">
        <f>SUM(V12:V16)</f>
        <v>-541.84546208226675</v>
      </c>
      <c r="W17" s="210"/>
      <c r="X17" s="159">
        <f t="shared" ref="X17:X32" si="1">P17-F17</f>
        <v>-825.60637221128854</v>
      </c>
      <c r="Y17" s="159">
        <f>SUM(Y12:Y16)</f>
        <v>-541.84546208226868</v>
      </c>
      <c r="Z17" s="159"/>
    </row>
    <row r="18" spans="1:26">
      <c r="D18" s="161"/>
      <c r="E18" s="161"/>
      <c r="F18" s="161"/>
      <c r="G18" s="162"/>
      <c r="H18" s="161"/>
      <c r="I18" s="162"/>
      <c r="J18" s="161"/>
      <c r="K18" s="161"/>
      <c r="L18" s="159"/>
      <c r="N18" s="161"/>
      <c r="O18" s="161"/>
      <c r="P18" s="161"/>
      <c r="Q18" s="162"/>
      <c r="R18" s="161"/>
      <c r="S18" s="162"/>
      <c r="T18" s="161"/>
      <c r="V18" s="237"/>
      <c r="W18" s="210"/>
      <c r="X18" s="159"/>
      <c r="Y18" s="159"/>
      <c r="Z18" s="159"/>
    </row>
    <row r="19" spans="1:26">
      <c r="D19" s="161"/>
      <c r="E19" s="161"/>
      <c r="F19" s="161"/>
      <c r="G19" s="162"/>
      <c r="H19" s="161"/>
      <c r="I19" s="162"/>
      <c r="J19" s="161"/>
      <c r="K19" s="161"/>
      <c r="L19" s="159"/>
      <c r="N19" s="161"/>
      <c r="O19" s="161"/>
      <c r="P19" s="161"/>
      <c r="Q19" s="162"/>
      <c r="R19" s="161"/>
      <c r="S19" s="162"/>
      <c r="T19" s="161"/>
      <c r="V19" s="237"/>
      <c r="W19" s="210"/>
      <c r="X19" s="159"/>
      <c r="Y19" s="159"/>
      <c r="Z19" s="159"/>
    </row>
    <row r="20" spans="1:26">
      <c r="A20" s="147" t="s">
        <v>260</v>
      </c>
      <c r="D20" s="161">
        <v>29225.488454362356</v>
      </c>
      <c r="E20" s="161"/>
      <c r="F20" s="159">
        <v>29225.488454362356</v>
      </c>
      <c r="G20" s="162"/>
      <c r="H20" s="161">
        <v>19180.688072598015</v>
      </c>
      <c r="I20" s="162"/>
      <c r="J20" s="161">
        <f t="shared" ref="J20:J32" si="2">J$10*F20</f>
        <v>10044.800381764342</v>
      </c>
      <c r="K20" s="161"/>
      <c r="L20" s="159"/>
      <c r="N20" s="161">
        <f>'BR_10.4 PS Adj detail'!F44</f>
        <v>29206.16785859724</v>
      </c>
      <c r="O20" s="161"/>
      <c r="P20" s="159">
        <f>SUM(N20:O20)</f>
        <v>29206.16785859724</v>
      </c>
      <c r="Q20" s="162"/>
      <c r="R20" s="161">
        <f>R$10*P20</f>
        <v>19168.007965597368</v>
      </c>
      <c r="S20" s="162"/>
      <c r="T20" s="161">
        <f t="shared" ref="T20:T29" si="3">T$10*P20</f>
        <v>10038.159892999871</v>
      </c>
      <c r="V20" s="234">
        <f>R20-H20</f>
        <v>-12.680107000647695</v>
      </c>
      <c r="W20" s="210"/>
      <c r="X20" s="159">
        <f t="shared" si="1"/>
        <v>-19.320595765115286</v>
      </c>
      <c r="Y20" s="159">
        <f t="shared" ref="Y20:Y32" si="4">X20*$R$10</f>
        <v>-12.680107000645162</v>
      </c>
      <c r="Z20" s="159"/>
    </row>
    <row r="21" spans="1:26">
      <c r="A21" s="147" t="s">
        <v>261</v>
      </c>
      <c r="D21" s="161">
        <v>0</v>
      </c>
      <c r="E21" s="161"/>
      <c r="F21" s="159">
        <v>0</v>
      </c>
      <c r="G21" s="162"/>
      <c r="H21" s="161">
        <v>0</v>
      </c>
      <c r="I21" s="162"/>
      <c r="J21" s="161">
        <f t="shared" si="2"/>
        <v>0</v>
      </c>
      <c r="K21" s="161"/>
      <c r="L21" s="159"/>
      <c r="N21" s="161">
        <v>0</v>
      </c>
      <c r="O21" s="161"/>
      <c r="P21" s="159">
        <f>SUM(N21:O21)</f>
        <v>0</v>
      </c>
      <c r="Q21" s="162"/>
      <c r="R21" s="161">
        <f t="shared" ref="R21:R27" si="5">R$10*P21</f>
        <v>0</v>
      </c>
      <c r="S21" s="162"/>
      <c r="T21" s="161">
        <f t="shared" si="3"/>
        <v>0</v>
      </c>
      <c r="V21" s="234">
        <f t="shared" ref="V21:V32" si="6">R21-H21</f>
        <v>0</v>
      </c>
      <c r="W21" s="210"/>
      <c r="X21" s="159"/>
      <c r="Y21" s="159"/>
      <c r="Z21" s="159"/>
    </row>
    <row r="22" spans="1:26">
      <c r="A22" s="147" t="s">
        <v>262</v>
      </c>
      <c r="D22" s="161">
        <v>76583.468740542972</v>
      </c>
      <c r="E22" s="161"/>
      <c r="F22" s="159">
        <v>76583.468740542972</v>
      </c>
      <c r="G22" s="162"/>
      <c r="H22" s="161">
        <v>50261.730534418355</v>
      </c>
      <c r="I22" s="162"/>
      <c r="J22" s="161">
        <f t="shared" si="2"/>
        <v>26321.738206124621</v>
      </c>
      <c r="K22" s="161"/>
      <c r="L22" s="159"/>
      <c r="N22" s="161">
        <f>'BR_10.4 PS Adj detail'!F58</f>
        <v>73065.534765441465</v>
      </c>
      <c r="O22" s="161"/>
      <c r="P22" s="159">
        <f>SUM(N22:O22)</f>
        <v>73065.534765441465</v>
      </c>
      <c r="Q22" s="162"/>
      <c r="R22" s="161">
        <f t="shared" si="5"/>
        <v>47952.910466559231</v>
      </c>
      <c r="S22" s="162"/>
      <c r="T22" s="161">
        <f t="shared" si="3"/>
        <v>25112.624298882231</v>
      </c>
      <c r="V22" s="234">
        <f t="shared" si="6"/>
        <v>-2308.8200678591238</v>
      </c>
      <c r="W22" s="210"/>
      <c r="X22" s="159">
        <f t="shared" si="1"/>
        <v>-3517.9339751015068</v>
      </c>
      <c r="Y22" s="159">
        <f t="shared" si="4"/>
        <v>-2308.8200678591188</v>
      </c>
      <c r="Z22" s="159"/>
    </row>
    <row r="23" spans="1:26">
      <c r="A23" s="147" t="s">
        <v>263</v>
      </c>
      <c r="D23" s="161">
        <v>1029</v>
      </c>
      <c r="E23" s="161"/>
      <c r="F23" s="159">
        <v>1029</v>
      </c>
      <c r="G23" s="162"/>
      <c r="H23" s="161">
        <v>675.33270000000005</v>
      </c>
      <c r="I23" s="162"/>
      <c r="J23" s="161">
        <f t="shared" si="2"/>
        <v>353.66730000000001</v>
      </c>
      <c r="K23" s="161"/>
      <c r="L23" s="159"/>
      <c r="N23" s="161">
        <f>'BR_10.4 PS Adj detail'!F76</f>
        <v>1029</v>
      </c>
      <c r="O23" s="161"/>
      <c r="P23" s="159">
        <f>SUM(N23:O23)</f>
        <v>1029</v>
      </c>
      <c r="Q23" s="162"/>
      <c r="R23" s="161">
        <f t="shared" si="5"/>
        <v>675.33270000000005</v>
      </c>
      <c r="S23" s="162"/>
      <c r="T23" s="161">
        <f t="shared" si="3"/>
        <v>353.66730000000001</v>
      </c>
      <c r="V23" s="234">
        <f t="shared" si="6"/>
        <v>0</v>
      </c>
      <c r="W23" s="210"/>
      <c r="X23" s="159"/>
      <c r="Y23" s="159"/>
      <c r="Z23" s="159"/>
    </row>
    <row r="24" spans="1:26">
      <c r="A24" s="147" t="s">
        <v>264</v>
      </c>
      <c r="D24" s="161">
        <v>109782.84914650724</v>
      </c>
      <c r="E24" s="163"/>
      <c r="F24" s="159">
        <v>109782.84914650724</v>
      </c>
      <c r="G24" s="162"/>
      <c r="H24" s="161">
        <v>72050.483894852703</v>
      </c>
      <c r="I24" s="162"/>
      <c r="J24" s="161">
        <f t="shared" si="2"/>
        <v>37732.365251654541</v>
      </c>
      <c r="K24" s="161"/>
      <c r="L24" s="159"/>
      <c r="N24" s="161">
        <f>'BR_10.4 PS Adj detail'!F28</f>
        <v>113156.90562181579</v>
      </c>
      <c r="O24" s="163"/>
      <c r="P24" s="159">
        <f>N24-O24</f>
        <v>113156.90562181579</v>
      </c>
      <c r="Q24" s="162"/>
      <c r="R24" s="161">
        <f t="shared" si="5"/>
        <v>74264.877159597701</v>
      </c>
      <c r="S24" s="162"/>
      <c r="T24" s="161">
        <f t="shared" si="3"/>
        <v>38892.028462218092</v>
      </c>
      <c r="V24" s="234">
        <f t="shared" si="6"/>
        <v>2214.3932647449983</v>
      </c>
      <c r="W24" s="210"/>
      <c r="X24" s="159">
        <f t="shared" si="1"/>
        <v>3374.0564753085491</v>
      </c>
      <c r="Y24" s="159">
        <f t="shared" si="4"/>
        <v>2214.3932647450006</v>
      </c>
      <c r="Z24" s="159"/>
    </row>
    <row r="25" spans="1:26">
      <c r="A25" s="147" t="s">
        <v>265</v>
      </c>
      <c r="D25" s="161">
        <v>0</v>
      </c>
      <c r="E25" s="161"/>
      <c r="F25" s="159">
        <v>0</v>
      </c>
      <c r="G25" s="162"/>
      <c r="H25" s="161">
        <v>0</v>
      </c>
      <c r="I25" s="162"/>
      <c r="J25" s="161">
        <f t="shared" si="2"/>
        <v>0</v>
      </c>
      <c r="K25" s="161"/>
      <c r="L25" s="159"/>
      <c r="N25" s="161">
        <v>0</v>
      </c>
      <c r="O25" s="161"/>
      <c r="P25" s="159">
        <f t="shared" ref="P25:P29" si="7">SUM(N25:O25)</f>
        <v>0</v>
      </c>
      <c r="Q25" s="162"/>
      <c r="R25" s="161">
        <f t="shared" si="5"/>
        <v>0</v>
      </c>
      <c r="S25" s="162"/>
      <c r="T25" s="161">
        <f t="shared" si="3"/>
        <v>0</v>
      </c>
      <c r="V25" s="234">
        <f t="shared" si="6"/>
        <v>0</v>
      </c>
      <c r="W25" s="210"/>
      <c r="X25" s="159"/>
      <c r="Y25" s="159"/>
      <c r="Z25" s="159"/>
    </row>
    <row r="26" spans="1:26">
      <c r="A26" s="147" t="s">
        <v>266</v>
      </c>
      <c r="D26" s="161">
        <v>0</v>
      </c>
      <c r="E26" s="161"/>
      <c r="F26" s="159">
        <v>0</v>
      </c>
      <c r="G26" s="162"/>
      <c r="H26" s="161">
        <v>0</v>
      </c>
      <c r="I26" s="162"/>
      <c r="J26" s="161">
        <f t="shared" si="2"/>
        <v>0</v>
      </c>
      <c r="K26" s="161"/>
      <c r="L26" s="159"/>
      <c r="N26" s="161">
        <v>0</v>
      </c>
      <c r="O26" s="161"/>
      <c r="P26" s="159">
        <f t="shared" si="7"/>
        <v>0</v>
      </c>
      <c r="Q26" s="162"/>
      <c r="R26" s="161">
        <f t="shared" si="5"/>
        <v>0</v>
      </c>
      <c r="S26" s="162"/>
      <c r="T26" s="161">
        <f t="shared" si="3"/>
        <v>0</v>
      </c>
      <c r="V26" s="234">
        <f t="shared" si="6"/>
        <v>0</v>
      </c>
      <c r="W26" s="210"/>
      <c r="X26" s="159"/>
      <c r="Y26" s="159"/>
      <c r="Z26" s="159"/>
    </row>
    <row r="27" spans="1:26">
      <c r="A27" s="147" t="s">
        <v>267</v>
      </c>
      <c r="D27" s="161">
        <v>0</v>
      </c>
      <c r="E27" s="161"/>
      <c r="F27" s="159">
        <v>0</v>
      </c>
      <c r="G27" s="162"/>
      <c r="H27" s="161">
        <v>0</v>
      </c>
      <c r="I27" s="162"/>
      <c r="J27" s="161">
        <f t="shared" si="2"/>
        <v>0</v>
      </c>
      <c r="K27" s="161"/>
      <c r="L27" s="159"/>
      <c r="N27" s="161">
        <v>0</v>
      </c>
      <c r="O27" s="161"/>
      <c r="P27" s="159">
        <f t="shared" si="7"/>
        <v>0</v>
      </c>
      <c r="Q27" s="162"/>
      <c r="R27" s="161">
        <f t="shared" si="5"/>
        <v>0</v>
      </c>
      <c r="S27" s="162"/>
      <c r="T27" s="161">
        <f t="shared" si="3"/>
        <v>0</v>
      </c>
      <c r="V27" s="234">
        <f t="shared" si="6"/>
        <v>0</v>
      </c>
      <c r="W27" s="210"/>
      <c r="X27" s="159"/>
      <c r="Y27" s="159"/>
      <c r="Z27" s="159"/>
    </row>
    <row r="28" spans="1:26">
      <c r="A28" s="171" t="s">
        <v>268</v>
      </c>
      <c r="B28" s="171"/>
      <c r="C28" s="171"/>
      <c r="D28" s="163">
        <v>407</v>
      </c>
      <c r="E28" s="163"/>
      <c r="F28" s="201">
        <v>407</v>
      </c>
      <c r="G28" s="172"/>
      <c r="H28" s="163">
        <v>267.11410000000001</v>
      </c>
      <c r="I28" s="172"/>
      <c r="J28" s="163">
        <f t="shared" si="2"/>
        <v>139.88589999999999</v>
      </c>
      <c r="K28" s="163"/>
      <c r="L28" s="201"/>
      <c r="M28" s="171"/>
      <c r="N28" s="163">
        <f>'BR_10.4 PS Adj detail'!F37-F29-F30-F31</f>
        <v>407</v>
      </c>
      <c r="O28" s="163"/>
      <c r="P28" s="201">
        <f t="shared" si="7"/>
        <v>407</v>
      </c>
      <c r="Q28" s="172"/>
      <c r="R28" s="163">
        <f>R$10*P28</f>
        <v>267.11410000000001</v>
      </c>
      <c r="S28" s="172"/>
      <c r="T28" s="163">
        <f t="shared" si="3"/>
        <v>139.88589999999999</v>
      </c>
      <c r="V28" s="234">
        <f t="shared" si="6"/>
        <v>0</v>
      </c>
      <c r="W28" s="210"/>
      <c r="X28" s="159"/>
      <c r="Y28" s="159"/>
      <c r="Z28" s="159"/>
    </row>
    <row r="29" spans="1:26">
      <c r="A29" s="202" t="s">
        <v>300</v>
      </c>
      <c r="B29" s="171"/>
      <c r="C29" s="171"/>
      <c r="D29" s="163">
        <v>0</v>
      </c>
      <c r="E29" s="163">
        <v>0</v>
      </c>
      <c r="F29" s="201">
        <v>0</v>
      </c>
      <c r="G29" s="172"/>
      <c r="H29" s="163">
        <v>0</v>
      </c>
      <c r="I29" s="172"/>
      <c r="J29" s="163">
        <f t="shared" si="2"/>
        <v>0</v>
      </c>
      <c r="K29" s="163"/>
      <c r="L29" s="201"/>
      <c r="M29" s="171"/>
      <c r="N29" s="163">
        <f>'BR_10.4 PS Adj detail'!F32</f>
        <v>0</v>
      </c>
      <c r="O29" s="163">
        <f>-N29</f>
        <v>0</v>
      </c>
      <c r="P29" s="201">
        <f t="shared" si="7"/>
        <v>0</v>
      </c>
      <c r="Q29" s="172"/>
      <c r="R29" s="163">
        <f>-O29</f>
        <v>0</v>
      </c>
      <c r="S29" s="172"/>
      <c r="T29" s="163">
        <f t="shared" si="3"/>
        <v>0</v>
      </c>
      <c r="V29" s="234">
        <f t="shared" si="6"/>
        <v>0</v>
      </c>
      <c r="W29" s="210"/>
      <c r="X29" s="159"/>
      <c r="Y29" s="159"/>
      <c r="Z29" s="159"/>
    </row>
    <row r="30" spans="1:26">
      <c r="A30" s="202" t="s">
        <v>301</v>
      </c>
      <c r="B30" s="171"/>
      <c r="C30" s="171"/>
      <c r="D30" s="163">
        <v>0</v>
      </c>
      <c r="E30" s="163">
        <v>0</v>
      </c>
      <c r="F30" s="201">
        <v>0</v>
      </c>
      <c r="G30" s="172"/>
      <c r="H30" s="163">
        <v>0</v>
      </c>
      <c r="I30" s="172"/>
      <c r="J30" s="163"/>
      <c r="K30" s="163"/>
      <c r="L30" s="201"/>
      <c r="M30" s="171"/>
      <c r="N30" s="163">
        <f>'BR_10.4 PS Adj detail'!F34-F31</f>
        <v>0</v>
      </c>
      <c r="O30" s="163">
        <f>-N30</f>
        <v>0</v>
      </c>
      <c r="P30" s="201">
        <f t="shared" ref="P30" si="8">SUM(N30:O30)</f>
        <v>0</v>
      </c>
      <c r="Q30" s="172"/>
      <c r="R30" s="163">
        <f>-O30</f>
        <v>0</v>
      </c>
      <c r="S30" s="172"/>
      <c r="T30" s="163"/>
      <c r="V30" s="234">
        <f t="shared" si="6"/>
        <v>0</v>
      </c>
      <c r="W30" s="210"/>
      <c r="X30" s="159"/>
      <c r="Y30" s="159"/>
      <c r="Z30" s="159"/>
    </row>
    <row r="31" spans="1:26">
      <c r="A31" s="202" t="s">
        <v>302</v>
      </c>
      <c r="B31" s="171"/>
      <c r="C31" s="171"/>
      <c r="D31" s="163">
        <v>0</v>
      </c>
      <c r="E31" s="163">
        <v>0</v>
      </c>
      <c r="F31" s="201">
        <v>0</v>
      </c>
      <c r="G31" s="172"/>
      <c r="H31" s="163"/>
      <c r="I31" s="172"/>
      <c r="J31" s="163">
        <f>-E31</f>
        <v>0</v>
      </c>
      <c r="K31" s="163"/>
      <c r="L31" s="201"/>
      <c r="M31" s="171"/>
      <c r="N31" s="163">
        <v>0</v>
      </c>
      <c r="O31" s="163">
        <f>-N31</f>
        <v>0</v>
      </c>
      <c r="P31" s="201">
        <f t="shared" ref="P31:P32" si="9">SUM(N31:O31)</f>
        <v>0</v>
      </c>
      <c r="Q31" s="172"/>
      <c r="R31" s="163"/>
      <c r="S31" s="172"/>
      <c r="T31" s="163">
        <f>-O31</f>
        <v>0</v>
      </c>
      <c r="V31" s="234">
        <f t="shared" si="6"/>
        <v>0</v>
      </c>
      <c r="W31" s="210"/>
      <c r="X31" s="159"/>
      <c r="Y31" s="159"/>
      <c r="Z31" s="159"/>
    </row>
    <row r="32" spans="1:26">
      <c r="A32" s="147" t="s">
        <v>270</v>
      </c>
      <c r="D32" s="161">
        <v>17766</v>
      </c>
      <c r="E32" s="161"/>
      <c r="F32" s="201">
        <v>17766</v>
      </c>
      <c r="G32" s="162"/>
      <c r="H32" s="163">
        <v>11659.825800000001</v>
      </c>
      <c r="I32" s="162"/>
      <c r="J32" s="161">
        <f t="shared" si="2"/>
        <v>6106.1742000000004</v>
      </c>
      <c r="K32" s="161"/>
      <c r="L32" s="159"/>
      <c r="N32" s="161">
        <f>'BR_10.4 PS Adj detail'!F73</f>
        <v>17596</v>
      </c>
      <c r="O32" s="161"/>
      <c r="P32" s="201">
        <f t="shared" si="9"/>
        <v>17596</v>
      </c>
      <c r="Q32" s="162"/>
      <c r="R32" s="163">
        <f t="shared" ref="R32" si="10">R$10*P32</f>
        <v>11548.254800000001</v>
      </c>
      <c r="S32" s="162"/>
      <c r="T32" s="161">
        <f t="shared" ref="T32" si="11">T$10*P32</f>
        <v>6047.7452000000003</v>
      </c>
      <c r="V32" s="234">
        <f t="shared" si="6"/>
        <v>-111.57099999999991</v>
      </c>
      <c r="W32" s="210"/>
      <c r="X32" s="159">
        <f t="shared" si="1"/>
        <v>-170</v>
      </c>
      <c r="Y32" s="159">
        <f t="shared" si="4"/>
        <v>-111.571</v>
      </c>
      <c r="Z32" s="159"/>
    </row>
    <row r="33" spans="1:26" ht="15" customHeight="1">
      <c r="D33" s="161"/>
      <c r="E33" s="161"/>
      <c r="F33" s="201"/>
      <c r="G33" s="162"/>
      <c r="H33" s="161"/>
      <c r="I33" s="162"/>
      <c r="J33" s="161"/>
      <c r="K33" s="161"/>
      <c r="L33" s="159"/>
      <c r="N33" s="161"/>
      <c r="O33" s="161"/>
      <c r="P33" s="201"/>
      <c r="Q33" s="162"/>
      <c r="R33" s="161"/>
      <c r="S33" s="162"/>
      <c r="T33" s="161"/>
      <c r="V33" s="234"/>
      <c r="W33" s="210"/>
      <c r="X33" s="159"/>
      <c r="Y33" s="159"/>
      <c r="Z33" s="159"/>
    </row>
    <row r="34" spans="1:26">
      <c r="A34" s="147" t="s">
        <v>271</v>
      </c>
      <c r="D34" s="168">
        <v>234793.80634141256</v>
      </c>
      <c r="E34" s="168">
        <v>0</v>
      </c>
      <c r="F34" s="168">
        <v>234793.80634141256</v>
      </c>
      <c r="G34" s="162"/>
      <c r="H34" s="168">
        <v>154095.17510186907</v>
      </c>
      <c r="I34" s="162"/>
      <c r="J34" s="168">
        <f>SUM(J20:J33)</f>
        <v>80698.631239543494</v>
      </c>
      <c r="K34" s="162"/>
      <c r="L34" s="159"/>
      <c r="N34" s="168">
        <f>SUM(N20:N33)</f>
        <v>234460.6082458545</v>
      </c>
      <c r="O34" s="168">
        <f>SUM(O20:O33)</f>
        <v>0</v>
      </c>
      <c r="P34" s="168">
        <f>SUM(P20:P33)</f>
        <v>234460.6082458545</v>
      </c>
      <c r="Q34" s="162"/>
      <c r="R34" s="168">
        <f>SUM(R20:R33)</f>
        <v>153876.49719175429</v>
      </c>
      <c r="S34" s="162"/>
      <c r="T34" s="168">
        <f>SUM(T20:T33)</f>
        <v>80584.111054100184</v>
      </c>
      <c r="V34" s="238">
        <f>SUM(V20:V33)</f>
        <v>-218.67791011477311</v>
      </c>
      <c r="W34" s="210"/>
      <c r="X34" s="159">
        <f>P34-F34</f>
        <v>-333.19809555806569</v>
      </c>
      <c r="Y34" s="168">
        <f>SUM(Y20:Y33)</f>
        <v>-218.67791011476319</v>
      </c>
      <c r="Z34" s="159"/>
    </row>
    <row r="35" spans="1:26">
      <c r="I35" s="149"/>
      <c r="L35" s="159"/>
      <c r="S35" s="149"/>
      <c r="V35" s="237"/>
      <c r="W35" s="210"/>
    </row>
    <row r="36" spans="1:26" ht="15">
      <c r="A36" s="147" t="s">
        <v>272</v>
      </c>
      <c r="D36" s="161">
        <v>-176824.2262897926</v>
      </c>
      <c r="E36" s="161">
        <v>0</v>
      </c>
      <c r="F36" s="161">
        <v>-176824.2262897926</v>
      </c>
      <c r="G36" s="161"/>
      <c r="H36" s="161">
        <v>-116049.73971399089</v>
      </c>
      <c r="I36" s="162"/>
      <c r="J36" s="161">
        <f>J17-J34</f>
        <v>-60774.486575801711</v>
      </c>
      <c r="K36" s="161"/>
      <c r="L36" s="159"/>
      <c r="N36" s="161">
        <f>N17-N34</f>
        <v>-177316.63456644583</v>
      </c>
      <c r="O36" s="161">
        <f>O17-O34</f>
        <v>0</v>
      </c>
      <c r="P36" s="161">
        <f>P17-P34</f>
        <v>-177316.63456644583</v>
      </c>
      <c r="Q36" s="161"/>
      <c r="R36" s="161">
        <f>R17-R34</f>
        <v>-116372.90726595838</v>
      </c>
      <c r="S36" s="162"/>
      <c r="T36" s="161">
        <f>T17-T34</f>
        <v>-60943.727300487422</v>
      </c>
      <c r="V36" s="236">
        <f>V17-V34</f>
        <v>-323.16755196749364</v>
      </c>
      <c r="W36" s="210"/>
      <c r="X36" s="255" t="s">
        <v>284</v>
      </c>
      <c r="Y36" s="159">
        <f>-Y34+Y17</f>
        <v>-323.16755196750546</v>
      </c>
      <c r="Z36" s="159"/>
    </row>
    <row r="37" spans="1:26">
      <c r="F37" s="161"/>
      <c r="G37" s="161"/>
      <c r="H37" s="161"/>
      <c r="I37" s="161"/>
      <c r="J37" s="161"/>
      <c r="K37" s="161"/>
      <c r="P37" s="161"/>
      <c r="Q37" s="161"/>
      <c r="R37" s="161"/>
      <c r="S37" s="161"/>
      <c r="T37" s="161"/>
      <c r="V37" s="236"/>
      <c r="W37" s="210"/>
    </row>
    <row r="38" spans="1:26">
      <c r="A38" s="147" t="s">
        <v>303</v>
      </c>
      <c r="C38" s="203">
        <v>1.142E-2</v>
      </c>
      <c r="F38" s="162"/>
      <c r="G38" s="162"/>
      <c r="H38" s="166"/>
      <c r="I38" s="162"/>
      <c r="J38" s="166">
        <f>C38*J36</f>
        <v>-694.04463669565553</v>
      </c>
      <c r="K38" s="162"/>
      <c r="M38" s="203">
        <v>1.142E-2</v>
      </c>
      <c r="P38" s="162"/>
      <c r="Q38" s="162"/>
      <c r="R38" s="166"/>
      <c r="S38" s="162"/>
      <c r="T38" s="166">
        <f>M38*T36</f>
        <v>-695.97736577156638</v>
      </c>
      <c r="V38" s="239"/>
      <c r="W38" s="210"/>
      <c r="Y38" s="159">
        <f>Y36-V36</f>
        <v>-1.1823431123048067E-11</v>
      </c>
    </row>
    <row r="39" spans="1:26">
      <c r="F39" s="162"/>
      <c r="G39" s="162"/>
      <c r="H39" s="161"/>
      <c r="I39" s="161"/>
      <c r="J39" s="161"/>
      <c r="K39" s="161"/>
      <c r="P39" s="162"/>
      <c r="Q39" s="162"/>
      <c r="R39" s="161"/>
      <c r="S39" s="161"/>
      <c r="T39" s="161"/>
      <c r="V39" s="236"/>
      <c r="W39" s="210"/>
    </row>
    <row r="40" spans="1:26" ht="12.75" customHeight="1">
      <c r="A40" s="147" t="s">
        <v>304</v>
      </c>
      <c r="F40" s="160"/>
      <c r="G40" s="160"/>
      <c r="H40" s="161">
        <v>-116049.73971399089</v>
      </c>
      <c r="I40" s="159"/>
      <c r="J40" s="161">
        <f>J36-J38</f>
        <v>-60080.441939106058</v>
      </c>
      <c r="K40" s="161"/>
      <c r="P40" s="160"/>
      <c r="Q40" s="160"/>
      <c r="R40" s="161">
        <f>R36-R38</f>
        <v>-116372.90726595838</v>
      </c>
      <c r="S40" s="159"/>
      <c r="T40" s="161">
        <f>T36-T38</f>
        <v>-60247.749934715859</v>
      </c>
      <c r="V40" s="236">
        <f>V36-V38</f>
        <v>-323.16755196749364</v>
      </c>
      <c r="W40" s="210"/>
    </row>
    <row r="41" spans="1:26">
      <c r="F41" s="160"/>
      <c r="G41" s="160"/>
      <c r="H41" s="159"/>
      <c r="I41" s="159"/>
      <c r="J41" s="159"/>
      <c r="K41" s="159"/>
      <c r="P41" s="160"/>
      <c r="Q41" s="160"/>
      <c r="R41" s="159"/>
      <c r="S41" s="159"/>
      <c r="T41" s="159"/>
      <c r="V41" s="234"/>
      <c r="W41" s="210"/>
    </row>
    <row r="42" spans="1:26">
      <c r="A42" s="147" t="s">
        <v>273</v>
      </c>
      <c r="C42" s="169">
        <v>0.35</v>
      </c>
      <c r="F42" s="160"/>
      <c r="G42" s="160"/>
      <c r="H42" s="166">
        <v>-40617.408899896807</v>
      </c>
      <c r="I42" s="159"/>
      <c r="J42" s="166">
        <f>C42*J40</f>
        <v>-21028.154678687119</v>
      </c>
      <c r="K42" s="162"/>
      <c r="M42" s="169">
        <v>0.35</v>
      </c>
      <c r="P42" s="160"/>
      <c r="Q42" s="160"/>
      <c r="R42" s="166">
        <f>M42*R40</f>
        <v>-40730.517543085429</v>
      </c>
      <c r="S42" s="159"/>
      <c r="T42" s="166">
        <f>M42*T40</f>
        <v>-21086.712477150548</v>
      </c>
      <c r="V42" s="239">
        <f>C42*V40</f>
        <v>-113.10864318862276</v>
      </c>
      <c r="W42" s="210"/>
    </row>
    <row r="43" spans="1:26">
      <c r="F43" s="160"/>
      <c r="G43" s="160"/>
      <c r="H43" s="159"/>
      <c r="I43" s="159"/>
      <c r="J43" s="159"/>
      <c r="K43" s="159"/>
      <c r="P43" s="160"/>
      <c r="Q43" s="160"/>
      <c r="R43" s="159"/>
      <c r="S43" s="159"/>
      <c r="T43" s="159"/>
      <c r="V43" s="234"/>
      <c r="W43" s="210"/>
    </row>
    <row r="44" spans="1:26" ht="12.75" customHeight="1" thickBot="1">
      <c r="A44" s="147" t="s">
        <v>274</v>
      </c>
      <c r="F44" s="161"/>
      <c r="G44" s="161"/>
      <c r="H44" s="159">
        <v>-75432.330814094079</v>
      </c>
      <c r="I44" s="161"/>
      <c r="J44" s="159">
        <f>J40-J42</f>
        <v>-39052.28726041894</v>
      </c>
      <c r="K44" s="159"/>
      <c r="P44" s="161"/>
      <c r="Q44" s="161"/>
      <c r="R44" s="159">
        <f>R40-R42</f>
        <v>-75642.389722872947</v>
      </c>
      <c r="S44" s="161"/>
      <c r="T44" s="159">
        <f>T40-T42</f>
        <v>-39161.037457565311</v>
      </c>
      <c r="V44" s="240">
        <f>V40-V42</f>
        <v>-210.05890877887089</v>
      </c>
      <c r="W44" s="223"/>
    </row>
    <row r="45" spans="1:26">
      <c r="F45" s="161"/>
      <c r="G45" s="161"/>
      <c r="H45" s="161"/>
      <c r="I45" s="161"/>
      <c r="J45" s="161"/>
      <c r="K45" s="161"/>
      <c r="P45" s="161"/>
      <c r="Q45" s="161"/>
      <c r="R45" s="161"/>
      <c r="S45" s="161"/>
      <c r="T45" s="161"/>
      <c r="V45" s="241"/>
    </row>
    <row r="46" spans="1:26">
      <c r="A46" s="170" t="s">
        <v>316</v>
      </c>
      <c r="P46" s="147" t="s">
        <v>318</v>
      </c>
      <c r="V46" s="242">
        <f>V44/0.619864</f>
        <v>-338.87902633298739</v>
      </c>
    </row>
    <row r="47" spans="1:26">
      <c r="P47" s="191" t="s">
        <v>319</v>
      </c>
      <c r="Q47" s="178"/>
      <c r="R47" s="178"/>
      <c r="S47" s="178"/>
      <c r="T47" s="178"/>
      <c r="U47" s="176"/>
      <c r="V47" s="243"/>
    </row>
    <row r="48" spans="1:26" ht="18.75" customHeight="1" thickBot="1">
      <c r="A48" s="204" t="s">
        <v>305</v>
      </c>
      <c r="B48" s="205"/>
      <c r="C48" s="205"/>
      <c r="M48" s="205"/>
      <c r="V48" s="254"/>
    </row>
    <row r="49" spans="1:23" ht="26.25" customHeight="1" thickBot="1">
      <c r="A49" s="264" t="s">
        <v>306</v>
      </c>
      <c r="B49" s="264"/>
      <c r="C49" s="264"/>
      <c r="D49" s="264"/>
      <c r="E49" s="264"/>
      <c r="F49" s="264"/>
      <c r="G49" s="264"/>
      <c r="H49" s="264"/>
      <c r="I49" s="264"/>
      <c r="J49" s="264"/>
      <c r="K49" s="226"/>
      <c r="O49" s="257"/>
      <c r="P49" s="258"/>
      <c r="Q49" s="258"/>
      <c r="R49" s="259" t="s">
        <v>324</v>
      </c>
      <c r="S49" s="258"/>
      <c r="T49" s="258"/>
      <c r="U49" s="258"/>
      <c r="V49" s="260">
        <f>V36/0.6563-1</f>
        <v>-493.40827665319767</v>
      </c>
      <c r="W49" s="256"/>
    </row>
    <row r="50" spans="1:23" ht="39.6" customHeight="1">
      <c r="A50" s="265" t="s">
        <v>307</v>
      </c>
      <c r="B50" s="265"/>
      <c r="C50" s="265"/>
      <c r="D50" s="265"/>
      <c r="E50" s="265"/>
      <c r="F50" s="265"/>
      <c r="G50" s="265"/>
      <c r="H50" s="265"/>
      <c r="I50" s="265"/>
      <c r="J50" s="265"/>
      <c r="K50" s="227"/>
      <c r="O50" s="278" t="s">
        <v>325</v>
      </c>
      <c r="P50" s="278"/>
      <c r="Q50" s="278"/>
      <c r="R50" s="278"/>
      <c r="S50" s="278"/>
      <c r="T50" s="278"/>
      <c r="U50" s="278"/>
      <c r="V50" s="278"/>
    </row>
  </sheetData>
  <mergeCells count="10">
    <mergeCell ref="A49:J49"/>
    <mergeCell ref="A50:J50"/>
    <mergeCell ref="O50:V50"/>
    <mergeCell ref="A1:V1"/>
    <mergeCell ref="A2:V2"/>
    <mergeCell ref="A3:V3"/>
    <mergeCell ref="A4:V4"/>
    <mergeCell ref="C5:J5"/>
    <mergeCell ref="M5:T5"/>
    <mergeCell ref="V5:V6"/>
  </mergeCells>
  <pageMargins left="0.7" right="0.7" top="0.75" bottom="0.75" header="0.3" footer="0.3"/>
  <pageSetup scale="72" orientation="landscape" r:id="rId1"/>
  <headerFooter scaleWithDoc="0">
    <oddHeader xml:space="preserve">&amp;CBench Request 10.4 - Attachment A&amp;RRevised Pro Forma Adjustment 3.00 (Power Supply)
</oddHeader>
    <oddFooter>&amp;RPage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zoomScaleNormal="100" workbookViewId="0">
      <selection activeCell="H43" sqref="H43"/>
    </sheetView>
  </sheetViews>
  <sheetFormatPr defaultRowHeight="12.75"/>
  <cols>
    <col min="1" max="1" width="22.140625" style="147" customWidth="1"/>
    <col min="2" max="2" width="9.140625" style="147"/>
    <col min="3" max="3" width="10.5703125" style="147" customWidth="1"/>
    <col min="4" max="4" width="11.7109375" style="147" customWidth="1"/>
    <col min="5" max="5" width="10.42578125" style="147" bestFit="1" customWidth="1"/>
    <col min="6" max="6" width="11.42578125" style="147" customWidth="1"/>
    <col min="7" max="7" width="1.28515625" style="147" customWidth="1"/>
    <col min="8" max="8" width="10.85546875" style="147" bestFit="1" customWidth="1"/>
    <col min="9" max="9" width="0.140625" style="147" customWidth="1"/>
    <col min="10" max="10" width="10.42578125" style="147" hidden="1" customWidth="1"/>
    <col min="11" max="11" width="0.28515625" style="147" customWidth="1"/>
    <col min="12" max="12" width="3.42578125" style="147" customWidth="1"/>
    <col min="13" max="13" width="0.28515625" style="147" customWidth="1"/>
    <col min="14" max="14" width="11.7109375" style="147" customWidth="1"/>
    <col min="15" max="15" width="10.42578125" style="147" bestFit="1" customWidth="1"/>
    <col min="16" max="16" width="11.42578125" style="147" customWidth="1"/>
    <col min="17" max="17" width="1.28515625" style="147" customWidth="1"/>
    <col min="18" max="18" width="10.85546875" style="147" bestFit="1" customWidth="1"/>
    <col min="19" max="19" width="0.140625" style="147" customWidth="1"/>
    <col min="20" max="20" width="10.42578125" style="147" hidden="1" customWidth="1"/>
    <col min="21" max="21" width="1.85546875" style="147" customWidth="1"/>
    <col min="22" max="22" width="12.28515625" style="147" customWidth="1"/>
    <col min="23" max="23" width="1" style="147" customWidth="1"/>
    <col min="24" max="24" width="9.140625" style="147"/>
    <col min="25" max="25" width="10.7109375" style="147" bestFit="1" customWidth="1"/>
    <col min="26" max="253" width="9.140625" style="147"/>
    <col min="254" max="254" width="22.140625" style="147" customWidth="1"/>
    <col min="255" max="255" width="9.140625" style="147"/>
    <col min="256" max="256" width="10.5703125" style="147" customWidth="1"/>
    <col min="257" max="257" width="11.7109375" style="147" customWidth="1"/>
    <col min="258" max="258" width="16.28515625" style="147" customWidth="1"/>
    <col min="259" max="259" width="11.42578125" style="147" customWidth="1"/>
    <col min="260" max="260" width="1.28515625" style="147" customWidth="1"/>
    <col min="261" max="261" width="10.85546875" style="147" bestFit="1" customWidth="1"/>
    <col min="262" max="262" width="1.85546875" style="147" customWidth="1"/>
    <col min="263" max="263" width="10.42578125" style="147" bestFit="1" customWidth="1"/>
    <col min="264" max="509" width="9.140625" style="147"/>
    <col min="510" max="510" width="22.140625" style="147" customWidth="1"/>
    <col min="511" max="511" width="9.140625" style="147"/>
    <col min="512" max="512" width="10.5703125" style="147" customWidth="1"/>
    <col min="513" max="513" width="11.7109375" style="147" customWidth="1"/>
    <col min="514" max="514" width="16.28515625" style="147" customWidth="1"/>
    <col min="515" max="515" width="11.42578125" style="147" customWidth="1"/>
    <col min="516" max="516" width="1.28515625" style="147" customWidth="1"/>
    <col min="517" max="517" width="10.85546875" style="147" bestFit="1" customWidth="1"/>
    <col min="518" max="518" width="1.85546875" style="147" customWidth="1"/>
    <col min="519" max="519" width="10.42578125" style="147" bestFit="1" customWidth="1"/>
    <col min="520" max="765" width="9.140625" style="147"/>
    <col min="766" max="766" width="22.140625" style="147" customWidth="1"/>
    <col min="767" max="767" width="9.140625" style="147"/>
    <col min="768" max="768" width="10.5703125" style="147" customWidth="1"/>
    <col min="769" max="769" width="11.7109375" style="147" customWidth="1"/>
    <col min="770" max="770" width="16.28515625" style="147" customWidth="1"/>
    <col min="771" max="771" width="11.42578125" style="147" customWidth="1"/>
    <col min="772" max="772" width="1.28515625" style="147" customWidth="1"/>
    <col min="773" max="773" width="10.85546875" style="147" bestFit="1" customWidth="1"/>
    <col min="774" max="774" width="1.85546875" style="147" customWidth="1"/>
    <col min="775" max="775" width="10.42578125" style="147" bestFit="1" customWidth="1"/>
    <col min="776" max="1021" width="9.140625" style="147"/>
    <col min="1022" max="1022" width="22.140625" style="147" customWidth="1"/>
    <col min="1023" max="1023" width="9.140625" style="147"/>
    <col min="1024" max="1024" width="10.5703125" style="147" customWidth="1"/>
    <col min="1025" max="1025" width="11.7109375" style="147" customWidth="1"/>
    <col min="1026" max="1026" width="16.28515625" style="147" customWidth="1"/>
    <col min="1027" max="1027" width="11.42578125" style="147" customWidth="1"/>
    <col min="1028" max="1028" width="1.28515625" style="147" customWidth="1"/>
    <col min="1029" max="1029" width="10.85546875" style="147" bestFit="1" customWidth="1"/>
    <col min="1030" max="1030" width="1.85546875" style="147" customWidth="1"/>
    <col min="1031" max="1031" width="10.42578125" style="147" bestFit="1" customWidth="1"/>
    <col min="1032" max="1277" width="9.140625" style="147"/>
    <col min="1278" max="1278" width="22.140625" style="147" customWidth="1"/>
    <col min="1279" max="1279" width="9.140625" style="147"/>
    <col min="1280" max="1280" width="10.5703125" style="147" customWidth="1"/>
    <col min="1281" max="1281" width="11.7109375" style="147" customWidth="1"/>
    <col min="1282" max="1282" width="16.28515625" style="147" customWidth="1"/>
    <col min="1283" max="1283" width="11.42578125" style="147" customWidth="1"/>
    <col min="1284" max="1284" width="1.28515625" style="147" customWidth="1"/>
    <col min="1285" max="1285" width="10.85546875" style="147" bestFit="1" customWidth="1"/>
    <col min="1286" max="1286" width="1.85546875" style="147" customWidth="1"/>
    <col min="1287" max="1287" width="10.42578125" style="147" bestFit="1" customWidth="1"/>
    <col min="1288" max="1533" width="9.140625" style="147"/>
    <col min="1534" max="1534" width="22.140625" style="147" customWidth="1"/>
    <col min="1535" max="1535" width="9.140625" style="147"/>
    <col min="1536" max="1536" width="10.5703125" style="147" customWidth="1"/>
    <col min="1537" max="1537" width="11.7109375" style="147" customWidth="1"/>
    <col min="1538" max="1538" width="16.28515625" style="147" customWidth="1"/>
    <col min="1539" max="1539" width="11.42578125" style="147" customWidth="1"/>
    <col min="1540" max="1540" width="1.28515625" style="147" customWidth="1"/>
    <col min="1541" max="1541" width="10.85546875" style="147" bestFit="1" customWidth="1"/>
    <col min="1542" max="1542" width="1.85546875" style="147" customWidth="1"/>
    <col min="1543" max="1543" width="10.42578125" style="147" bestFit="1" customWidth="1"/>
    <col min="1544" max="1789" width="9.140625" style="147"/>
    <col min="1790" max="1790" width="22.140625" style="147" customWidth="1"/>
    <col min="1791" max="1791" width="9.140625" style="147"/>
    <col min="1792" max="1792" width="10.5703125" style="147" customWidth="1"/>
    <col min="1793" max="1793" width="11.7109375" style="147" customWidth="1"/>
    <col min="1794" max="1794" width="16.28515625" style="147" customWidth="1"/>
    <col min="1795" max="1795" width="11.42578125" style="147" customWidth="1"/>
    <col min="1796" max="1796" width="1.28515625" style="147" customWidth="1"/>
    <col min="1797" max="1797" width="10.85546875" style="147" bestFit="1" customWidth="1"/>
    <col min="1798" max="1798" width="1.85546875" style="147" customWidth="1"/>
    <col min="1799" max="1799" width="10.42578125" style="147" bestFit="1" customWidth="1"/>
    <col min="1800" max="2045" width="9.140625" style="147"/>
    <col min="2046" max="2046" width="22.140625" style="147" customWidth="1"/>
    <col min="2047" max="2047" width="9.140625" style="147"/>
    <col min="2048" max="2048" width="10.5703125" style="147" customWidth="1"/>
    <col min="2049" max="2049" width="11.7109375" style="147" customWidth="1"/>
    <col min="2050" max="2050" width="16.28515625" style="147" customWidth="1"/>
    <col min="2051" max="2051" width="11.42578125" style="147" customWidth="1"/>
    <col min="2052" max="2052" width="1.28515625" style="147" customWidth="1"/>
    <col min="2053" max="2053" width="10.85546875" style="147" bestFit="1" customWidth="1"/>
    <col min="2054" max="2054" width="1.85546875" style="147" customWidth="1"/>
    <col min="2055" max="2055" width="10.42578125" style="147" bestFit="1" customWidth="1"/>
    <col min="2056" max="2301" width="9.140625" style="147"/>
    <col min="2302" max="2302" width="22.140625" style="147" customWidth="1"/>
    <col min="2303" max="2303" width="9.140625" style="147"/>
    <col min="2304" max="2304" width="10.5703125" style="147" customWidth="1"/>
    <col min="2305" max="2305" width="11.7109375" style="147" customWidth="1"/>
    <col min="2306" max="2306" width="16.28515625" style="147" customWidth="1"/>
    <col min="2307" max="2307" width="11.42578125" style="147" customWidth="1"/>
    <col min="2308" max="2308" width="1.28515625" style="147" customWidth="1"/>
    <col min="2309" max="2309" width="10.85546875" style="147" bestFit="1" customWidth="1"/>
    <col min="2310" max="2310" width="1.85546875" style="147" customWidth="1"/>
    <col min="2311" max="2311" width="10.42578125" style="147" bestFit="1" customWidth="1"/>
    <col min="2312" max="2557" width="9.140625" style="147"/>
    <col min="2558" max="2558" width="22.140625" style="147" customWidth="1"/>
    <col min="2559" max="2559" width="9.140625" style="147"/>
    <col min="2560" max="2560" width="10.5703125" style="147" customWidth="1"/>
    <col min="2561" max="2561" width="11.7109375" style="147" customWidth="1"/>
    <col min="2562" max="2562" width="16.28515625" style="147" customWidth="1"/>
    <col min="2563" max="2563" width="11.42578125" style="147" customWidth="1"/>
    <col min="2564" max="2564" width="1.28515625" style="147" customWidth="1"/>
    <col min="2565" max="2565" width="10.85546875" style="147" bestFit="1" customWidth="1"/>
    <col min="2566" max="2566" width="1.85546875" style="147" customWidth="1"/>
    <col min="2567" max="2567" width="10.42578125" style="147" bestFit="1" customWidth="1"/>
    <col min="2568" max="2813" width="9.140625" style="147"/>
    <col min="2814" max="2814" width="22.140625" style="147" customWidth="1"/>
    <col min="2815" max="2815" width="9.140625" style="147"/>
    <col min="2816" max="2816" width="10.5703125" style="147" customWidth="1"/>
    <col min="2817" max="2817" width="11.7109375" style="147" customWidth="1"/>
    <col min="2818" max="2818" width="16.28515625" style="147" customWidth="1"/>
    <col min="2819" max="2819" width="11.42578125" style="147" customWidth="1"/>
    <col min="2820" max="2820" width="1.28515625" style="147" customWidth="1"/>
    <col min="2821" max="2821" width="10.85546875" style="147" bestFit="1" customWidth="1"/>
    <col min="2822" max="2822" width="1.85546875" style="147" customWidth="1"/>
    <col min="2823" max="2823" width="10.42578125" style="147" bestFit="1" customWidth="1"/>
    <col min="2824" max="3069" width="9.140625" style="147"/>
    <col min="3070" max="3070" width="22.140625" style="147" customWidth="1"/>
    <col min="3071" max="3071" width="9.140625" style="147"/>
    <col min="3072" max="3072" width="10.5703125" style="147" customWidth="1"/>
    <col min="3073" max="3073" width="11.7109375" style="147" customWidth="1"/>
    <col min="3074" max="3074" width="16.28515625" style="147" customWidth="1"/>
    <col min="3075" max="3075" width="11.42578125" style="147" customWidth="1"/>
    <col min="3076" max="3076" width="1.28515625" style="147" customWidth="1"/>
    <col min="3077" max="3077" width="10.85546875" style="147" bestFit="1" customWidth="1"/>
    <col min="3078" max="3078" width="1.85546875" style="147" customWidth="1"/>
    <col min="3079" max="3079" width="10.42578125" style="147" bestFit="1" customWidth="1"/>
    <col min="3080" max="3325" width="9.140625" style="147"/>
    <col min="3326" max="3326" width="22.140625" style="147" customWidth="1"/>
    <col min="3327" max="3327" width="9.140625" style="147"/>
    <col min="3328" max="3328" width="10.5703125" style="147" customWidth="1"/>
    <col min="3329" max="3329" width="11.7109375" style="147" customWidth="1"/>
    <col min="3330" max="3330" width="16.28515625" style="147" customWidth="1"/>
    <col min="3331" max="3331" width="11.42578125" style="147" customWidth="1"/>
    <col min="3332" max="3332" width="1.28515625" style="147" customWidth="1"/>
    <col min="3333" max="3333" width="10.85546875" style="147" bestFit="1" customWidth="1"/>
    <col min="3334" max="3334" width="1.85546875" style="147" customWidth="1"/>
    <col min="3335" max="3335" width="10.42578125" style="147" bestFit="1" customWidth="1"/>
    <col min="3336" max="3581" width="9.140625" style="147"/>
    <col min="3582" max="3582" width="22.140625" style="147" customWidth="1"/>
    <col min="3583" max="3583" width="9.140625" style="147"/>
    <col min="3584" max="3584" width="10.5703125" style="147" customWidth="1"/>
    <col min="3585" max="3585" width="11.7109375" style="147" customWidth="1"/>
    <col min="3586" max="3586" width="16.28515625" style="147" customWidth="1"/>
    <col min="3587" max="3587" width="11.42578125" style="147" customWidth="1"/>
    <col min="3588" max="3588" width="1.28515625" style="147" customWidth="1"/>
    <col min="3589" max="3589" width="10.85546875" style="147" bestFit="1" customWidth="1"/>
    <col min="3590" max="3590" width="1.85546875" style="147" customWidth="1"/>
    <col min="3591" max="3591" width="10.42578125" style="147" bestFit="1" customWidth="1"/>
    <col min="3592" max="3837" width="9.140625" style="147"/>
    <col min="3838" max="3838" width="22.140625" style="147" customWidth="1"/>
    <col min="3839" max="3839" width="9.140625" style="147"/>
    <col min="3840" max="3840" width="10.5703125" style="147" customWidth="1"/>
    <col min="3841" max="3841" width="11.7109375" style="147" customWidth="1"/>
    <col min="3842" max="3842" width="16.28515625" style="147" customWidth="1"/>
    <col min="3843" max="3843" width="11.42578125" style="147" customWidth="1"/>
    <col min="3844" max="3844" width="1.28515625" style="147" customWidth="1"/>
    <col min="3845" max="3845" width="10.85546875" style="147" bestFit="1" customWidth="1"/>
    <col min="3846" max="3846" width="1.85546875" style="147" customWidth="1"/>
    <col min="3847" max="3847" width="10.42578125" style="147" bestFit="1" customWidth="1"/>
    <col min="3848" max="4093" width="9.140625" style="147"/>
    <col min="4094" max="4094" width="22.140625" style="147" customWidth="1"/>
    <col min="4095" max="4095" width="9.140625" style="147"/>
    <col min="4096" max="4096" width="10.5703125" style="147" customWidth="1"/>
    <col min="4097" max="4097" width="11.7109375" style="147" customWidth="1"/>
    <col min="4098" max="4098" width="16.28515625" style="147" customWidth="1"/>
    <col min="4099" max="4099" width="11.42578125" style="147" customWidth="1"/>
    <col min="4100" max="4100" width="1.28515625" style="147" customWidth="1"/>
    <col min="4101" max="4101" width="10.85546875" style="147" bestFit="1" customWidth="1"/>
    <col min="4102" max="4102" width="1.85546875" style="147" customWidth="1"/>
    <col min="4103" max="4103" width="10.42578125" style="147" bestFit="1" customWidth="1"/>
    <col min="4104" max="4349" width="9.140625" style="147"/>
    <col min="4350" max="4350" width="22.140625" style="147" customWidth="1"/>
    <col min="4351" max="4351" width="9.140625" style="147"/>
    <col min="4352" max="4352" width="10.5703125" style="147" customWidth="1"/>
    <col min="4353" max="4353" width="11.7109375" style="147" customWidth="1"/>
    <col min="4354" max="4354" width="16.28515625" style="147" customWidth="1"/>
    <col min="4355" max="4355" width="11.42578125" style="147" customWidth="1"/>
    <col min="4356" max="4356" width="1.28515625" style="147" customWidth="1"/>
    <col min="4357" max="4357" width="10.85546875" style="147" bestFit="1" customWidth="1"/>
    <col min="4358" max="4358" width="1.85546875" style="147" customWidth="1"/>
    <col min="4359" max="4359" width="10.42578125" style="147" bestFit="1" customWidth="1"/>
    <col min="4360" max="4605" width="9.140625" style="147"/>
    <col min="4606" max="4606" width="22.140625" style="147" customWidth="1"/>
    <col min="4607" max="4607" width="9.140625" style="147"/>
    <col min="4608" max="4608" width="10.5703125" style="147" customWidth="1"/>
    <col min="4609" max="4609" width="11.7109375" style="147" customWidth="1"/>
    <col min="4610" max="4610" width="16.28515625" style="147" customWidth="1"/>
    <col min="4611" max="4611" width="11.42578125" style="147" customWidth="1"/>
    <col min="4612" max="4612" width="1.28515625" style="147" customWidth="1"/>
    <col min="4613" max="4613" width="10.85546875" style="147" bestFit="1" customWidth="1"/>
    <col min="4614" max="4614" width="1.85546875" style="147" customWidth="1"/>
    <col min="4615" max="4615" width="10.42578125" style="147" bestFit="1" customWidth="1"/>
    <col min="4616" max="4861" width="9.140625" style="147"/>
    <col min="4862" max="4862" width="22.140625" style="147" customWidth="1"/>
    <col min="4863" max="4863" width="9.140625" style="147"/>
    <col min="4864" max="4864" width="10.5703125" style="147" customWidth="1"/>
    <col min="4865" max="4865" width="11.7109375" style="147" customWidth="1"/>
    <col min="4866" max="4866" width="16.28515625" style="147" customWidth="1"/>
    <col min="4867" max="4867" width="11.42578125" style="147" customWidth="1"/>
    <col min="4868" max="4868" width="1.28515625" style="147" customWidth="1"/>
    <col min="4869" max="4869" width="10.85546875" style="147" bestFit="1" customWidth="1"/>
    <col min="4870" max="4870" width="1.85546875" style="147" customWidth="1"/>
    <col min="4871" max="4871" width="10.42578125" style="147" bestFit="1" customWidth="1"/>
    <col min="4872" max="5117" width="9.140625" style="147"/>
    <col min="5118" max="5118" width="22.140625" style="147" customWidth="1"/>
    <col min="5119" max="5119" width="9.140625" style="147"/>
    <col min="5120" max="5120" width="10.5703125" style="147" customWidth="1"/>
    <col min="5121" max="5121" width="11.7109375" style="147" customWidth="1"/>
    <col min="5122" max="5122" width="16.28515625" style="147" customWidth="1"/>
    <col min="5123" max="5123" width="11.42578125" style="147" customWidth="1"/>
    <col min="5124" max="5124" width="1.28515625" style="147" customWidth="1"/>
    <col min="5125" max="5125" width="10.85546875" style="147" bestFit="1" customWidth="1"/>
    <col min="5126" max="5126" width="1.85546875" style="147" customWidth="1"/>
    <col min="5127" max="5127" width="10.42578125" style="147" bestFit="1" customWidth="1"/>
    <col min="5128" max="5373" width="9.140625" style="147"/>
    <col min="5374" max="5374" width="22.140625" style="147" customWidth="1"/>
    <col min="5375" max="5375" width="9.140625" style="147"/>
    <col min="5376" max="5376" width="10.5703125" style="147" customWidth="1"/>
    <col min="5377" max="5377" width="11.7109375" style="147" customWidth="1"/>
    <col min="5378" max="5378" width="16.28515625" style="147" customWidth="1"/>
    <col min="5379" max="5379" width="11.42578125" style="147" customWidth="1"/>
    <col min="5380" max="5380" width="1.28515625" style="147" customWidth="1"/>
    <col min="5381" max="5381" width="10.85546875" style="147" bestFit="1" customWidth="1"/>
    <col min="5382" max="5382" width="1.85546875" style="147" customWidth="1"/>
    <col min="5383" max="5383" width="10.42578125" style="147" bestFit="1" customWidth="1"/>
    <col min="5384" max="5629" width="9.140625" style="147"/>
    <col min="5630" max="5630" width="22.140625" style="147" customWidth="1"/>
    <col min="5631" max="5631" width="9.140625" style="147"/>
    <col min="5632" max="5632" width="10.5703125" style="147" customWidth="1"/>
    <col min="5633" max="5633" width="11.7109375" style="147" customWidth="1"/>
    <col min="5634" max="5634" width="16.28515625" style="147" customWidth="1"/>
    <col min="5635" max="5635" width="11.42578125" style="147" customWidth="1"/>
    <col min="5636" max="5636" width="1.28515625" style="147" customWidth="1"/>
    <col min="5637" max="5637" width="10.85546875" style="147" bestFit="1" customWidth="1"/>
    <col min="5638" max="5638" width="1.85546875" style="147" customWidth="1"/>
    <col min="5639" max="5639" width="10.42578125" style="147" bestFit="1" customWidth="1"/>
    <col min="5640" max="5885" width="9.140625" style="147"/>
    <col min="5886" max="5886" width="22.140625" style="147" customWidth="1"/>
    <col min="5887" max="5887" width="9.140625" style="147"/>
    <col min="5888" max="5888" width="10.5703125" style="147" customWidth="1"/>
    <col min="5889" max="5889" width="11.7109375" style="147" customWidth="1"/>
    <col min="5890" max="5890" width="16.28515625" style="147" customWidth="1"/>
    <col min="5891" max="5891" width="11.42578125" style="147" customWidth="1"/>
    <col min="5892" max="5892" width="1.28515625" style="147" customWidth="1"/>
    <col min="5893" max="5893" width="10.85546875" style="147" bestFit="1" customWidth="1"/>
    <col min="5894" max="5894" width="1.85546875" style="147" customWidth="1"/>
    <col min="5895" max="5895" width="10.42578125" style="147" bestFit="1" customWidth="1"/>
    <col min="5896" max="6141" width="9.140625" style="147"/>
    <col min="6142" max="6142" width="22.140625" style="147" customWidth="1"/>
    <col min="6143" max="6143" width="9.140625" style="147"/>
    <col min="6144" max="6144" width="10.5703125" style="147" customWidth="1"/>
    <col min="6145" max="6145" width="11.7109375" style="147" customWidth="1"/>
    <col min="6146" max="6146" width="16.28515625" style="147" customWidth="1"/>
    <col min="6147" max="6147" width="11.42578125" style="147" customWidth="1"/>
    <col min="6148" max="6148" width="1.28515625" style="147" customWidth="1"/>
    <col min="6149" max="6149" width="10.85546875" style="147" bestFit="1" customWidth="1"/>
    <col min="6150" max="6150" width="1.85546875" style="147" customWidth="1"/>
    <col min="6151" max="6151" width="10.42578125" style="147" bestFit="1" customWidth="1"/>
    <col min="6152" max="6397" width="9.140625" style="147"/>
    <col min="6398" max="6398" width="22.140625" style="147" customWidth="1"/>
    <col min="6399" max="6399" width="9.140625" style="147"/>
    <col min="6400" max="6400" width="10.5703125" style="147" customWidth="1"/>
    <col min="6401" max="6401" width="11.7109375" style="147" customWidth="1"/>
    <col min="6402" max="6402" width="16.28515625" style="147" customWidth="1"/>
    <col min="6403" max="6403" width="11.42578125" style="147" customWidth="1"/>
    <col min="6404" max="6404" width="1.28515625" style="147" customWidth="1"/>
    <col min="6405" max="6405" width="10.85546875" style="147" bestFit="1" customWidth="1"/>
    <col min="6406" max="6406" width="1.85546875" style="147" customWidth="1"/>
    <col min="6407" max="6407" width="10.42578125" style="147" bestFit="1" customWidth="1"/>
    <col min="6408" max="6653" width="9.140625" style="147"/>
    <col min="6654" max="6654" width="22.140625" style="147" customWidth="1"/>
    <col min="6655" max="6655" width="9.140625" style="147"/>
    <col min="6656" max="6656" width="10.5703125" style="147" customWidth="1"/>
    <col min="6657" max="6657" width="11.7109375" style="147" customWidth="1"/>
    <col min="6658" max="6658" width="16.28515625" style="147" customWidth="1"/>
    <col min="6659" max="6659" width="11.42578125" style="147" customWidth="1"/>
    <col min="6660" max="6660" width="1.28515625" style="147" customWidth="1"/>
    <col min="6661" max="6661" width="10.85546875" style="147" bestFit="1" customWidth="1"/>
    <col min="6662" max="6662" width="1.85546875" style="147" customWidth="1"/>
    <col min="6663" max="6663" width="10.42578125" style="147" bestFit="1" customWidth="1"/>
    <col min="6664" max="6909" width="9.140625" style="147"/>
    <col min="6910" max="6910" width="22.140625" style="147" customWidth="1"/>
    <col min="6911" max="6911" width="9.140625" style="147"/>
    <col min="6912" max="6912" width="10.5703125" style="147" customWidth="1"/>
    <col min="6913" max="6913" width="11.7109375" style="147" customWidth="1"/>
    <col min="6914" max="6914" width="16.28515625" style="147" customWidth="1"/>
    <col min="6915" max="6915" width="11.42578125" style="147" customWidth="1"/>
    <col min="6916" max="6916" width="1.28515625" style="147" customWidth="1"/>
    <col min="6917" max="6917" width="10.85546875" style="147" bestFit="1" customWidth="1"/>
    <col min="6918" max="6918" width="1.85546875" style="147" customWidth="1"/>
    <col min="6919" max="6919" width="10.42578125" style="147" bestFit="1" customWidth="1"/>
    <col min="6920" max="7165" width="9.140625" style="147"/>
    <col min="7166" max="7166" width="22.140625" style="147" customWidth="1"/>
    <col min="7167" max="7167" width="9.140625" style="147"/>
    <col min="7168" max="7168" width="10.5703125" style="147" customWidth="1"/>
    <col min="7169" max="7169" width="11.7109375" style="147" customWidth="1"/>
    <col min="7170" max="7170" width="16.28515625" style="147" customWidth="1"/>
    <col min="7171" max="7171" width="11.42578125" style="147" customWidth="1"/>
    <col min="7172" max="7172" width="1.28515625" style="147" customWidth="1"/>
    <col min="7173" max="7173" width="10.85546875" style="147" bestFit="1" customWidth="1"/>
    <col min="7174" max="7174" width="1.85546875" style="147" customWidth="1"/>
    <col min="7175" max="7175" width="10.42578125" style="147" bestFit="1" customWidth="1"/>
    <col min="7176" max="7421" width="9.140625" style="147"/>
    <col min="7422" max="7422" width="22.140625" style="147" customWidth="1"/>
    <col min="7423" max="7423" width="9.140625" style="147"/>
    <col min="7424" max="7424" width="10.5703125" style="147" customWidth="1"/>
    <col min="7425" max="7425" width="11.7109375" style="147" customWidth="1"/>
    <col min="7426" max="7426" width="16.28515625" style="147" customWidth="1"/>
    <col min="7427" max="7427" width="11.42578125" style="147" customWidth="1"/>
    <col min="7428" max="7428" width="1.28515625" style="147" customWidth="1"/>
    <col min="7429" max="7429" width="10.85546875" style="147" bestFit="1" customWidth="1"/>
    <col min="7430" max="7430" width="1.85546875" style="147" customWidth="1"/>
    <col min="7431" max="7431" width="10.42578125" style="147" bestFit="1" customWidth="1"/>
    <col min="7432" max="7677" width="9.140625" style="147"/>
    <col min="7678" max="7678" width="22.140625" style="147" customWidth="1"/>
    <col min="7679" max="7679" width="9.140625" style="147"/>
    <col min="7680" max="7680" width="10.5703125" style="147" customWidth="1"/>
    <col min="7681" max="7681" width="11.7109375" style="147" customWidth="1"/>
    <col min="7682" max="7682" width="16.28515625" style="147" customWidth="1"/>
    <col min="7683" max="7683" width="11.42578125" style="147" customWidth="1"/>
    <col min="7684" max="7684" width="1.28515625" style="147" customWidth="1"/>
    <col min="7685" max="7685" width="10.85546875" style="147" bestFit="1" customWidth="1"/>
    <col min="7686" max="7686" width="1.85546875" style="147" customWidth="1"/>
    <col min="7687" max="7687" width="10.42578125" style="147" bestFit="1" customWidth="1"/>
    <col min="7688" max="7933" width="9.140625" style="147"/>
    <col min="7934" max="7934" width="22.140625" style="147" customWidth="1"/>
    <col min="7935" max="7935" width="9.140625" style="147"/>
    <col min="7936" max="7936" width="10.5703125" style="147" customWidth="1"/>
    <col min="7937" max="7937" width="11.7109375" style="147" customWidth="1"/>
    <col min="7938" max="7938" width="16.28515625" style="147" customWidth="1"/>
    <col min="7939" max="7939" width="11.42578125" style="147" customWidth="1"/>
    <col min="7940" max="7940" width="1.28515625" style="147" customWidth="1"/>
    <col min="7941" max="7941" width="10.85546875" style="147" bestFit="1" customWidth="1"/>
    <col min="7942" max="7942" width="1.85546875" style="147" customWidth="1"/>
    <col min="7943" max="7943" width="10.42578125" style="147" bestFit="1" customWidth="1"/>
    <col min="7944" max="8189" width="9.140625" style="147"/>
    <col min="8190" max="8190" width="22.140625" style="147" customWidth="1"/>
    <col min="8191" max="8191" width="9.140625" style="147"/>
    <col min="8192" max="8192" width="10.5703125" style="147" customWidth="1"/>
    <col min="8193" max="8193" width="11.7109375" style="147" customWidth="1"/>
    <col min="8194" max="8194" width="16.28515625" style="147" customWidth="1"/>
    <col min="8195" max="8195" width="11.42578125" style="147" customWidth="1"/>
    <col min="8196" max="8196" width="1.28515625" style="147" customWidth="1"/>
    <col min="8197" max="8197" width="10.85546875" style="147" bestFit="1" customWidth="1"/>
    <col min="8198" max="8198" width="1.85546875" style="147" customWidth="1"/>
    <col min="8199" max="8199" width="10.42578125" style="147" bestFit="1" customWidth="1"/>
    <col min="8200" max="8445" width="9.140625" style="147"/>
    <col min="8446" max="8446" width="22.140625" style="147" customWidth="1"/>
    <col min="8447" max="8447" width="9.140625" style="147"/>
    <col min="8448" max="8448" width="10.5703125" style="147" customWidth="1"/>
    <col min="8449" max="8449" width="11.7109375" style="147" customWidth="1"/>
    <col min="8450" max="8450" width="16.28515625" style="147" customWidth="1"/>
    <col min="8451" max="8451" width="11.42578125" style="147" customWidth="1"/>
    <col min="8452" max="8452" width="1.28515625" style="147" customWidth="1"/>
    <col min="8453" max="8453" width="10.85546875" style="147" bestFit="1" customWidth="1"/>
    <col min="8454" max="8454" width="1.85546875" style="147" customWidth="1"/>
    <col min="8455" max="8455" width="10.42578125" style="147" bestFit="1" customWidth="1"/>
    <col min="8456" max="8701" width="9.140625" style="147"/>
    <col min="8702" max="8702" width="22.140625" style="147" customWidth="1"/>
    <col min="8703" max="8703" width="9.140625" style="147"/>
    <col min="8704" max="8704" width="10.5703125" style="147" customWidth="1"/>
    <col min="8705" max="8705" width="11.7109375" style="147" customWidth="1"/>
    <col min="8706" max="8706" width="16.28515625" style="147" customWidth="1"/>
    <col min="8707" max="8707" width="11.42578125" style="147" customWidth="1"/>
    <col min="8708" max="8708" width="1.28515625" style="147" customWidth="1"/>
    <col min="8709" max="8709" width="10.85546875" style="147" bestFit="1" customWidth="1"/>
    <col min="8710" max="8710" width="1.85546875" style="147" customWidth="1"/>
    <col min="8711" max="8711" width="10.42578125" style="147" bestFit="1" customWidth="1"/>
    <col min="8712" max="8957" width="9.140625" style="147"/>
    <col min="8958" max="8958" width="22.140625" style="147" customWidth="1"/>
    <col min="8959" max="8959" width="9.140625" style="147"/>
    <col min="8960" max="8960" width="10.5703125" style="147" customWidth="1"/>
    <col min="8961" max="8961" width="11.7109375" style="147" customWidth="1"/>
    <col min="8962" max="8962" width="16.28515625" style="147" customWidth="1"/>
    <col min="8963" max="8963" width="11.42578125" style="147" customWidth="1"/>
    <col min="8964" max="8964" width="1.28515625" style="147" customWidth="1"/>
    <col min="8965" max="8965" width="10.85546875" style="147" bestFit="1" customWidth="1"/>
    <col min="8966" max="8966" width="1.85546875" style="147" customWidth="1"/>
    <col min="8967" max="8967" width="10.42578125" style="147" bestFit="1" customWidth="1"/>
    <col min="8968" max="9213" width="9.140625" style="147"/>
    <col min="9214" max="9214" width="22.140625" style="147" customWidth="1"/>
    <col min="9215" max="9215" width="9.140625" style="147"/>
    <col min="9216" max="9216" width="10.5703125" style="147" customWidth="1"/>
    <col min="9217" max="9217" width="11.7109375" style="147" customWidth="1"/>
    <col min="9218" max="9218" width="16.28515625" style="147" customWidth="1"/>
    <col min="9219" max="9219" width="11.42578125" style="147" customWidth="1"/>
    <col min="9220" max="9220" width="1.28515625" style="147" customWidth="1"/>
    <col min="9221" max="9221" width="10.85546875" style="147" bestFit="1" customWidth="1"/>
    <col min="9222" max="9222" width="1.85546875" style="147" customWidth="1"/>
    <col min="9223" max="9223" width="10.42578125" style="147" bestFit="1" customWidth="1"/>
    <col min="9224" max="9469" width="9.140625" style="147"/>
    <col min="9470" max="9470" width="22.140625" style="147" customWidth="1"/>
    <col min="9471" max="9471" width="9.140625" style="147"/>
    <col min="9472" max="9472" width="10.5703125" style="147" customWidth="1"/>
    <col min="9473" max="9473" width="11.7109375" style="147" customWidth="1"/>
    <col min="9474" max="9474" width="16.28515625" style="147" customWidth="1"/>
    <col min="9475" max="9475" width="11.42578125" style="147" customWidth="1"/>
    <col min="9476" max="9476" width="1.28515625" style="147" customWidth="1"/>
    <col min="9477" max="9477" width="10.85546875" style="147" bestFit="1" customWidth="1"/>
    <col min="9478" max="9478" width="1.85546875" style="147" customWidth="1"/>
    <col min="9479" max="9479" width="10.42578125" style="147" bestFit="1" customWidth="1"/>
    <col min="9480" max="9725" width="9.140625" style="147"/>
    <col min="9726" max="9726" width="22.140625" style="147" customWidth="1"/>
    <col min="9727" max="9727" width="9.140625" style="147"/>
    <col min="9728" max="9728" width="10.5703125" style="147" customWidth="1"/>
    <col min="9729" max="9729" width="11.7109375" style="147" customWidth="1"/>
    <col min="9730" max="9730" width="16.28515625" style="147" customWidth="1"/>
    <col min="9731" max="9731" width="11.42578125" style="147" customWidth="1"/>
    <col min="9732" max="9732" width="1.28515625" style="147" customWidth="1"/>
    <col min="9733" max="9733" width="10.85546875" style="147" bestFit="1" customWidth="1"/>
    <col min="9734" max="9734" width="1.85546875" style="147" customWidth="1"/>
    <col min="9735" max="9735" width="10.42578125" style="147" bestFit="1" customWidth="1"/>
    <col min="9736" max="9981" width="9.140625" style="147"/>
    <col min="9982" max="9982" width="22.140625" style="147" customWidth="1"/>
    <col min="9983" max="9983" width="9.140625" style="147"/>
    <col min="9984" max="9984" width="10.5703125" style="147" customWidth="1"/>
    <col min="9985" max="9985" width="11.7109375" style="147" customWidth="1"/>
    <col min="9986" max="9986" width="16.28515625" style="147" customWidth="1"/>
    <col min="9987" max="9987" width="11.42578125" style="147" customWidth="1"/>
    <col min="9988" max="9988" width="1.28515625" style="147" customWidth="1"/>
    <col min="9989" max="9989" width="10.85546875" style="147" bestFit="1" customWidth="1"/>
    <col min="9990" max="9990" width="1.85546875" style="147" customWidth="1"/>
    <col min="9991" max="9991" width="10.42578125" style="147" bestFit="1" customWidth="1"/>
    <col min="9992" max="10237" width="9.140625" style="147"/>
    <col min="10238" max="10238" width="22.140625" style="147" customWidth="1"/>
    <col min="10239" max="10239" width="9.140625" style="147"/>
    <col min="10240" max="10240" width="10.5703125" style="147" customWidth="1"/>
    <col min="10241" max="10241" width="11.7109375" style="147" customWidth="1"/>
    <col min="10242" max="10242" width="16.28515625" style="147" customWidth="1"/>
    <col min="10243" max="10243" width="11.42578125" style="147" customWidth="1"/>
    <col min="10244" max="10244" width="1.28515625" style="147" customWidth="1"/>
    <col min="10245" max="10245" width="10.85546875" style="147" bestFit="1" customWidth="1"/>
    <col min="10246" max="10246" width="1.85546875" style="147" customWidth="1"/>
    <col min="10247" max="10247" width="10.42578125" style="147" bestFit="1" customWidth="1"/>
    <col min="10248" max="10493" width="9.140625" style="147"/>
    <col min="10494" max="10494" width="22.140625" style="147" customWidth="1"/>
    <col min="10495" max="10495" width="9.140625" style="147"/>
    <col min="10496" max="10496" width="10.5703125" style="147" customWidth="1"/>
    <col min="10497" max="10497" width="11.7109375" style="147" customWidth="1"/>
    <col min="10498" max="10498" width="16.28515625" style="147" customWidth="1"/>
    <col min="10499" max="10499" width="11.42578125" style="147" customWidth="1"/>
    <col min="10500" max="10500" width="1.28515625" style="147" customWidth="1"/>
    <col min="10501" max="10501" width="10.85546875" style="147" bestFit="1" customWidth="1"/>
    <col min="10502" max="10502" width="1.85546875" style="147" customWidth="1"/>
    <col min="10503" max="10503" width="10.42578125" style="147" bestFit="1" customWidth="1"/>
    <col min="10504" max="10749" width="9.140625" style="147"/>
    <col min="10750" max="10750" width="22.140625" style="147" customWidth="1"/>
    <col min="10751" max="10751" width="9.140625" style="147"/>
    <col min="10752" max="10752" width="10.5703125" style="147" customWidth="1"/>
    <col min="10753" max="10753" width="11.7109375" style="147" customWidth="1"/>
    <col min="10754" max="10754" width="16.28515625" style="147" customWidth="1"/>
    <col min="10755" max="10755" width="11.42578125" style="147" customWidth="1"/>
    <col min="10756" max="10756" width="1.28515625" style="147" customWidth="1"/>
    <col min="10757" max="10757" width="10.85546875" style="147" bestFit="1" customWidth="1"/>
    <col min="10758" max="10758" width="1.85546875" style="147" customWidth="1"/>
    <col min="10759" max="10759" width="10.42578125" style="147" bestFit="1" customWidth="1"/>
    <col min="10760" max="11005" width="9.140625" style="147"/>
    <col min="11006" max="11006" width="22.140625" style="147" customWidth="1"/>
    <col min="11007" max="11007" width="9.140625" style="147"/>
    <col min="11008" max="11008" width="10.5703125" style="147" customWidth="1"/>
    <col min="11009" max="11009" width="11.7109375" style="147" customWidth="1"/>
    <col min="11010" max="11010" width="16.28515625" style="147" customWidth="1"/>
    <col min="11011" max="11011" width="11.42578125" style="147" customWidth="1"/>
    <col min="11012" max="11012" width="1.28515625" style="147" customWidth="1"/>
    <col min="11013" max="11013" width="10.85546875" style="147" bestFit="1" customWidth="1"/>
    <col min="11014" max="11014" width="1.85546875" style="147" customWidth="1"/>
    <col min="11015" max="11015" width="10.42578125" style="147" bestFit="1" customWidth="1"/>
    <col min="11016" max="11261" width="9.140625" style="147"/>
    <col min="11262" max="11262" width="22.140625" style="147" customWidth="1"/>
    <col min="11263" max="11263" width="9.140625" style="147"/>
    <col min="11264" max="11264" width="10.5703125" style="147" customWidth="1"/>
    <col min="11265" max="11265" width="11.7109375" style="147" customWidth="1"/>
    <col min="11266" max="11266" width="16.28515625" style="147" customWidth="1"/>
    <col min="11267" max="11267" width="11.42578125" style="147" customWidth="1"/>
    <col min="11268" max="11268" width="1.28515625" style="147" customWidth="1"/>
    <col min="11269" max="11269" width="10.85546875" style="147" bestFit="1" customWidth="1"/>
    <col min="11270" max="11270" width="1.85546875" style="147" customWidth="1"/>
    <col min="11271" max="11271" width="10.42578125" style="147" bestFit="1" customWidth="1"/>
    <col min="11272" max="11517" width="9.140625" style="147"/>
    <col min="11518" max="11518" width="22.140625" style="147" customWidth="1"/>
    <col min="11519" max="11519" width="9.140625" style="147"/>
    <col min="11520" max="11520" width="10.5703125" style="147" customWidth="1"/>
    <col min="11521" max="11521" width="11.7109375" style="147" customWidth="1"/>
    <col min="11522" max="11522" width="16.28515625" style="147" customWidth="1"/>
    <col min="11523" max="11523" width="11.42578125" style="147" customWidth="1"/>
    <col min="11524" max="11524" width="1.28515625" style="147" customWidth="1"/>
    <col min="11525" max="11525" width="10.85546875" style="147" bestFit="1" customWidth="1"/>
    <col min="11526" max="11526" width="1.85546875" style="147" customWidth="1"/>
    <col min="11527" max="11527" width="10.42578125" style="147" bestFit="1" customWidth="1"/>
    <col min="11528" max="11773" width="9.140625" style="147"/>
    <col min="11774" max="11774" width="22.140625" style="147" customWidth="1"/>
    <col min="11775" max="11775" width="9.140625" style="147"/>
    <col min="11776" max="11776" width="10.5703125" style="147" customWidth="1"/>
    <col min="11777" max="11777" width="11.7109375" style="147" customWidth="1"/>
    <col min="11778" max="11778" width="16.28515625" style="147" customWidth="1"/>
    <col min="11779" max="11779" width="11.42578125" style="147" customWidth="1"/>
    <col min="11780" max="11780" width="1.28515625" style="147" customWidth="1"/>
    <col min="11781" max="11781" width="10.85546875" style="147" bestFit="1" customWidth="1"/>
    <col min="11782" max="11782" width="1.85546875" style="147" customWidth="1"/>
    <col min="11783" max="11783" width="10.42578125" style="147" bestFit="1" customWidth="1"/>
    <col min="11784" max="12029" width="9.140625" style="147"/>
    <col min="12030" max="12030" width="22.140625" style="147" customWidth="1"/>
    <col min="12031" max="12031" width="9.140625" style="147"/>
    <col min="12032" max="12032" width="10.5703125" style="147" customWidth="1"/>
    <col min="12033" max="12033" width="11.7109375" style="147" customWidth="1"/>
    <col min="12034" max="12034" width="16.28515625" style="147" customWidth="1"/>
    <col min="12035" max="12035" width="11.42578125" style="147" customWidth="1"/>
    <col min="12036" max="12036" width="1.28515625" style="147" customWidth="1"/>
    <col min="12037" max="12037" width="10.85546875" style="147" bestFit="1" customWidth="1"/>
    <col min="12038" max="12038" width="1.85546875" style="147" customWidth="1"/>
    <col min="12039" max="12039" width="10.42578125" style="147" bestFit="1" customWidth="1"/>
    <col min="12040" max="12285" width="9.140625" style="147"/>
    <col min="12286" max="12286" width="22.140625" style="147" customWidth="1"/>
    <col min="12287" max="12287" width="9.140625" style="147"/>
    <col min="12288" max="12288" width="10.5703125" style="147" customWidth="1"/>
    <col min="12289" max="12289" width="11.7109375" style="147" customWidth="1"/>
    <col min="12290" max="12290" width="16.28515625" style="147" customWidth="1"/>
    <col min="12291" max="12291" width="11.42578125" style="147" customWidth="1"/>
    <col min="12292" max="12292" width="1.28515625" style="147" customWidth="1"/>
    <col min="12293" max="12293" width="10.85546875" style="147" bestFit="1" customWidth="1"/>
    <col min="12294" max="12294" width="1.85546875" style="147" customWidth="1"/>
    <col min="12295" max="12295" width="10.42578125" style="147" bestFit="1" customWidth="1"/>
    <col min="12296" max="12541" width="9.140625" style="147"/>
    <col min="12542" max="12542" width="22.140625" style="147" customWidth="1"/>
    <col min="12543" max="12543" width="9.140625" style="147"/>
    <col min="12544" max="12544" width="10.5703125" style="147" customWidth="1"/>
    <col min="12545" max="12545" width="11.7109375" style="147" customWidth="1"/>
    <col min="12546" max="12546" width="16.28515625" style="147" customWidth="1"/>
    <col min="12547" max="12547" width="11.42578125" style="147" customWidth="1"/>
    <col min="12548" max="12548" width="1.28515625" style="147" customWidth="1"/>
    <col min="12549" max="12549" width="10.85546875" style="147" bestFit="1" customWidth="1"/>
    <col min="12550" max="12550" width="1.85546875" style="147" customWidth="1"/>
    <col min="12551" max="12551" width="10.42578125" style="147" bestFit="1" customWidth="1"/>
    <col min="12552" max="12797" width="9.140625" style="147"/>
    <col min="12798" max="12798" width="22.140625" style="147" customWidth="1"/>
    <col min="12799" max="12799" width="9.140625" style="147"/>
    <col min="12800" max="12800" width="10.5703125" style="147" customWidth="1"/>
    <col min="12801" max="12801" width="11.7109375" style="147" customWidth="1"/>
    <col min="12802" max="12802" width="16.28515625" style="147" customWidth="1"/>
    <col min="12803" max="12803" width="11.42578125" style="147" customWidth="1"/>
    <col min="12804" max="12804" width="1.28515625" style="147" customWidth="1"/>
    <col min="12805" max="12805" width="10.85546875" style="147" bestFit="1" customWidth="1"/>
    <col min="12806" max="12806" width="1.85546875" style="147" customWidth="1"/>
    <col min="12807" max="12807" width="10.42578125" style="147" bestFit="1" customWidth="1"/>
    <col min="12808" max="13053" width="9.140625" style="147"/>
    <col min="13054" max="13054" width="22.140625" style="147" customWidth="1"/>
    <col min="13055" max="13055" width="9.140625" style="147"/>
    <col min="13056" max="13056" width="10.5703125" style="147" customWidth="1"/>
    <col min="13057" max="13057" width="11.7109375" style="147" customWidth="1"/>
    <col min="13058" max="13058" width="16.28515625" style="147" customWidth="1"/>
    <col min="13059" max="13059" width="11.42578125" style="147" customWidth="1"/>
    <col min="13060" max="13060" width="1.28515625" style="147" customWidth="1"/>
    <col min="13061" max="13061" width="10.85546875" style="147" bestFit="1" customWidth="1"/>
    <col min="13062" max="13062" width="1.85546875" style="147" customWidth="1"/>
    <col min="13063" max="13063" width="10.42578125" style="147" bestFit="1" customWidth="1"/>
    <col min="13064" max="13309" width="9.140625" style="147"/>
    <col min="13310" max="13310" width="22.140625" style="147" customWidth="1"/>
    <col min="13311" max="13311" width="9.140625" style="147"/>
    <col min="13312" max="13312" width="10.5703125" style="147" customWidth="1"/>
    <col min="13313" max="13313" width="11.7109375" style="147" customWidth="1"/>
    <col min="13314" max="13314" width="16.28515625" style="147" customWidth="1"/>
    <col min="13315" max="13315" width="11.42578125" style="147" customWidth="1"/>
    <col min="13316" max="13316" width="1.28515625" style="147" customWidth="1"/>
    <col min="13317" max="13317" width="10.85546875" style="147" bestFit="1" customWidth="1"/>
    <col min="13318" max="13318" width="1.85546875" style="147" customWidth="1"/>
    <col min="13319" max="13319" width="10.42578125" style="147" bestFit="1" customWidth="1"/>
    <col min="13320" max="13565" width="9.140625" style="147"/>
    <col min="13566" max="13566" width="22.140625" style="147" customWidth="1"/>
    <col min="13567" max="13567" width="9.140625" style="147"/>
    <col min="13568" max="13568" width="10.5703125" style="147" customWidth="1"/>
    <col min="13569" max="13569" width="11.7109375" style="147" customWidth="1"/>
    <col min="13570" max="13570" width="16.28515625" style="147" customWidth="1"/>
    <col min="13571" max="13571" width="11.42578125" style="147" customWidth="1"/>
    <col min="13572" max="13572" width="1.28515625" style="147" customWidth="1"/>
    <col min="13573" max="13573" width="10.85546875" style="147" bestFit="1" customWidth="1"/>
    <col min="13574" max="13574" width="1.85546875" style="147" customWidth="1"/>
    <col min="13575" max="13575" width="10.42578125" style="147" bestFit="1" customWidth="1"/>
    <col min="13576" max="13821" width="9.140625" style="147"/>
    <col min="13822" max="13822" width="22.140625" style="147" customWidth="1"/>
    <col min="13823" max="13823" width="9.140625" style="147"/>
    <col min="13824" max="13824" width="10.5703125" style="147" customWidth="1"/>
    <col min="13825" max="13825" width="11.7109375" style="147" customWidth="1"/>
    <col min="13826" max="13826" width="16.28515625" style="147" customWidth="1"/>
    <col min="13827" max="13827" width="11.42578125" style="147" customWidth="1"/>
    <col min="13828" max="13828" width="1.28515625" style="147" customWidth="1"/>
    <col min="13829" max="13829" width="10.85546875" style="147" bestFit="1" customWidth="1"/>
    <col min="13830" max="13830" width="1.85546875" style="147" customWidth="1"/>
    <col min="13831" max="13831" width="10.42578125" style="147" bestFit="1" customWidth="1"/>
    <col min="13832" max="14077" width="9.140625" style="147"/>
    <col min="14078" max="14078" width="22.140625" style="147" customWidth="1"/>
    <col min="14079" max="14079" width="9.140625" style="147"/>
    <col min="14080" max="14080" width="10.5703125" style="147" customWidth="1"/>
    <col min="14081" max="14081" width="11.7109375" style="147" customWidth="1"/>
    <col min="14082" max="14082" width="16.28515625" style="147" customWidth="1"/>
    <col min="14083" max="14083" width="11.42578125" style="147" customWidth="1"/>
    <col min="14084" max="14084" width="1.28515625" style="147" customWidth="1"/>
    <col min="14085" max="14085" width="10.85546875" style="147" bestFit="1" customWidth="1"/>
    <col min="14086" max="14086" width="1.85546875" style="147" customWidth="1"/>
    <col min="14087" max="14087" width="10.42578125" style="147" bestFit="1" customWidth="1"/>
    <col min="14088" max="14333" width="9.140625" style="147"/>
    <col min="14334" max="14334" width="22.140625" style="147" customWidth="1"/>
    <col min="14335" max="14335" width="9.140625" style="147"/>
    <col min="14336" max="14336" width="10.5703125" style="147" customWidth="1"/>
    <col min="14337" max="14337" width="11.7109375" style="147" customWidth="1"/>
    <col min="14338" max="14338" width="16.28515625" style="147" customWidth="1"/>
    <col min="14339" max="14339" width="11.42578125" style="147" customWidth="1"/>
    <col min="14340" max="14340" width="1.28515625" style="147" customWidth="1"/>
    <col min="14341" max="14341" width="10.85546875" style="147" bestFit="1" customWidth="1"/>
    <col min="14342" max="14342" width="1.85546875" style="147" customWidth="1"/>
    <col min="14343" max="14343" width="10.42578125" style="147" bestFit="1" customWidth="1"/>
    <col min="14344" max="14589" width="9.140625" style="147"/>
    <col min="14590" max="14590" width="22.140625" style="147" customWidth="1"/>
    <col min="14591" max="14591" width="9.140625" style="147"/>
    <col min="14592" max="14592" width="10.5703125" style="147" customWidth="1"/>
    <col min="14593" max="14593" width="11.7109375" style="147" customWidth="1"/>
    <col min="14594" max="14594" width="16.28515625" style="147" customWidth="1"/>
    <col min="14595" max="14595" width="11.42578125" style="147" customWidth="1"/>
    <col min="14596" max="14596" width="1.28515625" style="147" customWidth="1"/>
    <col min="14597" max="14597" width="10.85546875" style="147" bestFit="1" customWidth="1"/>
    <col min="14598" max="14598" width="1.85546875" style="147" customWidth="1"/>
    <col min="14599" max="14599" width="10.42578125" style="147" bestFit="1" customWidth="1"/>
    <col min="14600" max="14845" width="9.140625" style="147"/>
    <col min="14846" max="14846" width="22.140625" style="147" customWidth="1"/>
    <col min="14847" max="14847" width="9.140625" style="147"/>
    <col min="14848" max="14848" width="10.5703125" style="147" customWidth="1"/>
    <col min="14849" max="14849" width="11.7109375" style="147" customWidth="1"/>
    <col min="14850" max="14850" width="16.28515625" style="147" customWidth="1"/>
    <col min="14851" max="14851" width="11.42578125" style="147" customWidth="1"/>
    <col min="14852" max="14852" width="1.28515625" style="147" customWidth="1"/>
    <col min="14853" max="14853" width="10.85546875" style="147" bestFit="1" customWidth="1"/>
    <col min="14854" max="14854" width="1.85546875" style="147" customWidth="1"/>
    <col min="14855" max="14855" width="10.42578125" style="147" bestFit="1" customWidth="1"/>
    <col min="14856" max="15101" width="9.140625" style="147"/>
    <col min="15102" max="15102" width="22.140625" style="147" customWidth="1"/>
    <col min="15103" max="15103" width="9.140625" style="147"/>
    <col min="15104" max="15104" width="10.5703125" style="147" customWidth="1"/>
    <col min="15105" max="15105" width="11.7109375" style="147" customWidth="1"/>
    <col min="15106" max="15106" width="16.28515625" style="147" customWidth="1"/>
    <col min="15107" max="15107" width="11.42578125" style="147" customWidth="1"/>
    <col min="15108" max="15108" width="1.28515625" style="147" customWidth="1"/>
    <col min="15109" max="15109" width="10.85546875" style="147" bestFit="1" customWidth="1"/>
    <col min="15110" max="15110" width="1.85546875" style="147" customWidth="1"/>
    <col min="15111" max="15111" width="10.42578125" style="147" bestFit="1" customWidth="1"/>
    <col min="15112" max="15357" width="9.140625" style="147"/>
    <col min="15358" max="15358" width="22.140625" style="147" customWidth="1"/>
    <col min="15359" max="15359" width="9.140625" style="147"/>
    <col min="15360" max="15360" width="10.5703125" style="147" customWidth="1"/>
    <col min="15361" max="15361" width="11.7109375" style="147" customWidth="1"/>
    <col min="15362" max="15362" width="16.28515625" style="147" customWidth="1"/>
    <col min="15363" max="15363" width="11.42578125" style="147" customWidth="1"/>
    <col min="15364" max="15364" width="1.28515625" style="147" customWidth="1"/>
    <col min="15365" max="15365" width="10.85546875" style="147" bestFit="1" customWidth="1"/>
    <col min="15366" max="15366" width="1.85546875" style="147" customWidth="1"/>
    <col min="15367" max="15367" width="10.42578125" style="147" bestFit="1" customWidth="1"/>
    <col min="15368" max="15613" width="9.140625" style="147"/>
    <col min="15614" max="15614" width="22.140625" style="147" customWidth="1"/>
    <col min="15615" max="15615" width="9.140625" style="147"/>
    <col min="15616" max="15616" width="10.5703125" style="147" customWidth="1"/>
    <col min="15617" max="15617" width="11.7109375" style="147" customWidth="1"/>
    <col min="15618" max="15618" width="16.28515625" style="147" customWidth="1"/>
    <col min="15619" max="15619" width="11.42578125" style="147" customWidth="1"/>
    <col min="15620" max="15620" width="1.28515625" style="147" customWidth="1"/>
    <col min="15621" max="15621" width="10.85546875" style="147" bestFit="1" customWidth="1"/>
    <col min="15622" max="15622" width="1.85546875" style="147" customWidth="1"/>
    <col min="15623" max="15623" width="10.42578125" style="147" bestFit="1" customWidth="1"/>
    <col min="15624" max="15869" width="9.140625" style="147"/>
    <col min="15870" max="15870" width="22.140625" style="147" customWidth="1"/>
    <col min="15871" max="15871" width="9.140625" style="147"/>
    <col min="15872" max="15872" width="10.5703125" style="147" customWidth="1"/>
    <col min="15873" max="15873" width="11.7109375" style="147" customWidth="1"/>
    <col min="15874" max="15874" width="16.28515625" style="147" customWidth="1"/>
    <col min="15875" max="15875" width="11.42578125" style="147" customWidth="1"/>
    <col min="15876" max="15876" width="1.28515625" style="147" customWidth="1"/>
    <col min="15877" max="15877" width="10.85546875" style="147" bestFit="1" customWidth="1"/>
    <col min="15878" max="15878" width="1.85546875" style="147" customWidth="1"/>
    <col min="15879" max="15879" width="10.42578125" style="147" bestFit="1" customWidth="1"/>
    <col min="15880" max="16125" width="9.140625" style="147"/>
    <col min="16126" max="16126" width="22.140625" style="147" customWidth="1"/>
    <col min="16127" max="16127" width="9.140625" style="147"/>
    <col min="16128" max="16128" width="10.5703125" style="147" customWidth="1"/>
    <col min="16129" max="16129" width="11.7109375" style="147" customWidth="1"/>
    <col min="16130" max="16130" width="16.28515625" style="147" customWidth="1"/>
    <col min="16131" max="16131" width="11.42578125" style="147" customWidth="1"/>
    <col min="16132" max="16132" width="1.28515625" style="147" customWidth="1"/>
    <col min="16133" max="16133" width="10.85546875" style="147" bestFit="1" customWidth="1"/>
    <col min="16134" max="16134" width="1.85546875" style="147" customWidth="1"/>
    <col min="16135" max="16135" width="10.42578125" style="147" bestFit="1" customWidth="1"/>
    <col min="16136" max="16384" width="9.140625" style="147"/>
  </cols>
  <sheetData>
    <row r="1" spans="1:26">
      <c r="A1" s="267" t="s">
        <v>238</v>
      </c>
      <c r="B1" s="267"/>
      <c r="C1" s="267"/>
      <c r="D1" s="267"/>
      <c r="E1" s="267"/>
      <c r="F1" s="267"/>
      <c r="G1" s="267"/>
      <c r="H1" s="267"/>
      <c r="I1" s="267"/>
      <c r="J1" s="267"/>
      <c r="K1" s="267"/>
      <c r="L1" s="267"/>
      <c r="M1" s="267"/>
      <c r="N1" s="267"/>
      <c r="O1" s="267"/>
      <c r="P1" s="267"/>
      <c r="Q1" s="267"/>
      <c r="R1" s="267"/>
      <c r="S1" s="267"/>
      <c r="T1" s="267"/>
      <c r="U1" s="267"/>
      <c r="V1" s="267"/>
    </row>
    <row r="2" spans="1:26">
      <c r="A2" s="267" t="s">
        <v>292</v>
      </c>
      <c r="B2" s="267"/>
      <c r="C2" s="267"/>
      <c r="D2" s="267"/>
      <c r="E2" s="267"/>
      <c r="F2" s="267"/>
      <c r="G2" s="267"/>
      <c r="H2" s="267"/>
      <c r="I2" s="267"/>
      <c r="J2" s="267"/>
      <c r="K2" s="267"/>
      <c r="L2" s="267"/>
      <c r="M2" s="267"/>
      <c r="N2" s="267"/>
      <c r="O2" s="267"/>
      <c r="P2" s="267"/>
      <c r="Q2" s="267"/>
      <c r="R2" s="267"/>
      <c r="S2" s="267"/>
      <c r="T2" s="267"/>
      <c r="U2" s="267"/>
      <c r="V2" s="267"/>
    </row>
    <row r="3" spans="1:26">
      <c r="A3" s="267" t="s">
        <v>308</v>
      </c>
      <c r="B3" s="267"/>
      <c r="C3" s="267"/>
      <c r="D3" s="267"/>
      <c r="E3" s="267"/>
      <c r="F3" s="267"/>
      <c r="G3" s="267"/>
      <c r="H3" s="267"/>
      <c r="I3" s="267"/>
      <c r="J3" s="267"/>
      <c r="K3" s="267"/>
      <c r="L3" s="267"/>
      <c r="M3" s="267"/>
      <c r="N3" s="267"/>
      <c r="O3" s="267"/>
      <c r="P3" s="267"/>
      <c r="Q3" s="267"/>
      <c r="R3" s="267"/>
      <c r="S3" s="267"/>
      <c r="T3" s="267"/>
      <c r="U3" s="267"/>
      <c r="V3" s="267"/>
    </row>
    <row r="4" spans="1:26" ht="13.5" thickBot="1">
      <c r="A4" s="267" t="s">
        <v>315</v>
      </c>
      <c r="B4" s="267"/>
      <c r="C4" s="267"/>
      <c r="D4" s="267"/>
      <c r="E4" s="267"/>
      <c r="F4" s="267"/>
      <c r="G4" s="267"/>
      <c r="H4" s="267"/>
      <c r="I4" s="267"/>
      <c r="J4" s="267"/>
      <c r="K4" s="267"/>
      <c r="L4" s="267"/>
      <c r="M4" s="267"/>
      <c r="N4" s="267"/>
      <c r="O4" s="267"/>
      <c r="P4" s="267"/>
      <c r="Q4" s="267"/>
      <c r="R4" s="267"/>
      <c r="S4" s="267"/>
      <c r="T4" s="267"/>
      <c r="U4" s="267"/>
      <c r="V4" s="267"/>
      <c r="W4" s="207"/>
    </row>
    <row r="5" spans="1:26" ht="13.5" customHeight="1" thickBot="1">
      <c r="A5" s="207"/>
      <c r="B5" s="207"/>
      <c r="C5" s="270" t="s">
        <v>309</v>
      </c>
      <c r="D5" s="271"/>
      <c r="E5" s="271"/>
      <c r="F5" s="271"/>
      <c r="G5" s="271"/>
      <c r="H5" s="271"/>
      <c r="I5" s="271"/>
      <c r="J5" s="272"/>
      <c r="K5" s="207"/>
      <c r="L5" s="207"/>
      <c r="M5" s="273" t="s">
        <v>321</v>
      </c>
      <c r="N5" s="274"/>
      <c r="O5" s="274"/>
      <c r="P5" s="274"/>
      <c r="Q5" s="274"/>
      <c r="R5" s="274"/>
      <c r="S5" s="274"/>
      <c r="T5" s="275"/>
      <c r="U5" s="171"/>
      <c r="V5" s="281" t="s">
        <v>326</v>
      </c>
      <c r="W5" s="229"/>
    </row>
    <row r="6" spans="1:26" ht="25.5">
      <c r="A6" s="171"/>
      <c r="B6" s="171"/>
      <c r="C6" s="171"/>
      <c r="D6" s="171"/>
      <c r="E6" s="245" t="s">
        <v>293</v>
      </c>
      <c r="F6" s="245" t="s">
        <v>248</v>
      </c>
      <c r="G6" s="171"/>
      <c r="H6" s="246" t="s">
        <v>294</v>
      </c>
      <c r="I6" s="224"/>
      <c r="J6" s="171"/>
      <c r="K6" s="171"/>
      <c r="L6" s="171"/>
      <c r="M6" s="171"/>
      <c r="N6" s="171"/>
      <c r="O6" s="245" t="s">
        <v>293</v>
      </c>
      <c r="P6" s="245" t="s">
        <v>248</v>
      </c>
      <c r="Q6" s="171"/>
      <c r="R6" s="246" t="s">
        <v>294</v>
      </c>
      <c r="S6" s="224"/>
      <c r="T6" s="171"/>
      <c r="U6" s="171"/>
      <c r="V6" s="282"/>
      <c r="W6" s="230"/>
    </row>
    <row r="7" spans="1:26">
      <c r="A7" s="171"/>
      <c r="B7" s="171"/>
      <c r="C7" s="171"/>
      <c r="D7" s="245" t="s">
        <v>245</v>
      </c>
      <c r="E7" s="245" t="s">
        <v>295</v>
      </c>
      <c r="F7" s="245" t="s">
        <v>296</v>
      </c>
      <c r="G7" s="245"/>
      <c r="H7" s="245" t="s">
        <v>32</v>
      </c>
      <c r="I7" s="224"/>
      <c r="J7" s="245" t="s">
        <v>32</v>
      </c>
      <c r="K7" s="245"/>
      <c r="L7" s="171"/>
      <c r="M7" s="171"/>
      <c r="N7" s="247" t="s">
        <v>311</v>
      </c>
      <c r="O7" s="245" t="s">
        <v>295</v>
      </c>
      <c r="P7" s="245" t="s">
        <v>296</v>
      </c>
      <c r="Q7" s="245"/>
      <c r="R7" s="245" t="s">
        <v>32</v>
      </c>
      <c r="S7" s="224"/>
      <c r="T7" s="245" t="s">
        <v>32</v>
      </c>
      <c r="U7" s="171"/>
      <c r="V7" s="248" t="s">
        <v>312</v>
      </c>
      <c r="W7" s="210"/>
    </row>
    <row r="8" spans="1:26">
      <c r="A8" s="171"/>
      <c r="B8" s="171"/>
      <c r="C8" s="171"/>
      <c r="D8" s="245" t="s">
        <v>246</v>
      </c>
      <c r="E8" s="249" t="s">
        <v>297</v>
      </c>
      <c r="F8" s="245" t="s">
        <v>246</v>
      </c>
      <c r="G8" s="245"/>
      <c r="H8" s="245" t="s">
        <v>247</v>
      </c>
      <c r="I8" s="224"/>
      <c r="J8" s="245" t="s">
        <v>298</v>
      </c>
      <c r="K8" s="245"/>
      <c r="L8" s="171"/>
      <c r="M8" s="171"/>
      <c r="N8" s="247" t="s">
        <v>245</v>
      </c>
      <c r="O8" s="249" t="s">
        <v>297</v>
      </c>
      <c r="P8" s="245" t="s">
        <v>246</v>
      </c>
      <c r="Q8" s="245"/>
      <c r="R8" s="245" t="s">
        <v>247</v>
      </c>
      <c r="S8" s="224"/>
      <c r="T8" s="245" t="s">
        <v>298</v>
      </c>
      <c r="U8" s="171"/>
      <c r="V8" s="248" t="s">
        <v>247</v>
      </c>
      <c r="W8" s="210"/>
    </row>
    <row r="9" spans="1:26">
      <c r="A9" s="171"/>
      <c r="B9" s="171"/>
      <c r="C9" s="171"/>
      <c r="D9" s="250" t="s">
        <v>3</v>
      </c>
      <c r="E9" s="250" t="s">
        <v>3</v>
      </c>
      <c r="F9" s="250" t="s">
        <v>3</v>
      </c>
      <c r="G9" s="250"/>
      <c r="H9" s="250" t="s">
        <v>313</v>
      </c>
      <c r="I9" s="251"/>
      <c r="J9" s="250" t="s">
        <v>3</v>
      </c>
      <c r="K9" s="250"/>
      <c r="L9" s="171"/>
      <c r="M9" s="171"/>
      <c r="N9" s="247" t="s">
        <v>246</v>
      </c>
      <c r="O9" s="250" t="s">
        <v>3</v>
      </c>
      <c r="P9" s="250" t="s">
        <v>3</v>
      </c>
      <c r="Q9" s="250"/>
      <c r="R9" s="250" t="s">
        <v>314</v>
      </c>
      <c r="S9" s="251"/>
      <c r="T9" s="250" t="s">
        <v>3</v>
      </c>
      <c r="U9" s="171"/>
      <c r="V9" s="252" t="s">
        <v>3</v>
      </c>
      <c r="W9" s="210"/>
    </row>
    <row r="10" spans="1:26" ht="26.25" customHeight="1">
      <c r="A10" s="147" t="s">
        <v>250</v>
      </c>
      <c r="F10" s="155"/>
      <c r="G10" s="155"/>
      <c r="H10" s="228">
        <v>0.64710000000000001</v>
      </c>
      <c r="I10" s="197"/>
      <c r="J10" s="158">
        <f>100%-H10</f>
        <v>0.35289999999999999</v>
      </c>
      <c r="K10" s="158"/>
      <c r="P10" s="155"/>
      <c r="Q10" s="155"/>
      <c r="R10" s="228">
        <v>0.65629999999999999</v>
      </c>
      <c r="S10" s="197"/>
      <c r="T10" s="158">
        <f>100%-R10</f>
        <v>0.34370000000000001</v>
      </c>
      <c r="V10" s="212"/>
      <c r="W10" s="213"/>
    </row>
    <row r="11" spans="1:26">
      <c r="I11" s="149"/>
      <c r="S11" s="149"/>
      <c r="V11" s="214"/>
      <c r="W11" s="210"/>
    </row>
    <row r="12" spans="1:26">
      <c r="A12" s="147" t="s">
        <v>251</v>
      </c>
      <c r="D12" s="159">
        <f>'BR_10.4 PS Adj detail'!D91</f>
        <v>130837</v>
      </c>
      <c r="E12" s="159"/>
      <c r="F12" s="159">
        <f>SUM(D12:E12)</f>
        <v>130837</v>
      </c>
      <c r="G12" s="159"/>
      <c r="H12" s="159">
        <f>H$10*F12</f>
        <v>84664.622700000007</v>
      </c>
      <c r="I12" s="160"/>
      <c r="J12" s="159">
        <f>J$10*F12</f>
        <v>46172.3773</v>
      </c>
      <c r="K12" s="159"/>
      <c r="L12" s="159"/>
      <c r="N12" s="159">
        <v>57503.580051619967</v>
      </c>
      <c r="O12" s="159"/>
      <c r="P12" s="159">
        <f>SUM(N12:O12)</f>
        <v>57503.580051619967</v>
      </c>
      <c r="Q12" s="159"/>
      <c r="R12" s="159">
        <f>R$10*P12</f>
        <v>37739.599587878183</v>
      </c>
      <c r="S12" s="160"/>
      <c r="T12" s="159">
        <f>T$10*P12</f>
        <v>19763.980463741784</v>
      </c>
      <c r="V12" s="215">
        <f>R12-H12</f>
        <v>-46925.023112121824</v>
      </c>
      <c r="W12" s="210"/>
      <c r="X12" s="159">
        <f>P12-F12</f>
        <v>-73333.419948380033</v>
      </c>
      <c r="Y12" s="159">
        <f>X12*$R$10</f>
        <v>-48128.723512121818</v>
      </c>
      <c r="Z12" s="159">
        <f>Y12-V12</f>
        <v>-1203.7003999999943</v>
      </c>
    </row>
    <row r="13" spans="1:26">
      <c r="A13" s="147" t="s">
        <v>252</v>
      </c>
      <c r="D13" s="161">
        <f>'BR_10.4 PS Adj detail'!D100</f>
        <v>418</v>
      </c>
      <c r="E13" s="161"/>
      <c r="F13" s="198">
        <f>SUM(D13:E13)</f>
        <v>418</v>
      </c>
      <c r="G13" s="161"/>
      <c r="H13" s="161">
        <f>H$10*F13</f>
        <v>270.48779999999999</v>
      </c>
      <c r="I13" s="162"/>
      <c r="J13" s="161">
        <f>J$10*F13</f>
        <v>147.51220000000001</v>
      </c>
      <c r="K13" s="161"/>
      <c r="L13" s="159"/>
      <c r="N13" s="161">
        <v>466</v>
      </c>
      <c r="O13" s="161"/>
      <c r="P13" s="198">
        <f>SUM(N13:O13)</f>
        <v>466</v>
      </c>
      <c r="Q13" s="161"/>
      <c r="R13" s="161">
        <f>R$10*P13</f>
        <v>305.83580000000001</v>
      </c>
      <c r="S13" s="162"/>
      <c r="T13" s="161">
        <f>T$10*P13</f>
        <v>160.16419999999999</v>
      </c>
      <c r="V13" s="215">
        <f t="shared" ref="V13:V16" si="0">R13-H13</f>
        <v>35.348000000000013</v>
      </c>
      <c r="W13" s="210"/>
      <c r="X13" s="159">
        <f t="shared" ref="X13:X33" si="1">P13-F13</f>
        <v>48</v>
      </c>
      <c r="Y13" s="159">
        <f t="shared" ref="Y13:Y33" si="2">X13*$R$10</f>
        <v>31.502400000000002</v>
      </c>
      <c r="Z13" s="159">
        <f t="shared" ref="Z13:Z34" si="3">Y13-V13</f>
        <v>-3.8456000000000117</v>
      </c>
    </row>
    <row r="14" spans="1:26">
      <c r="A14" s="147" t="s">
        <v>253</v>
      </c>
      <c r="D14" s="161">
        <v>0</v>
      </c>
      <c r="E14" s="161"/>
      <c r="F14" s="198">
        <f>SUM(D14:E14)</f>
        <v>0</v>
      </c>
      <c r="G14" s="161"/>
      <c r="H14" s="161">
        <f>H$10*F14</f>
        <v>0</v>
      </c>
      <c r="I14" s="162"/>
      <c r="J14" s="161">
        <f>J$10*F14</f>
        <v>0</v>
      </c>
      <c r="K14" s="161"/>
      <c r="L14" s="159"/>
      <c r="N14" s="161">
        <v>0</v>
      </c>
      <c r="O14" s="161"/>
      <c r="P14" s="198">
        <f>SUM(N14:O14)</f>
        <v>0</v>
      </c>
      <c r="Q14" s="161"/>
      <c r="R14" s="161">
        <f>R$10*P14</f>
        <v>0</v>
      </c>
      <c r="S14" s="162"/>
      <c r="T14" s="161">
        <f>T$10*P14</f>
        <v>0</v>
      </c>
      <c r="V14" s="215">
        <f t="shared" si="0"/>
        <v>0</v>
      </c>
      <c r="W14" s="210"/>
      <c r="X14" s="159">
        <f t="shared" si="1"/>
        <v>0</v>
      </c>
      <c r="Y14" s="159">
        <f t="shared" si="2"/>
        <v>0</v>
      </c>
      <c r="Z14" s="159">
        <f t="shared" si="3"/>
        <v>0</v>
      </c>
    </row>
    <row r="15" spans="1:26">
      <c r="A15" s="147" t="s">
        <v>257</v>
      </c>
      <c r="D15" s="161">
        <f>'BR_10.4 PS Adj detail'!D97-D16</f>
        <v>98457</v>
      </c>
      <c r="E15" s="161"/>
      <c r="F15" s="198">
        <f>SUM(D15:E15)</f>
        <v>98457</v>
      </c>
      <c r="G15" s="161"/>
      <c r="H15" s="161">
        <f>H$10*F15</f>
        <v>63711.524700000002</v>
      </c>
      <c r="I15" s="162"/>
      <c r="J15" s="161">
        <f>J$10*F15</f>
        <v>34745.475299999998</v>
      </c>
      <c r="K15" s="161"/>
      <c r="L15" s="159"/>
      <c r="N15" s="161">
        <v>0</v>
      </c>
      <c r="O15" s="161"/>
      <c r="P15" s="198">
        <f>SUM(N15:O15)</f>
        <v>0</v>
      </c>
      <c r="Q15" s="161"/>
      <c r="R15" s="161">
        <f>R$10*P15</f>
        <v>0</v>
      </c>
      <c r="S15" s="162"/>
      <c r="T15" s="161">
        <f>T$10*P15</f>
        <v>0</v>
      </c>
      <c r="V15" s="215">
        <f t="shared" si="0"/>
        <v>-63711.524700000002</v>
      </c>
      <c r="W15" s="210"/>
      <c r="X15" s="159">
        <f t="shared" si="1"/>
        <v>-98457</v>
      </c>
      <c r="Y15" s="159">
        <f t="shared" si="2"/>
        <v>-64617.329100000003</v>
      </c>
      <c r="Z15" s="159">
        <f t="shared" si="3"/>
        <v>-905.8044000000009</v>
      </c>
    </row>
    <row r="16" spans="1:26">
      <c r="A16" s="147" t="s">
        <v>299</v>
      </c>
      <c r="D16" s="166">
        <f>'BR_10.4 PS Adj detail'!D95</f>
        <v>163</v>
      </c>
      <c r="E16" s="166">
        <f>-D16</f>
        <v>-163</v>
      </c>
      <c r="F16" s="199">
        <f>SUM(D16:E16)</f>
        <v>0</v>
      </c>
      <c r="G16" s="162"/>
      <c r="H16" s="200">
        <f>-E16</f>
        <v>163</v>
      </c>
      <c r="I16" s="162"/>
      <c r="J16" s="166">
        <f>J$10*F16</f>
        <v>0</v>
      </c>
      <c r="K16" s="162"/>
      <c r="L16" s="159"/>
      <c r="N16" s="166">
        <v>0</v>
      </c>
      <c r="O16" s="166">
        <f>-N16</f>
        <v>0</v>
      </c>
      <c r="P16" s="199">
        <f>SUM(N16:O16)</f>
        <v>0</v>
      </c>
      <c r="Q16" s="162"/>
      <c r="R16" s="200">
        <f>-O16</f>
        <v>0</v>
      </c>
      <c r="S16" s="162"/>
      <c r="T16" s="166">
        <f>T$10*P16</f>
        <v>0</v>
      </c>
      <c r="V16" s="216">
        <f t="shared" si="0"/>
        <v>-163</v>
      </c>
      <c r="W16" s="210"/>
      <c r="X16" s="159">
        <f t="shared" si="1"/>
        <v>0</v>
      </c>
      <c r="Y16" s="159">
        <f>V16</f>
        <v>-163</v>
      </c>
      <c r="Z16" s="159">
        <f t="shared" si="3"/>
        <v>0</v>
      </c>
    </row>
    <row r="17" spans="1:26">
      <c r="A17" s="147" t="s">
        <v>259</v>
      </c>
      <c r="D17" s="161">
        <f>SUM(D12:D16)</f>
        <v>229875</v>
      </c>
      <c r="E17" s="161">
        <f>SUM(E12:E16)</f>
        <v>-163</v>
      </c>
      <c r="F17" s="161">
        <f>SUM(F12:F16)</f>
        <v>229712</v>
      </c>
      <c r="G17" s="162"/>
      <c r="H17" s="161">
        <f>SUM(H12:H16)</f>
        <v>148809.63520000002</v>
      </c>
      <c r="I17" s="162"/>
      <c r="J17" s="161">
        <f>SUM(J12:J16)</f>
        <v>81065.364799999996</v>
      </c>
      <c r="K17" s="161"/>
      <c r="L17" s="159"/>
      <c r="N17" s="161">
        <f>SUM(N12:N16)</f>
        <v>57969.580051619967</v>
      </c>
      <c r="O17" s="161">
        <f>SUM(O12:O16)</f>
        <v>0</v>
      </c>
      <c r="P17" s="161">
        <f>SUM(P12:P16)</f>
        <v>57969.580051619967</v>
      </c>
      <c r="Q17" s="162"/>
      <c r="R17" s="161">
        <f>SUM(R12:R16)</f>
        <v>38045.435387878184</v>
      </c>
      <c r="S17" s="162"/>
      <c r="T17" s="161">
        <f>SUM(T12:T16)</f>
        <v>19924.144663741783</v>
      </c>
      <c r="V17" s="217">
        <f>SUM(V12:V16)</f>
        <v>-110764.19981212183</v>
      </c>
      <c r="W17" s="210"/>
      <c r="X17" s="159">
        <f t="shared" si="1"/>
        <v>-171742.41994838003</v>
      </c>
      <c r="Y17" s="159">
        <f>SUM(Y12:Y16)</f>
        <v>-112877.55021212183</v>
      </c>
      <c r="Z17" s="159">
        <f t="shared" si="3"/>
        <v>-2113.3503999999957</v>
      </c>
    </row>
    <row r="18" spans="1:26">
      <c r="D18" s="161"/>
      <c r="E18" s="161"/>
      <c r="F18" s="161"/>
      <c r="G18" s="162"/>
      <c r="H18" s="161"/>
      <c r="I18" s="162"/>
      <c r="J18" s="161"/>
      <c r="K18" s="161"/>
      <c r="L18" s="159"/>
      <c r="N18" s="161"/>
      <c r="O18" s="161"/>
      <c r="P18" s="161"/>
      <c r="Q18" s="162"/>
      <c r="R18" s="161"/>
      <c r="S18" s="162"/>
      <c r="T18" s="161"/>
      <c r="V18" s="218"/>
      <c r="W18" s="210"/>
      <c r="X18" s="159">
        <f t="shared" si="1"/>
        <v>0</v>
      </c>
      <c r="Y18" s="159">
        <f t="shared" si="2"/>
        <v>0</v>
      </c>
      <c r="Z18" s="159">
        <f t="shared" si="3"/>
        <v>0</v>
      </c>
    </row>
    <row r="19" spans="1:26">
      <c r="D19" s="161"/>
      <c r="E19" s="161"/>
      <c r="F19" s="161"/>
      <c r="G19" s="162"/>
      <c r="H19" s="161"/>
      <c r="I19" s="162"/>
      <c r="J19" s="161"/>
      <c r="K19" s="161"/>
      <c r="L19" s="159"/>
      <c r="N19" s="161"/>
      <c r="O19" s="161"/>
      <c r="P19" s="161"/>
      <c r="Q19" s="162"/>
      <c r="R19" s="161"/>
      <c r="S19" s="162"/>
      <c r="T19" s="161"/>
      <c r="V19" s="218"/>
      <c r="W19" s="210"/>
      <c r="X19" s="159">
        <f t="shared" si="1"/>
        <v>0</v>
      </c>
      <c r="Y19" s="159">
        <f t="shared" si="2"/>
        <v>0</v>
      </c>
      <c r="Z19" s="159">
        <f t="shared" si="3"/>
        <v>0</v>
      </c>
    </row>
    <row r="20" spans="1:26">
      <c r="A20" s="147" t="s">
        <v>260</v>
      </c>
      <c r="D20" s="161">
        <f>'BR_10.4 PS Adj detail'!D44</f>
        <v>28642</v>
      </c>
      <c r="E20" s="161"/>
      <c r="F20" s="159">
        <f>SUM(D20:E20)</f>
        <v>28642</v>
      </c>
      <c r="G20" s="162"/>
      <c r="H20" s="161">
        <f t="shared" ref="H20:H27" si="4">H$10*F20</f>
        <v>18534.2382</v>
      </c>
      <c r="I20" s="162"/>
      <c r="J20" s="161">
        <f t="shared" ref="J20:J32" si="5">J$10*F20</f>
        <v>10107.7618</v>
      </c>
      <c r="K20" s="161"/>
      <c r="L20" s="159"/>
      <c r="N20" s="161">
        <v>29225.488454362356</v>
      </c>
      <c r="O20" s="161"/>
      <c r="P20" s="159">
        <f>SUM(N20:O20)</f>
        <v>29225.488454362356</v>
      </c>
      <c r="Q20" s="162"/>
      <c r="R20" s="161">
        <f>R$10*P20</f>
        <v>19180.688072598015</v>
      </c>
      <c r="S20" s="162"/>
      <c r="T20" s="161">
        <f t="shared" ref="T20:T29" si="6">T$10*P20</f>
        <v>10044.800381764342</v>
      </c>
      <c r="V20" s="215">
        <f>R20-H20</f>
        <v>646.44987259801565</v>
      </c>
      <c r="W20" s="210"/>
      <c r="X20" s="159">
        <f t="shared" si="1"/>
        <v>583.4884543623557</v>
      </c>
      <c r="Y20" s="159">
        <f t="shared" si="2"/>
        <v>382.94347259801407</v>
      </c>
      <c r="Z20" s="159">
        <f t="shared" si="3"/>
        <v>-263.50640000000158</v>
      </c>
    </row>
    <row r="21" spans="1:26">
      <c r="A21" s="147" t="s">
        <v>261</v>
      </c>
      <c r="D21" s="161">
        <v>0</v>
      </c>
      <c r="E21" s="161"/>
      <c r="F21" s="159">
        <f>SUM(D21:E21)</f>
        <v>0</v>
      </c>
      <c r="G21" s="162"/>
      <c r="H21" s="161">
        <f t="shared" si="4"/>
        <v>0</v>
      </c>
      <c r="I21" s="162"/>
      <c r="J21" s="161">
        <f t="shared" si="5"/>
        <v>0</v>
      </c>
      <c r="K21" s="161"/>
      <c r="L21" s="159"/>
      <c r="N21" s="161">
        <v>0</v>
      </c>
      <c r="O21" s="161"/>
      <c r="P21" s="159">
        <f>SUM(N21:O21)</f>
        <v>0</v>
      </c>
      <c r="Q21" s="162"/>
      <c r="R21" s="161">
        <f t="shared" ref="R21:R27" si="7">R$10*P21</f>
        <v>0</v>
      </c>
      <c r="S21" s="162"/>
      <c r="T21" s="161">
        <f t="shared" si="6"/>
        <v>0</v>
      </c>
      <c r="V21" s="215">
        <f t="shared" ref="V21:V32" si="8">R21-H21</f>
        <v>0</v>
      </c>
      <c r="W21" s="210"/>
      <c r="X21" s="159">
        <f t="shared" si="1"/>
        <v>0</v>
      </c>
      <c r="Y21" s="159">
        <f t="shared" si="2"/>
        <v>0</v>
      </c>
      <c r="Z21" s="159">
        <f t="shared" si="3"/>
        <v>0</v>
      </c>
    </row>
    <row r="22" spans="1:26">
      <c r="A22" s="147" t="s">
        <v>262</v>
      </c>
      <c r="D22" s="161">
        <f>'BR_10.4 PS Adj detail'!D58</f>
        <v>90788</v>
      </c>
      <c r="E22" s="161"/>
      <c r="F22" s="159">
        <f>SUM(D22:E22)</f>
        <v>90788</v>
      </c>
      <c r="G22" s="162"/>
      <c r="H22" s="161">
        <f t="shared" si="4"/>
        <v>58748.914799999999</v>
      </c>
      <c r="I22" s="162"/>
      <c r="J22" s="161">
        <f t="shared" si="5"/>
        <v>32039.085199999998</v>
      </c>
      <c r="K22" s="161"/>
      <c r="L22" s="159"/>
      <c r="N22" s="161">
        <v>76583.468740542972</v>
      </c>
      <c r="O22" s="161"/>
      <c r="P22" s="159">
        <f>SUM(N22:O22)</f>
        <v>76583.468740542972</v>
      </c>
      <c r="Q22" s="162"/>
      <c r="R22" s="161">
        <f t="shared" si="7"/>
        <v>50261.730534418355</v>
      </c>
      <c r="S22" s="162"/>
      <c r="T22" s="161">
        <f t="shared" si="6"/>
        <v>26321.738206124621</v>
      </c>
      <c r="V22" s="215">
        <f t="shared" si="8"/>
        <v>-8487.1842655816436</v>
      </c>
      <c r="W22" s="210"/>
      <c r="X22" s="159">
        <f t="shared" si="1"/>
        <v>-14204.531259457028</v>
      </c>
      <c r="Y22" s="159">
        <f t="shared" si="2"/>
        <v>-9322.4338655816464</v>
      </c>
      <c r="Z22" s="159">
        <f t="shared" si="3"/>
        <v>-835.24960000000283</v>
      </c>
    </row>
    <row r="23" spans="1:26">
      <c r="A23" s="147" t="s">
        <v>263</v>
      </c>
      <c r="D23" s="161">
        <f>'BR_10.4 PS Adj detail'!D76</f>
        <v>997</v>
      </c>
      <c r="E23" s="161"/>
      <c r="F23" s="159">
        <f>SUM(D23:E23)</f>
        <v>997</v>
      </c>
      <c r="G23" s="162"/>
      <c r="H23" s="161">
        <f t="shared" si="4"/>
        <v>645.15869999999995</v>
      </c>
      <c r="I23" s="162"/>
      <c r="J23" s="161">
        <f t="shared" si="5"/>
        <v>351.84129999999999</v>
      </c>
      <c r="K23" s="161"/>
      <c r="L23" s="159"/>
      <c r="N23" s="161">
        <v>1029</v>
      </c>
      <c r="O23" s="161"/>
      <c r="P23" s="159">
        <f>SUM(N23:O23)</f>
        <v>1029</v>
      </c>
      <c r="Q23" s="162"/>
      <c r="R23" s="161">
        <f t="shared" si="7"/>
        <v>675.33270000000005</v>
      </c>
      <c r="S23" s="162"/>
      <c r="T23" s="161">
        <f t="shared" si="6"/>
        <v>353.66730000000001</v>
      </c>
      <c r="V23" s="215">
        <f t="shared" si="8"/>
        <v>30.174000000000092</v>
      </c>
      <c r="W23" s="210"/>
      <c r="X23" s="159">
        <f t="shared" si="1"/>
        <v>32</v>
      </c>
      <c r="Y23" s="159">
        <f t="shared" si="2"/>
        <v>21.0016</v>
      </c>
      <c r="Z23" s="159">
        <f t="shared" si="3"/>
        <v>-9.172400000000092</v>
      </c>
    </row>
    <row r="24" spans="1:26">
      <c r="A24" s="147" t="s">
        <v>264</v>
      </c>
      <c r="D24" s="161">
        <f>'BR_10.4 PS Adj detail'!D28</f>
        <v>177764</v>
      </c>
      <c r="E24" s="163"/>
      <c r="F24" s="159">
        <f>D24-E24</f>
        <v>177764</v>
      </c>
      <c r="G24" s="162"/>
      <c r="H24" s="161">
        <f t="shared" si="4"/>
        <v>115031.08440000001</v>
      </c>
      <c r="I24" s="162"/>
      <c r="J24" s="161">
        <f t="shared" si="5"/>
        <v>62732.9156</v>
      </c>
      <c r="K24" s="161"/>
      <c r="L24" s="159"/>
      <c r="N24" s="161">
        <v>109782.84914650724</v>
      </c>
      <c r="O24" s="163"/>
      <c r="P24" s="159">
        <f>N24-O24</f>
        <v>109782.84914650724</v>
      </c>
      <c r="Q24" s="162"/>
      <c r="R24" s="161">
        <f t="shared" si="7"/>
        <v>72050.483894852703</v>
      </c>
      <c r="S24" s="162"/>
      <c r="T24" s="161">
        <f t="shared" si="6"/>
        <v>37732.365251654541</v>
      </c>
      <c r="V24" s="215">
        <f t="shared" si="8"/>
        <v>-42980.600505147304</v>
      </c>
      <c r="W24" s="210"/>
      <c r="X24" s="159">
        <f t="shared" si="1"/>
        <v>-67981.150853492756</v>
      </c>
      <c r="Y24" s="159">
        <f t="shared" si="2"/>
        <v>-44616.029305147298</v>
      </c>
      <c r="Z24" s="159">
        <f t="shared" si="3"/>
        <v>-1635.4287999999942</v>
      </c>
    </row>
    <row r="25" spans="1:26">
      <c r="A25" s="147" t="s">
        <v>265</v>
      </c>
      <c r="D25" s="161">
        <v>0</v>
      </c>
      <c r="E25" s="161"/>
      <c r="F25" s="159">
        <f t="shared" ref="F25:F32" si="9">SUM(D25:E25)</f>
        <v>0</v>
      </c>
      <c r="G25" s="162"/>
      <c r="H25" s="161">
        <f t="shared" si="4"/>
        <v>0</v>
      </c>
      <c r="I25" s="162"/>
      <c r="J25" s="161">
        <f t="shared" si="5"/>
        <v>0</v>
      </c>
      <c r="K25" s="161"/>
      <c r="L25" s="159"/>
      <c r="N25" s="161">
        <v>0</v>
      </c>
      <c r="O25" s="161"/>
      <c r="P25" s="159">
        <f t="shared" ref="P25:P29" si="10">SUM(N25:O25)</f>
        <v>0</v>
      </c>
      <c r="Q25" s="162"/>
      <c r="R25" s="161">
        <f t="shared" si="7"/>
        <v>0</v>
      </c>
      <c r="S25" s="162"/>
      <c r="T25" s="161">
        <f t="shared" si="6"/>
        <v>0</v>
      </c>
      <c r="V25" s="215">
        <f t="shared" si="8"/>
        <v>0</v>
      </c>
      <c r="W25" s="210"/>
      <c r="X25" s="159">
        <f t="shared" si="1"/>
        <v>0</v>
      </c>
      <c r="Y25" s="159">
        <f t="shared" si="2"/>
        <v>0</v>
      </c>
      <c r="Z25" s="159">
        <f t="shared" si="3"/>
        <v>0</v>
      </c>
    </row>
    <row r="26" spans="1:26">
      <c r="A26" s="147" t="s">
        <v>266</v>
      </c>
      <c r="D26" s="161">
        <v>0</v>
      </c>
      <c r="E26" s="161"/>
      <c r="F26" s="159">
        <f t="shared" si="9"/>
        <v>0</v>
      </c>
      <c r="G26" s="162"/>
      <c r="H26" s="161">
        <f t="shared" si="4"/>
        <v>0</v>
      </c>
      <c r="I26" s="162"/>
      <c r="J26" s="161">
        <f t="shared" si="5"/>
        <v>0</v>
      </c>
      <c r="K26" s="161"/>
      <c r="L26" s="159"/>
      <c r="N26" s="161">
        <v>0</v>
      </c>
      <c r="O26" s="161"/>
      <c r="P26" s="159">
        <f t="shared" si="10"/>
        <v>0</v>
      </c>
      <c r="Q26" s="162"/>
      <c r="R26" s="161">
        <f t="shared" si="7"/>
        <v>0</v>
      </c>
      <c r="S26" s="162"/>
      <c r="T26" s="161">
        <f t="shared" si="6"/>
        <v>0</v>
      </c>
      <c r="V26" s="215">
        <f t="shared" si="8"/>
        <v>0</v>
      </c>
      <c r="W26" s="210"/>
      <c r="X26" s="159">
        <f t="shared" si="1"/>
        <v>0</v>
      </c>
      <c r="Y26" s="159">
        <f t="shared" si="2"/>
        <v>0</v>
      </c>
      <c r="Z26" s="159">
        <f t="shared" si="3"/>
        <v>0</v>
      </c>
    </row>
    <row r="27" spans="1:26">
      <c r="A27" s="147" t="s">
        <v>267</v>
      </c>
      <c r="D27" s="161">
        <v>0</v>
      </c>
      <c r="E27" s="161"/>
      <c r="F27" s="159">
        <f t="shared" si="9"/>
        <v>0</v>
      </c>
      <c r="G27" s="162"/>
      <c r="H27" s="161">
        <f t="shared" si="4"/>
        <v>0</v>
      </c>
      <c r="I27" s="162"/>
      <c r="J27" s="161">
        <f t="shared" si="5"/>
        <v>0</v>
      </c>
      <c r="K27" s="161"/>
      <c r="L27" s="159"/>
      <c r="N27" s="161">
        <v>0</v>
      </c>
      <c r="O27" s="161"/>
      <c r="P27" s="159">
        <f t="shared" si="10"/>
        <v>0</v>
      </c>
      <c r="Q27" s="162"/>
      <c r="R27" s="161">
        <f t="shared" si="7"/>
        <v>0</v>
      </c>
      <c r="S27" s="162"/>
      <c r="T27" s="161">
        <f t="shared" si="6"/>
        <v>0</v>
      </c>
      <c r="V27" s="215">
        <f t="shared" si="8"/>
        <v>0</v>
      </c>
      <c r="W27" s="210"/>
      <c r="X27" s="159">
        <f t="shared" si="1"/>
        <v>0</v>
      </c>
      <c r="Y27" s="159">
        <f t="shared" si="2"/>
        <v>0</v>
      </c>
      <c r="Z27" s="159">
        <f t="shared" si="3"/>
        <v>0</v>
      </c>
    </row>
    <row r="28" spans="1:26">
      <c r="A28" s="171" t="s">
        <v>268</v>
      </c>
      <c r="B28" s="171"/>
      <c r="C28" s="171"/>
      <c r="D28" s="163">
        <f>'BR_10.4 PS Adj detail'!D37-D29-D30-D31</f>
        <v>87060</v>
      </c>
      <c r="E28" s="163"/>
      <c r="F28" s="201">
        <f t="shared" si="9"/>
        <v>87060</v>
      </c>
      <c r="G28" s="172"/>
      <c r="H28" s="163">
        <f>H$10*F28</f>
        <v>56336.525999999998</v>
      </c>
      <c r="I28" s="172"/>
      <c r="J28" s="163">
        <f t="shared" si="5"/>
        <v>30723.473999999998</v>
      </c>
      <c r="K28" s="163"/>
      <c r="L28" s="201"/>
      <c r="M28" s="171"/>
      <c r="N28" s="163">
        <v>407</v>
      </c>
      <c r="O28" s="163"/>
      <c r="P28" s="201">
        <f t="shared" si="10"/>
        <v>407</v>
      </c>
      <c r="Q28" s="172"/>
      <c r="R28" s="163">
        <f>R$10*P28</f>
        <v>267.11410000000001</v>
      </c>
      <c r="S28" s="172"/>
      <c r="T28" s="163">
        <f t="shared" si="6"/>
        <v>139.88589999999999</v>
      </c>
      <c r="V28" s="215">
        <f t="shared" si="8"/>
        <v>-56069.411899999999</v>
      </c>
      <c r="W28" s="210"/>
      <c r="X28" s="159">
        <f t="shared" si="1"/>
        <v>-86653</v>
      </c>
      <c r="Y28" s="159">
        <f t="shared" si="2"/>
        <v>-56870.363899999997</v>
      </c>
      <c r="Z28" s="159">
        <f t="shared" si="3"/>
        <v>-800.9519999999975</v>
      </c>
    </row>
    <row r="29" spans="1:26">
      <c r="A29" s="202" t="s">
        <v>300</v>
      </c>
      <c r="B29" s="171"/>
      <c r="C29" s="171"/>
      <c r="D29" s="163">
        <f>'BR_10.4 PS Adj detail'!D32</f>
        <v>645</v>
      </c>
      <c r="E29" s="163">
        <f>-D29</f>
        <v>-645</v>
      </c>
      <c r="F29" s="201">
        <f t="shared" si="9"/>
        <v>0</v>
      </c>
      <c r="G29" s="172"/>
      <c r="H29" s="163">
        <f>-E29</f>
        <v>645</v>
      </c>
      <c r="I29" s="172"/>
      <c r="J29" s="163">
        <f t="shared" si="5"/>
        <v>0</v>
      </c>
      <c r="K29" s="163"/>
      <c r="L29" s="201"/>
      <c r="M29" s="171"/>
      <c r="N29" s="163">
        <v>0</v>
      </c>
      <c r="O29" s="163">
        <f>-N29</f>
        <v>0</v>
      </c>
      <c r="P29" s="201">
        <f t="shared" si="10"/>
        <v>0</v>
      </c>
      <c r="Q29" s="172"/>
      <c r="R29" s="163">
        <f>-O29</f>
        <v>0</v>
      </c>
      <c r="S29" s="172"/>
      <c r="T29" s="163">
        <f t="shared" si="6"/>
        <v>0</v>
      </c>
      <c r="V29" s="215">
        <f t="shared" si="8"/>
        <v>-645</v>
      </c>
      <c r="W29" s="210"/>
      <c r="X29" s="159">
        <f t="shared" si="1"/>
        <v>0</v>
      </c>
      <c r="Y29" s="159">
        <f>V29</f>
        <v>-645</v>
      </c>
      <c r="Z29" s="159">
        <f t="shared" si="3"/>
        <v>0</v>
      </c>
    </row>
    <row r="30" spans="1:26">
      <c r="A30" s="202" t="s">
        <v>301</v>
      </c>
      <c r="B30" s="171"/>
      <c r="C30" s="171"/>
      <c r="D30" s="163">
        <f>'BR_10.4 PS Adj detail'!D34-D31</f>
        <v>-3464</v>
      </c>
      <c r="E30" s="163">
        <f>-D30</f>
        <v>3464</v>
      </c>
      <c r="F30" s="201">
        <f t="shared" ref="F30" si="11">SUM(D30:E30)</f>
        <v>0</v>
      </c>
      <c r="G30" s="172"/>
      <c r="H30" s="163">
        <f>-E30</f>
        <v>-3464</v>
      </c>
      <c r="I30" s="172"/>
      <c r="J30" s="163"/>
      <c r="K30" s="163"/>
      <c r="L30" s="201"/>
      <c r="M30" s="171"/>
      <c r="N30" s="163">
        <v>0</v>
      </c>
      <c r="O30" s="163">
        <f>-N30</f>
        <v>0</v>
      </c>
      <c r="P30" s="201">
        <f t="shared" ref="P30" si="12">SUM(N30:O30)</f>
        <v>0</v>
      </c>
      <c r="Q30" s="172"/>
      <c r="R30" s="163">
        <f>-O30</f>
        <v>0</v>
      </c>
      <c r="S30" s="172"/>
      <c r="T30" s="163"/>
      <c r="V30" s="215">
        <f t="shared" si="8"/>
        <v>3464</v>
      </c>
      <c r="W30" s="210"/>
      <c r="X30" s="159">
        <f t="shared" si="1"/>
        <v>0</v>
      </c>
      <c r="Y30" s="159">
        <f>V30</f>
        <v>3464</v>
      </c>
      <c r="Z30" s="159">
        <f t="shared" si="3"/>
        <v>0</v>
      </c>
    </row>
    <row r="31" spans="1:26">
      <c r="A31" s="202" t="s">
        <v>302</v>
      </c>
      <c r="B31" s="171"/>
      <c r="C31" s="171"/>
      <c r="D31" s="163">
        <v>-1846</v>
      </c>
      <c r="E31" s="163">
        <f>-D31</f>
        <v>1846</v>
      </c>
      <c r="F31" s="201">
        <f t="shared" ref="F31" si="13">SUM(D31:E31)</f>
        <v>0</v>
      </c>
      <c r="G31" s="172"/>
      <c r="H31" s="163"/>
      <c r="I31" s="172"/>
      <c r="J31" s="163">
        <f>-E31</f>
        <v>-1846</v>
      </c>
      <c r="K31" s="163"/>
      <c r="L31" s="201"/>
      <c r="M31" s="171"/>
      <c r="N31" s="163">
        <v>0</v>
      </c>
      <c r="O31" s="163">
        <f>-N31</f>
        <v>0</v>
      </c>
      <c r="P31" s="201">
        <f t="shared" ref="P31:P32" si="14">SUM(N31:O31)</f>
        <v>0</v>
      </c>
      <c r="Q31" s="172"/>
      <c r="R31" s="163"/>
      <c r="S31" s="172"/>
      <c r="T31" s="163">
        <f>-O31</f>
        <v>0</v>
      </c>
      <c r="V31" s="215">
        <f t="shared" si="8"/>
        <v>0</v>
      </c>
      <c r="W31" s="210"/>
      <c r="X31" s="159">
        <f t="shared" si="1"/>
        <v>0</v>
      </c>
      <c r="Y31" s="159">
        <f t="shared" si="2"/>
        <v>0</v>
      </c>
      <c r="Z31" s="159">
        <f t="shared" si="3"/>
        <v>0</v>
      </c>
    </row>
    <row r="32" spans="1:26">
      <c r="A32" s="147" t="s">
        <v>270</v>
      </c>
      <c r="D32" s="161">
        <f>'BR_10.4 PS Adj detail'!D73</f>
        <v>17354</v>
      </c>
      <c r="E32" s="161"/>
      <c r="F32" s="201">
        <f t="shared" si="9"/>
        <v>17354</v>
      </c>
      <c r="G32" s="162"/>
      <c r="H32" s="163">
        <f>H$10*F32</f>
        <v>11229.7734</v>
      </c>
      <c r="I32" s="162"/>
      <c r="J32" s="161">
        <f t="shared" si="5"/>
        <v>6124.2266</v>
      </c>
      <c r="K32" s="161"/>
      <c r="L32" s="159"/>
      <c r="N32" s="161">
        <v>17766</v>
      </c>
      <c r="O32" s="161"/>
      <c r="P32" s="201">
        <f t="shared" si="14"/>
        <v>17766</v>
      </c>
      <c r="Q32" s="162"/>
      <c r="R32" s="163">
        <f t="shared" ref="R32" si="15">R$10*P32</f>
        <v>11659.825800000001</v>
      </c>
      <c r="S32" s="162"/>
      <c r="T32" s="161">
        <f t="shared" ref="T32" si="16">T$10*P32</f>
        <v>6106.1742000000004</v>
      </c>
      <c r="V32" s="219">
        <f t="shared" si="8"/>
        <v>430.05240000000049</v>
      </c>
      <c r="W32" s="210"/>
      <c r="X32" s="159">
        <f t="shared" si="1"/>
        <v>412</v>
      </c>
      <c r="Y32" s="159">
        <f t="shared" si="2"/>
        <v>270.3956</v>
      </c>
      <c r="Z32" s="159">
        <f t="shared" si="3"/>
        <v>-159.65680000000049</v>
      </c>
    </row>
    <row r="33" spans="1:26" ht="15" customHeight="1">
      <c r="D33" s="161"/>
      <c r="E33" s="161"/>
      <c r="F33" s="201"/>
      <c r="G33" s="162"/>
      <c r="H33" s="161"/>
      <c r="I33" s="162"/>
      <c r="J33" s="161"/>
      <c r="K33" s="161"/>
      <c r="L33" s="159"/>
      <c r="N33" s="161"/>
      <c r="O33" s="161"/>
      <c r="P33" s="201"/>
      <c r="Q33" s="162"/>
      <c r="R33" s="161"/>
      <c r="S33" s="162"/>
      <c r="T33" s="161"/>
      <c r="V33" s="219"/>
      <c r="W33" s="210"/>
      <c r="X33" s="159">
        <f t="shared" si="1"/>
        <v>0</v>
      </c>
      <c r="Y33" s="159">
        <f t="shared" si="2"/>
        <v>0</v>
      </c>
      <c r="Z33" s="159">
        <f t="shared" si="3"/>
        <v>0</v>
      </c>
    </row>
    <row r="34" spans="1:26">
      <c r="A34" s="147" t="s">
        <v>271</v>
      </c>
      <c r="D34" s="168">
        <f>SUM(D20:D33)</f>
        <v>397940</v>
      </c>
      <c r="E34" s="168">
        <f>SUM(E20:E33)</f>
        <v>4665</v>
      </c>
      <c r="F34" s="168">
        <f>SUM(F20:F33)</f>
        <v>402605</v>
      </c>
      <c r="G34" s="162"/>
      <c r="H34" s="168">
        <f>SUM(H20:H33)</f>
        <v>257706.69550000003</v>
      </c>
      <c r="I34" s="162"/>
      <c r="J34" s="168">
        <f>SUM(J20:J33)</f>
        <v>140233.30449999997</v>
      </c>
      <c r="K34" s="162"/>
      <c r="L34" s="159"/>
      <c r="N34" s="168">
        <f>SUM(N20:N33)</f>
        <v>234793.80634141256</v>
      </c>
      <c r="O34" s="168">
        <f>SUM(O20:O33)</f>
        <v>0</v>
      </c>
      <c r="P34" s="168">
        <f>SUM(P20:P33)</f>
        <v>234793.80634141256</v>
      </c>
      <c r="Q34" s="162"/>
      <c r="R34" s="168">
        <f>SUM(R20:R33)</f>
        <v>154095.17510186907</v>
      </c>
      <c r="S34" s="162"/>
      <c r="T34" s="168">
        <f>SUM(T20:T33)</f>
        <v>80698.631239543494</v>
      </c>
      <c r="V34" s="220">
        <f>SUM(V20:V33)</f>
        <v>-103611.52039813093</v>
      </c>
      <c r="W34" s="210"/>
      <c r="X34" s="159">
        <f>P34-F34</f>
        <v>-167811.19365858744</v>
      </c>
      <c r="Y34" s="168">
        <f>SUM(Y20:Y33)</f>
        <v>-107315.48639813093</v>
      </c>
      <c r="Z34" s="159">
        <f t="shared" si="3"/>
        <v>-3703.9660000000003</v>
      </c>
    </row>
    <row r="35" spans="1:26">
      <c r="I35" s="149"/>
      <c r="L35" s="159"/>
      <c r="S35" s="149"/>
      <c r="V35" s="218"/>
      <c r="W35" s="210"/>
    </row>
    <row r="36" spans="1:26">
      <c r="A36" s="147" t="s">
        <v>272</v>
      </c>
      <c r="D36" s="161">
        <f>D17-D34</f>
        <v>-168065</v>
      </c>
      <c r="E36" s="161">
        <f>E17-E34</f>
        <v>-4828</v>
      </c>
      <c r="F36" s="161">
        <f>F17-F34</f>
        <v>-172893</v>
      </c>
      <c r="G36" s="161"/>
      <c r="H36" s="161">
        <f>H17-H34</f>
        <v>-108897.06030000001</v>
      </c>
      <c r="I36" s="162"/>
      <c r="J36" s="161">
        <f>J17-J34</f>
        <v>-59167.939699999974</v>
      </c>
      <c r="K36" s="161"/>
      <c r="L36" s="159"/>
      <c r="N36" s="161">
        <f>N17-N34</f>
        <v>-176824.2262897926</v>
      </c>
      <c r="O36" s="161">
        <f>O17-O34</f>
        <v>0</v>
      </c>
      <c r="P36" s="161">
        <f>P17-P34</f>
        <v>-176824.2262897926</v>
      </c>
      <c r="Q36" s="161"/>
      <c r="R36" s="161">
        <f>R17-R34</f>
        <v>-116049.73971399089</v>
      </c>
      <c r="S36" s="162"/>
      <c r="T36" s="161">
        <f>T17-T34</f>
        <v>-60774.486575801711</v>
      </c>
      <c r="V36" s="217">
        <f>V17-V34</f>
        <v>-7152.6794139909034</v>
      </c>
      <c r="W36" s="210"/>
      <c r="Y36" s="159">
        <f>-Y34+Y17</f>
        <v>-5562.0638139908988</v>
      </c>
      <c r="Z36" s="159">
        <f>-Z34+Z17</f>
        <v>1590.6156000000046</v>
      </c>
    </row>
    <row r="37" spans="1:26">
      <c r="F37" s="161"/>
      <c r="G37" s="161"/>
      <c r="H37" s="161"/>
      <c r="I37" s="161"/>
      <c r="J37" s="161"/>
      <c r="K37" s="161"/>
      <c r="P37" s="161"/>
      <c r="Q37" s="161"/>
      <c r="R37" s="161"/>
      <c r="S37" s="161"/>
      <c r="T37" s="161"/>
      <c r="V37" s="217"/>
      <c r="W37" s="210"/>
    </row>
    <row r="38" spans="1:26">
      <c r="A38" s="147" t="s">
        <v>303</v>
      </c>
      <c r="C38" s="203">
        <v>1.142E-2</v>
      </c>
      <c r="F38" s="162"/>
      <c r="G38" s="162"/>
      <c r="H38" s="166"/>
      <c r="I38" s="162"/>
      <c r="J38" s="166">
        <f>C38*J36</f>
        <v>-675.69787137399965</v>
      </c>
      <c r="K38" s="162"/>
      <c r="M38" s="203">
        <v>1.142E-2</v>
      </c>
      <c r="P38" s="162"/>
      <c r="Q38" s="162"/>
      <c r="R38" s="166"/>
      <c r="S38" s="162"/>
      <c r="T38" s="166">
        <f>M38*T36</f>
        <v>-694.04463669565553</v>
      </c>
      <c r="V38" s="221"/>
      <c r="W38" s="210"/>
      <c r="Y38" s="159">
        <f>Y36-V36</f>
        <v>1590.6156000000046</v>
      </c>
    </row>
    <row r="39" spans="1:26">
      <c r="F39" s="162"/>
      <c r="G39" s="162"/>
      <c r="H39" s="161"/>
      <c r="I39" s="161"/>
      <c r="J39" s="161"/>
      <c r="K39" s="161"/>
      <c r="P39" s="162"/>
      <c r="Q39" s="162"/>
      <c r="R39" s="161"/>
      <c r="S39" s="161"/>
      <c r="T39" s="161"/>
      <c r="V39" s="217"/>
      <c r="W39" s="210"/>
    </row>
    <row r="40" spans="1:26" ht="12.75" customHeight="1">
      <c r="A40" s="147" t="s">
        <v>304</v>
      </c>
      <c r="F40" s="160"/>
      <c r="G40" s="160"/>
      <c r="H40" s="161">
        <f>H36-H38</f>
        <v>-108897.06030000001</v>
      </c>
      <c r="I40" s="159"/>
      <c r="J40" s="161">
        <f>J36-J38</f>
        <v>-58492.241828625971</v>
      </c>
      <c r="K40" s="161"/>
      <c r="P40" s="160"/>
      <c r="Q40" s="160"/>
      <c r="R40" s="161">
        <f>R36-R38</f>
        <v>-116049.73971399089</v>
      </c>
      <c r="S40" s="159"/>
      <c r="T40" s="161">
        <f>T36-T38</f>
        <v>-60080.441939106058</v>
      </c>
      <c r="V40" s="217">
        <f>V36-V38</f>
        <v>-7152.6794139909034</v>
      </c>
      <c r="W40" s="210"/>
    </row>
    <row r="41" spans="1:26">
      <c r="F41" s="160"/>
      <c r="G41" s="160"/>
      <c r="H41" s="159"/>
      <c r="I41" s="159"/>
      <c r="J41" s="159"/>
      <c r="K41" s="159"/>
      <c r="P41" s="160"/>
      <c r="Q41" s="160"/>
      <c r="R41" s="159"/>
      <c r="S41" s="159"/>
      <c r="T41" s="159"/>
      <c r="V41" s="215"/>
      <c r="W41" s="210"/>
    </row>
    <row r="42" spans="1:26">
      <c r="A42" s="147" t="s">
        <v>273</v>
      </c>
      <c r="C42" s="169">
        <v>0.35</v>
      </c>
      <c r="F42" s="160"/>
      <c r="G42" s="160"/>
      <c r="H42" s="166">
        <f>C42*H40</f>
        <v>-38113.971105000004</v>
      </c>
      <c r="I42" s="159"/>
      <c r="J42" s="166">
        <f>C42*J40</f>
        <v>-20472.28464001909</v>
      </c>
      <c r="K42" s="162"/>
      <c r="M42" s="169">
        <v>0.35</v>
      </c>
      <c r="P42" s="160"/>
      <c r="Q42" s="160"/>
      <c r="R42" s="166">
        <f>M42*R40</f>
        <v>-40617.408899896807</v>
      </c>
      <c r="S42" s="159"/>
      <c r="T42" s="166">
        <f>M42*T40</f>
        <v>-21028.154678687119</v>
      </c>
      <c r="V42" s="221">
        <f>C42*V40</f>
        <v>-2503.4377948968158</v>
      </c>
      <c r="W42" s="210"/>
    </row>
    <row r="43" spans="1:26">
      <c r="F43" s="160"/>
      <c r="G43" s="160"/>
      <c r="H43" s="159"/>
      <c r="I43" s="159"/>
      <c r="J43" s="159"/>
      <c r="K43" s="159"/>
      <c r="P43" s="160"/>
      <c r="Q43" s="160"/>
      <c r="R43" s="159"/>
      <c r="S43" s="159"/>
      <c r="T43" s="159"/>
      <c r="V43" s="215"/>
      <c r="W43" s="210"/>
    </row>
    <row r="44" spans="1:26" ht="12.75" customHeight="1" thickBot="1">
      <c r="A44" s="147" t="s">
        <v>274</v>
      </c>
      <c r="F44" s="161"/>
      <c r="G44" s="161"/>
      <c r="H44" s="159">
        <f>H40-H42</f>
        <v>-70783.089195000008</v>
      </c>
      <c r="I44" s="161"/>
      <c r="J44" s="159">
        <f>J40-J42</f>
        <v>-38019.957188606881</v>
      </c>
      <c r="K44" s="159"/>
      <c r="P44" s="161"/>
      <c r="Q44" s="161"/>
      <c r="R44" s="159">
        <f>R40-R42</f>
        <v>-75432.330814094079</v>
      </c>
      <c r="S44" s="161"/>
      <c r="T44" s="159">
        <f>T40-T42</f>
        <v>-39052.28726041894</v>
      </c>
      <c r="V44" s="222">
        <f>V40-V42</f>
        <v>-4649.2416190940876</v>
      </c>
      <c r="W44" s="223"/>
    </row>
    <row r="45" spans="1:26">
      <c r="F45" s="161"/>
      <c r="G45" s="161"/>
      <c r="H45" s="161"/>
      <c r="I45" s="161"/>
      <c r="J45" s="161"/>
      <c r="K45" s="161"/>
      <c r="P45" s="161"/>
      <c r="Q45" s="161"/>
      <c r="R45" s="161"/>
      <c r="S45" s="161"/>
      <c r="T45" s="161"/>
      <c r="V45" s="280"/>
    </row>
    <row r="46" spans="1:26">
      <c r="A46" s="170"/>
      <c r="V46" s="280"/>
    </row>
    <row r="47" spans="1:26">
      <c r="U47" s="224"/>
      <c r="V47" s="225"/>
    </row>
    <row r="48" spans="1:26" ht="18.75" customHeight="1">
      <c r="A48" s="204" t="s">
        <v>305</v>
      </c>
      <c r="B48" s="205"/>
      <c r="C48" s="205"/>
      <c r="M48" s="205"/>
      <c r="V48" s="224"/>
    </row>
    <row r="49" spans="1:11" ht="26.25" customHeight="1">
      <c r="A49" s="264" t="s">
        <v>306</v>
      </c>
      <c r="B49" s="264"/>
      <c r="C49" s="264"/>
      <c r="D49" s="264"/>
      <c r="E49" s="264"/>
      <c r="F49" s="264"/>
      <c r="G49" s="264"/>
      <c r="H49" s="264"/>
      <c r="I49" s="264"/>
      <c r="J49" s="264"/>
      <c r="K49" s="226"/>
    </row>
    <row r="50" spans="1:11" ht="39.6" customHeight="1">
      <c r="A50" s="265" t="s">
        <v>307</v>
      </c>
      <c r="B50" s="265"/>
      <c r="C50" s="265"/>
      <c r="D50" s="265"/>
      <c r="E50" s="265"/>
      <c r="F50" s="265"/>
      <c r="G50" s="265"/>
      <c r="H50" s="265"/>
      <c r="I50" s="265"/>
      <c r="J50" s="265"/>
      <c r="K50" s="227"/>
    </row>
  </sheetData>
  <mergeCells count="10">
    <mergeCell ref="V45:V46"/>
    <mergeCell ref="A49:J49"/>
    <mergeCell ref="A50:J50"/>
    <mergeCell ref="A1:V1"/>
    <mergeCell ref="A2:V2"/>
    <mergeCell ref="A3:V3"/>
    <mergeCell ref="A4:V4"/>
    <mergeCell ref="C5:J5"/>
    <mergeCell ref="M5:T5"/>
    <mergeCell ref="V5:V6"/>
  </mergeCells>
  <pageMargins left="0.7" right="0.7" top="0.75" bottom="0.75" header="0.3" footer="0.3"/>
  <pageSetup scale="72" orientation="landscape" r:id="rId1"/>
  <headerFooter scaleWithDoc="0">
    <oddHeader xml:space="preserve">&amp;CBench Request 10.4 - Attachment A&amp;RRevised Pro Forma Adjustment 3.00 (Power Supply)
</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84"/>
  <sheetViews>
    <sheetView view="pageBreakPreview" zoomScale="115" zoomScaleNormal="100" zoomScaleSheetLayoutView="115" workbookViewId="0">
      <selection activeCell="H43" sqref="H43"/>
    </sheetView>
  </sheetViews>
  <sheetFormatPr defaultColWidth="11.42578125" defaultRowHeight="12.75"/>
  <cols>
    <col min="1" max="1" width="6.140625" style="4" customWidth="1"/>
    <col min="2" max="2" width="37.7109375" customWidth="1"/>
    <col min="3" max="3" width="9" customWidth="1"/>
    <col min="4" max="4" width="15.28515625" customWidth="1"/>
    <col min="5" max="5" width="13" customWidth="1"/>
    <col min="6" max="6" width="14.28515625" style="3" customWidth="1"/>
    <col min="7" max="7" width="13.140625" style="3" customWidth="1"/>
    <col min="8" max="8" width="14.7109375" style="3" hidden="1" customWidth="1"/>
    <col min="9" max="9" width="18.7109375" style="20" customWidth="1"/>
    <col min="10" max="10" width="15.85546875" customWidth="1"/>
    <col min="11" max="11" width="12" customWidth="1"/>
    <col min="17" max="17" width="11.5703125" customWidth="1"/>
  </cols>
  <sheetData>
    <row r="1" spans="1:22">
      <c r="A1" s="8"/>
      <c r="B1" s="8"/>
      <c r="C1" s="14" t="s">
        <v>31</v>
      </c>
      <c r="F1"/>
      <c r="G1"/>
      <c r="H1"/>
      <c r="I1"/>
    </row>
    <row r="2" spans="1:22">
      <c r="A2" s="8"/>
      <c r="B2" s="8"/>
      <c r="C2" s="14" t="s">
        <v>172</v>
      </c>
      <c r="F2"/>
      <c r="G2"/>
      <c r="H2"/>
      <c r="I2"/>
      <c r="Q2" s="115"/>
      <c r="S2" s="115"/>
    </row>
    <row r="3" spans="1:22">
      <c r="A3" s="10"/>
      <c r="B3" s="8"/>
      <c r="C3" s="14" t="s">
        <v>231</v>
      </c>
      <c r="F3"/>
      <c r="G3"/>
      <c r="H3"/>
      <c r="I3" s="72"/>
      <c r="K3">
        <v>-367.49129001798519</v>
      </c>
      <c r="L3">
        <v>-217.95841131731828</v>
      </c>
      <c r="M3">
        <v>95.716790636442511</v>
      </c>
      <c r="N3">
        <v>20.853349544480498</v>
      </c>
      <c r="O3">
        <v>151.78331407271318</v>
      </c>
      <c r="P3">
        <v>164.82384604662656</v>
      </c>
      <c r="Q3">
        <v>13.003959042578842</v>
      </c>
      <c r="R3">
        <v>-68.733011397978302</v>
      </c>
      <c r="S3">
        <v>-73.169138980656712</v>
      </c>
      <c r="T3">
        <v>-65.480886194761695</v>
      </c>
      <c r="U3">
        <v>-67.801545360684301</v>
      </c>
      <c r="V3">
        <v>-104.7795808488502</v>
      </c>
    </row>
    <row r="4" spans="1:22" ht="15">
      <c r="A4" s="10"/>
      <c r="B4" s="262"/>
      <c r="C4" s="261" t="s">
        <v>237</v>
      </c>
      <c r="D4" s="263"/>
      <c r="E4" s="263"/>
      <c r="F4" s="263"/>
      <c r="G4"/>
      <c r="H4"/>
      <c r="I4" s="72"/>
    </row>
    <row r="5" spans="1:22" ht="12.75" customHeight="1">
      <c r="A5" s="5"/>
      <c r="C5" s="126"/>
      <c r="D5" s="11"/>
      <c r="E5" s="11"/>
      <c r="F5" s="11"/>
      <c r="G5" s="11"/>
      <c r="H5" s="11" t="s">
        <v>126</v>
      </c>
      <c r="I5" s="82"/>
      <c r="K5">
        <v>744</v>
      </c>
      <c r="L5">
        <v>672</v>
      </c>
      <c r="M5">
        <v>744</v>
      </c>
      <c r="N5">
        <v>719</v>
      </c>
      <c r="O5">
        <v>744</v>
      </c>
      <c r="P5">
        <v>720</v>
      </c>
      <c r="Q5">
        <v>744</v>
      </c>
      <c r="R5">
        <v>744</v>
      </c>
      <c r="S5">
        <v>720</v>
      </c>
      <c r="T5">
        <v>745</v>
      </c>
      <c r="U5">
        <v>720</v>
      </c>
      <c r="V5">
        <v>744</v>
      </c>
    </row>
    <row r="6" spans="1:22">
      <c r="A6" s="5" t="s">
        <v>0</v>
      </c>
      <c r="D6" s="11" t="s">
        <v>230</v>
      </c>
      <c r="E6" s="11"/>
      <c r="F6" s="11">
        <v>2017</v>
      </c>
      <c r="G6" s="53"/>
      <c r="H6" s="53" t="s">
        <v>125</v>
      </c>
      <c r="I6" s="83"/>
    </row>
    <row r="7" spans="1:22">
      <c r="A7" s="45" t="s">
        <v>1</v>
      </c>
      <c r="D7" s="15" t="s">
        <v>2</v>
      </c>
      <c r="E7" s="1" t="s">
        <v>3</v>
      </c>
      <c r="F7" s="15" t="s">
        <v>210</v>
      </c>
      <c r="G7" s="15"/>
      <c r="H7" s="15" t="s">
        <v>153</v>
      </c>
      <c r="I7" s="86" t="s">
        <v>116</v>
      </c>
      <c r="J7" s="79" t="s">
        <v>32</v>
      </c>
      <c r="K7" s="47">
        <v>41274</v>
      </c>
      <c r="L7" s="47">
        <v>41305</v>
      </c>
      <c r="M7" s="47">
        <v>41333</v>
      </c>
      <c r="N7" s="47">
        <v>41364</v>
      </c>
      <c r="O7" s="47">
        <v>41394</v>
      </c>
      <c r="P7" s="47">
        <v>41425</v>
      </c>
      <c r="Q7" s="47">
        <v>41455</v>
      </c>
      <c r="R7" s="47">
        <v>41486</v>
      </c>
      <c r="S7" s="47">
        <v>41517</v>
      </c>
      <c r="T7" s="47">
        <v>41547</v>
      </c>
      <c r="U7" s="47">
        <v>41578</v>
      </c>
      <c r="V7" s="47">
        <v>41608</v>
      </c>
    </row>
    <row r="8" spans="1:22">
      <c r="A8" s="5"/>
      <c r="B8" s="7" t="s">
        <v>4</v>
      </c>
      <c r="D8" s="9"/>
      <c r="E8" s="12"/>
      <c r="F8" s="9"/>
      <c r="G8" s="9"/>
      <c r="H8" s="9"/>
      <c r="I8" s="19"/>
    </row>
    <row r="9" spans="1:22">
      <c r="A9" s="5">
        <f t="shared" ref="A9:A16" si="0">A8+1</f>
        <v>1</v>
      </c>
      <c r="B9" t="s">
        <v>216</v>
      </c>
      <c r="D9" s="18">
        <v>0</v>
      </c>
      <c r="E9" s="18">
        <f t="shared" ref="E9:E15" si="1">F9-D9</f>
        <v>8035.1221034855489</v>
      </c>
      <c r="F9" s="18">
        <f>'WGJ-4'!C13/1000</f>
        <v>8035.1221034855489</v>
      </c>
      <c r="G9" s="18"/>
      <c r="H9" s="18">
        <v>20917.018981429192</v>
      </c>
      <c r="I9" s="94" t="s">
        <v>121</v>
      </c>
      <c r="J9" s="3">
        <f t="shared" ref="J9:J14" si="2">SUM(K9:V9)/1000</f>
        <v>8035.1221034855489</v>
      </c>
      <c r="K9" s="56">
        <f>'WGJ-4'!D13</f>
        <v>167916.42821431099</v>
      </c>
      <c r="L9" s="56">
        <f>'WGJ-4'!E13</f>
        <v>186256.09850771702</v>
      </c>
      <c r="M9" s="56">
        <f>'WGJ-4'!F13</f>
        <v>386602.97990925604</v>
      </c>
      <c r="N9" s="56">
        <f>'WGJ-4'!G13</f>
        <v>138744.66988518799</v>
      </c>
      <c r="O9" s="56">
        <f>'WGJ-4'!H13</f>
        <v>21923.518932424402</v>
      </c>
      <c r="P9" s="56">
        <f>'WGJ-4'!I13</f>
        <v>448152.57007479604</v>
      </c>
      <c r="Q9" s="56">
        <f>'WGJ-4'!J13</f>
        <v>994662.84832954395</v>
      </c>
      <c r="R9" s="56">
        <f>'WGJ-4'!K13</f>
        <v>2295339.81351852</v>
      </c>
      <c r="S9" s="56">
        <f>'WGJ-4'!L13</f>
        <v>986610.35695783701</v>
      </c>
      <c r="T9" s="56">
        <f>'WGJ-4'!M13</f>
        <v>957912.55381992005</v>
      </c>
      <c r="U9" s="56">
        <f>'WGJ-4'!N13</f>
        <v>845349.97408389999</v>
      </c>
      <c r="V9" s="56">
        <f>'WGJ-4'!O13</f>
        <v>605650.291252136</v>
      </c>
    </row>
    <row r="10" spans="1:22">
      <c r="A10" s="5">
        <f t="shared" si="0"/>
        <v>2</v>
      </c>
      <c r="B10" t="s">
        <v>217</v>
      </c>
      <c r="D10" s="88">
        <f>84386+1</f>
        <v>84387</v>
      </c>
      <c r="E10" s="19">
        <f t="shared" si="1"/>
        <v>-81010</v>
      </c>
      <c r="F10" s="181">
        <v>3377</v>
      </c>
      <c r="G10" s="18"/>
      <c r="H10" s="18"/>
      <c r="I10" s="94"/>
      <c r="J10" s="3">
        <f t="shared" si="2"/>
        <v>3377.1600036621085</v>
      </c>
      <c r="K10" s="56">
        <v>1603679.962158202</v>
      </c>
      <c r="L10" s="56">
        <v>1139520.01953125</v>
      </c>
      <c r="M10" s="56">
        <v>633960.02197265602</v>
      </c>
      <c r="N10" s="56">
        <v>0</v>
      </c>
      <c r="O10" s="56">
        <v>0</v>
      </c>
      <c r="P10" s="56">
        <v>0</v>
      </c>
      <c r="Q10" s="56">
        <v>0</v>
      </c>
      <c r="R10" s="56">
        <v>0</v>
      </c>
      <c r="S10" s="56">
        <v>0</v>
      </c>
      <c r="T10" s="56">
        <v>0</v>
      </c>
      <c r="U10" s="56">
        <v>0</v>
      </c>
      <c r="V10" s="56">
        <v>0</v>
      </c>
    </row>
    <row r="11" spans="1:22">
      <c r="A11" s="5">
        <f t="shared" si="0"/>
        <v>3</v>
      </c>
      <c r="B11" t="s">
        <v>218</v>
      </c>
      <c r="D11" s="88">
        <v>0</v>
      </c>
      <c r="E11" s="19">
        <f t="shared" si="1"/>
        <v>-519</v>
      </c>
      <c r="F11" s="181">
        <v>-519</v>
      </c>
      <c r="G11" s="18"/>
      <c r="H11" s="18"/>
      <c r="I11" s="94"/>
      <c r="J11" s="3">
        <f t="shared" si="2"/>
        <v>-519.23260477539316</v>
      </c>
      <c r="K11" s="56">
        <v>-367491.29001798521</v>
      </c>
      <c r="L11" s="56">
        <v>-217958.41131731827</v>
      </c>
      <c r="M11" s="56">
        <v>95716.790636442514</v>
      </c>
      <c r="N11" s="56">
        <v>20853.349544480498</v>
      </c>
      <c r="O11" s="56">
        <v>151783.31407271317</v>
      </c>
      <c r="P11" s="56">
        <v>164823.84604662657</v>
      </c>
      <c r="Q11" s="56">
        <v>13003.959042578841</v>
      </c>
      <c r="R11" s="56">
        <v>-68733.011397978305</v>
      </c>
      <c r="S11" s="56">
        <v>-73169.138980656717</v>
      </c>
      <c r="T11" s="56">
        <v>-65480.886194761697</v>
      </c>
      <c r="U11" s="56">
        <v>-67801.545360684308</v>
      </c>
      <c r="V11" s="56">
        <v>-104779.58084885021</v>
      </c>
    </row>
    <row r="12" spans="1:22">
      <c r="A12" s="5">
        <f t="shared" si="0"/>
        <v>4</v>
      </c>
      <c r="B12" t="s">
        <v>187</v>
      </c>
      <c r="D12" s="88">
        <v>13315</v>
      </c>
      <c r="E12" s="19">
        <f t="shared" si="1"/>
        <v>558</v>
      </c>
      <c r="F12" s="88">
        <v>13873</v>
      </c>
      <c r="G12" s="22"/>
      <c r="H12" s="22"/>
      <c r="I12" s="19"/>
      <c r="J12" s="3">
        <f t="shared" si="2"/>
        <v>13873.093199999998</v>
      </c>
      <c r="K12" s="55">
        <v>1156091.0999999999</v>
      </c>
      <c r="L12" s="55">
        <v>1156091.0999999999</v>
      </c>
      <c r="M12" s="55">
        <v>1156091.0999999999</v>
      </c>
      <c r="N12" s="55">
        <v>1156091.0999999999</v>
      </c>
      <c r="O12" s="55">
        <v>1156091.0999999999</v>
      </c>
      <c r="P12" s="55">
        <v>1156091.0999999999</v>
      </c>
      <c r="Q12" s="55">
        <v>1156091.0999999999</v>
      </c>
      <c r="R12" s="55">
        <v>1156091.0999999999</v>
      </c>
      <c r="S12" s="55">
        <v>1156091.0999999999</v>
      </c>
      <c r="T12" s="55">
        <v>1156091.0999999999</v>
      </c>
      <c r="U12" s="55">
        <v>1156091.0999999999</v>
      </c>
      <c r="V12" s="55">
        <v>1156091.0999999999</v>
      </c>
    </row>
    <row r="13" spans="1:22">
      <c r="A13" s="5">
        <f t="shared" si="0"/>
        <v>5</v>
      </c>
      <c r="B13" t="s">
        <v>175</v>
      </c>
      <c r="D13" s="88">
        <v>1703</v>
      </c>
      <c r="E13" s="19">
        <f t="shared" si="1"/>
        <v>185</v>
      </c>
      <c r="F13" s="182">
        <v>1888</v>
      </c>
      <c r="G13" s="22"/>
      <c r="H13" s="22">
        <v>1177</v>
      </c>
      <c r="I13" s="19"/>
      <c r="J13" s="3">
        <f t="shared" si="2"/>
        <v>1888.1049999999998</v>
      </c>
      <c r="K13" s="55">
        <f>1888105/12</f>
        <v>157342.08333333334</v>
      </c>
      <c r="L13" s="55">
        <f t="shared" ref="L13:V13" si="3">1888105/12</f>
        <v>157342.08333333334</v>
      </c>
      <c r="M13" s="55">
        <f t="shared" si="3"/>
        <v>157342.08333333334</v>
      </c>
      <c r="N13" s="55">
        <f t="shared" si="3"/>
        <v>157342.08333333334</v>
      </c>
      <c r="O13" s="55">
        <f t="shared" si="3"/>
        <v>157342.08333333334</v>
      </c>
      <c r="P13" s="55">
        <f t="shared" si="3"/>
        <v>157342.08333333334</v>
      </c>
      <c r="Q13" s="55">
        <f t="shared" si="3"/>
        <v>157342.08333333334</v>
      </c>
      <c r="R13" s="55">
        <f t="shared" si="3"/>
        <v>157342.08333333334</v>
      </c>
      <c r="S13" s="55">
        <f t="shared" si="3"/>
        <v>157342.08333333334</v>
      </c>
      <c r="T13" s="55">
        <f t="shared" si="3"/>
        <v>157342.08333333334</v>
      </c>
      <c r="U13" s="55">
        <f t="shared" si="3"/>
        <v>157342.08333333334</v>
      </c>
      <c r="V13" s="55">
        <f t="shared" si="3"/>
        <v>157342.08333333334</v>
      </c>
    </row>
    <row r="14" spans="1:22">
      <c r="A14" s="5">
        <f t="shared" si="0"/>
        <v>6</v>
      </c>
      <c r="B14" t="s">
        <v>176</v>
      </c>
      <c r="D14" s="88">
        <v>2482</v>
      </c>
      <c r="E14" s="19">
        <f t="shared" si="1"/>
        <v>-2482</v>
      </c>
      <c r="F14" s="90">
        <v>0</v>
      </c>
      <c r="G14" s="22"/>
      <c r="H14" s="22"/>
      <c r="I14" s="19"/>
      <c r="J14" s="3">
        <f t="shared" si="2"/>
        <v>0</v>
      </c>
      <c r="K14" s="55">
        <v>0</v>
      </c>
      <c r="L14" s="55">
        <v>0</v>
      </c>
      <c r="M14" s="55">
        <v>0</v>
      </c>
      <c r="N14" s="55">
        <v>0</v>
      </c>
      <c r="O14" s="55">
        <v>0</v>
      </c>
      <c r="P14" s="55">
        <v>0</v>
      </c>
      <c r="Q14" s="55">
        <v>0</v>
      </c>
      <c r="R14" s="55">
        <v>0</v>
      </c>
      <c r="S14" s="55">
        <v>0</v>
      </c>
      <c r="T14" s="55">
        <v>0</v>
      </c>
      <c r="U14" s="55">
        <v>0</v>
      </c>
      <c r="V14" s="55">
        <v>0</v>
      </c>
    </row>
    <row r="15" spans="1:22">
      <c r="A15" s="5">
        <f t="shared" si="0"/>
        <v>7</v>
      </c>
      <c r="B15" t="s">
        <v>148</v>
      </c>
      <c r="D15" s="88">
        <v>7118</v>
      </c>
      <c r="E15" s="19">
        <f t="shared" si="1"/>
        <v>884.84479646931231</v>
      </c>
      <c r="F15" s="182">
        <f>Index!C53/1000</f>
        <v>8002.8447964693123</v>
      </c>
      <c r="G15" s="93"/>
      <c r="H15" s="19">
        <v>0</v>
      </c>
      <c r="I15" s="93" t="s">
        <v>133</v>
      </c>
      <c r="J15" s="3">
        <f t="shared" ref="J15:J28" si="4">SUM(K15:V15)/1000</f>
        <v>8002.8447964693123</v>
      </c>
      <c r="K15" s="55">
        <f>Index!D53</f>
        <v>818526.60514649597</v>
      </c>
      <c r="L15" s="55">
        <f>Index!E53</f>
        <v>673887.24474140257</v>
      </c>
      <c r="M15" s="55">
        <f>Index!F53</f>
        <v>621498.5368936921</v>
      </c>
      <c r="N15" s="55">
        <f>Index!G53</f>
        <v>622613.37014739891</v>
      </c>
      <c r="O15" s="55">
        <f>Index!H53</f>
        <v>720425.69205338613</v>
      </c>
      <c r="P15" s="55">
        <f>Index!I53</f>
        <v>697747.65608810331</v>
      </c>
      <c r="Q15" s="55">
        <f>Index!J53</f>
        <v>773481.77581780183</v>
      </c>
      <c r="R15" s="55">
        <f>Index!K53</f>
        <v>683442.61873856559</v>
      </c>
      <c r="S15" s="55">
        <f>Index!L53</f>
        <v>493631.5322150765</v>
      </c>
      <c r="T15" s="55">
        <f>Index!M53</f>
        <v>480341.07474600425</v>
      </c>
      <c r="U15" s="55">
        <f>Index!N53</f>
        <v>649524.49520845129</v>
      </c>
      <c r="V15" s="55">
        <f>Index!O53</f>
        <v>767724.19467293238</v>
      </c>
    </row>
    <row r="16" spans="1:22">
      <c r="A16" s="5">
        <f t="shared" si="0"/>
        <v>8</v>
      </c>
      <c r="B16" t="s">
        <v>119</v>
      </c>
      <c r="D16" s="88">
        <v>1211</v>
      </c>
      <c r="E16" s="88">
        <f t="shared" ref="E16:E24" si="5">F16-D16</f>
        <v>120</v>
      </c>
      <c r="F16" s="182">
        <v>1331</v>
      </c>
      <c r="G16" s="88" t="s">
        <v>157</v>
      </c>
      <c r="H16" s="90">
        <v>5512</v>
      </c>
      <c r="I16" s="19"/>
      <c r="J16" s="3">
        <f t="shared" si="4"/>
        <v>1331.4131140720376</v>
      </c>
      <c r="K16" s="55">
        <v>53014.371016286459</v>
      </c>
      <c r="L16" s="55">
        <v>40118.444150656811</v>
      </c>
      <c r="M16" s="55">
        <v>94456.393511434289</v>
      </c>
      <c r="N16" s="55">
        <v>168474.50040786478</v>
      </c>
      <c r="O16" s="55">
        <v>209505.18704959075</v>
      </c>
      <c r="P16" s="55">
        <v>226512.68200613206</v>
      </c>
      <c r="Q16" s="55">
        <v>192940.87648729995</v>
      </c>
      <c r="R16" s="55">
        <v>137423.8842732975</v>
      </c>
      <c r="S16" s="55">
        <v>56311.915220387622</v>
      </c>
      <c r="T16" s="55">
        <v>61593.304430255128</v>
      </c>
      <c r="U16" s="55">
        <v>43005.025598436056</v>
      </c>
      <c r="V16" s="55">
        <v>48056.529920396053</v>
      </c>
    </row>
    <row r="17" spans="1:22">
      <c r="A17" s="5">
        <f t="shared" ref="A17:A27" si="6">A16+1</f>
        <v>9</v>
      </c>
      <c r="B17" t="s">
        <v>170</v>
      </c>
      <c r="D17" s="88">
        <v>22737</v>
      </c>
      <c r="E17" s="88">
        <f t="shared" si="5"/>
        <v>533</v>
      </c>
      <c r="F17" s="183">
        <v>23270</v>
      </c>
      <c r="G17" s="90"/>
      <c r="H17" s="90"/>
      <c r="I17" s="19"/>
      <c r="J17" s="3">
        <f t="shared" si="4"/>
        <v>23269.887947623996</v>
      </c>
      <c r="K17" s="55">
        <v>1939157.3289686665</v>
      </c>
      <c r="L17" s="55">
        <v>1939157.3289686665</v>
      </c>
      <c r="M17" s="55">
        <v>1939157.3289686665</v>
      </c>
      <c r="N17" s="55">
        <v>1939157.3289686665</v>
      </c>
      <c r="O17" s="55">
        <v>1939157.3289686665</v>
      </c>
      <c r="P17" s="55">
        <v>1939157.3289686665</v>
      </c>
      <c r="Q17" s="55">
        <v>1939157.3289686665</v>
      </c>
      <c r="R17" s="55">
        <v>1939157.3289686665</v>
      </c>
      <c r="S17" s="55">
        <v>1939157.3289686665</v>
      </c>
      <c r="T17" s="55">
        <v>1939157.3289686665</v>
      </c>
      <c r="U17" s="55">
        <v>1939157.3289686665</v>
      </c>
      <c r="V17" s="55">
        <v>1939157.3289686665</v>
      </c>
    </row>
    <row r="18" spans="1:22">
      <c r="A18" s="5">
        <f t="shared" si="6"/>
        <v>10</v>
      </c>
      <c r="B18" t="s">
        <v>169</v>
      </c>
      <c r="D18" s="88">
        <v>2745</v>
      </c>
      <c r="E18" s="88">
        <f t="shared" si="5"/>
        <v>385.93872186093631</v>
      </c>
      <c r="F18" s="183">
        <f>J18</f>
        <v>3130.9387218609363</v>
      </c>
      <c r="G18" s="90"/>
      <c r="H18" s="90"/>
      <c r="I18" s="19"/>
      <c r="J18" s="3">
        <f t="shared" si="4"/>
        <v>3130.9387218609363</v>
      </c>
      <c r="K18" s="55">
        <f>'WGJ-4'!D33*(2.059*1.012)</f>
        <v>367391.02607631794</v>
      </c>
      <c r="L18" s="55">
        <f>'WGJ-4'!E33*(2.059*1.012)</f>
        <v>304454.16869927477</v>
      </c>
      <c r="M18" s="55">
        <f>'WGJ-4'!F33*(2.059*1.012)</f>
        <v>293699.77635704365</v>
      </c>
      <c r="N18" s="55">
        <f>'WGJ-4'!G33*(2.059*1.012)</f>
        <v>192467.36371289089</v>
      </c>
      <c r="O18" s="55">
        <f>'WGJ-4'!H33*(2.059*1.012)</f>
        <v>105840.61981727796</v>
      </c>
      <c r="P18" s="55">
        <f>'WGJ-4'!I33*(2.059*1.012)</f>
        <v>82601.284642008861</v>
      </c>
      <c r="Q18" s="55">
        <f>'WGJ-4'!J33*(2.059*1.012)</f>
        <v>201480.14290096864</v>
      </c>
      <c r="R18" s="55">
        <f>'WGJ-4'!K33*(2.059*1.012)</f>
        <v>273644.69082904037</v>
      </c>
      <c r="S18" s="55">
        <f>'WGJ-4'!L33*(2.059*1.012)</f>
        <v>298560.16312638181</v>
      </c>
      <c r="T18" s="55">
        <f>'WGJ-4'!M33*(2.059*1.012)</f>
        <v>324748.13544886693</v>
      </c>
      <c r="U18" s="55">
        <f>'WGJ-4'!N33*(2.059*1.012)</f>
        <v>321331.64039957098</v>
      </c>
      <c r="V18" s="55">
        <f>'WGJ-4'!O33*(2.059*1.012)</f>
        <v>364719.70985129348</v>
      </c>
    </row>
    <row r="19" spans="1:22">
      <c r="A19" s="5">
        <f t="shared" si="6"/>
        <v>11</v>
      </c>
      <c r="B19" t="s">
        <v>5</v>
      </c>
      <c r="D19" s="88">
        <v>13302</v>
      </c>
      <c r="E19" s="19">
        <f t="shared" si="5"/>
        <v>4458</v>
      </c>
      <c r="F19" s="182">
        <v>17760</v>
      </c>
      <c r="G19" s="19" t="s">
        <v>157</v>
      </c>
      <c r="H19" s="19">
        <v>-2690</v>
      </c>
      <c r="I19" s="95" t="s">
        <v>158</v>
      </c>
      <c r="J19" s="3">
        <f t="shared" si="4"/>
        <v>17759.539066500001</v>
      </c>
      <c r="K19" s="56">
        <v>3636467.3250000002</v>
      </c>
      <c r="L19" s="56">
        <v>3244590</v>
      </c>
      <c r="M19" s="56">
        <v>1797334.425</v>
      </c>
      <c r="N19" s="56">
        <v>1767237.75</v>
      </c>
      <c r="O19" s="56"/>
      <c r="P19" s="56"/>
      <c r="Q19" s="56"/>
      <c r="R19" s="56"/>
      <c r="S19" s="56"/>
      <c r="T19" s="56"/>
      <c r="U19" s="56">
        <v>3598202.4390000002</v>
      </c>
      <c r="V19" s="56">
        <v>3715707.1274999999</v>
      </c>
    </row>
    <row r="20" spans="1:22">
      <c r="A20" s="5">
        <f t="shared" si="6"/>
        <v>12</v>
      </c>
      <c r="B20" t="s">
        <v>6</v>
      </c>
      <c r="D20" s="88">
        <v>7</v>
      </c>
      <c r="E20" s="19">
        <f t="shared" si="5"/>
        <v>0</v>
      </c>
      <c r="F20" s="19">
        <v>7</v>
      </c>
      <c r="G20" s="19"/>
      <c r="H20" s="19">
        <v>6679.5</v>
      </c>
      <c r="I20" s="19"/>
      <c r="J20" s="3">
        <f t="shared" si="4"/>
        <v>6.9999999999999991</v>
      </c>
      <c r="K20" s="55">
        <f t="shared" ref="K20:V20" si="7">$F20/12*1000</f>
        <v>583.33333333333337</v>
      </c>
      <c r="L20" s="55">
        <f t="shared" si="7"/>
        <v>583.33333333333337</v>
      </c>
      <c r="M20" s="55">
        <f t="shared" si="7"/>
        <v>583.33333333333337</v>
      </c>
      <c r="N20" s="55">
        <f t="shared" si="7"/>
        <v>583.33333333333337</v>
      </c>
      <c r="O20" s="55">
        <f t="shared" si="7"/>
        <v>583.33333333333337</v>
      </c>
      <c r="P20" s="55">
        <f t="shared" si="7"/>
        <v>583.33333333333337</v>
      </c>
      <c r="Q20" s="55">
        <f t="shared" si="7"/>
        <v>583.33333333333337</v>
      </c>
      <c r="R20" s="55">
        <f t="shared" si="7"/>
        <v>583.33333333333337</v>
      </c>
      <c r="S20" s="55">
        <f t="shared" si="7"/>
        <v>583.33333333333337</v>
      </c>
      <c r="T20" s="55">
        <f t="shared" si="7"/>
        <v>583.33333333333337</v>
      </c>
      <c r="U20" s="55">
        <f t="shared" si="7"/>
        <v>583.33333333333337</v>
      </c>
      <c r="V20" s="55">
        <f t="shared" si="7"/>
        <v>583.33333333333337</v>
      </c>
    </row>
    <row r="21" spans="1:22">
      <c r="A21" s="5">
        <f t="shared" si="6"/>
        <v>13</v>
      </c>
      <c r="B21" t="s">
        <v>127</v>
      </c>
      <c r="D21" s="88">
        <v>1290</v>
      </c>
      <c r="E21" s="19">
        <f t="shared" si="5"/>
        <v>68</v>
      </c>
      <c r="F21" s="90">
        <v>1358</v>
      </c>
      <c r="G21" s="19" t="s">
        <v>157</v>
      </c>
      <c r="H21" s="90">
        <v>6132</v>
      </c>
      <c r="I21" s="19"/>
      <c r="J21" s="3">
        <f t="shared" si="4"/>
        <v>1358.4641244904462</v>
      </c>
      <c r="K21" s="55">
        <v>101777.21716415261</v>
      </c>
      <c r="L21" s="55">
        <v>122124.18402414545</v>
      </c>
      <c r="M21" s="55">
        <v>156259.97529834532</v>
      </c>
      <c r="N21" s="55">
        <v>174470.60051249905</v>
      </c>
      <c r="O21" s="55">
        <v>168952.86594441361</v>
      </c>
      <c r="P21" s="55">
        <v>147730.86448487977</v>
      </c>
      <c r="Q21" s="55">
        <v>128692.68468434841</v>
      </c>
      <c r="R21" s="55">
        <v>78476.746595809935</v>
      </c>
      <c r="S21" s="55">
        <v>53427.096850076006</v>
      </c>
      <c r="T21" s="55">
        <v>57263.917042848785</v>
      </c>
      <c r="U21" s="55">
        <v>75352.367671043787</v>
      </c>
      <c r="V21" s="55">
        <v>93935.604217883098</v>
      </c>
    </row>
    <row r="22" spans="1:22">
      <c r="A22" s="5">
        <f t="shared" si="6"/>
        <v>14</v>
      </c>
      <c r="B22" t="s">
        <v>145</v>
      </c>
      <c r="D22" s="88">
        <v>1346</v>
      </c>
      <c r="E22" s="19">
        <f t="shared" si="5"/>
        <v>388</v>
      </c>
      <c r="F22" s="181">
        <v>1734</v>
      </c>
      <c r="G22" s="19" t="s">
        <v>157</v>
      </c>
      <c r="H22" s="88">
        <v>6132</v>
      </c>
      <c r="I22" s="95" t="s">
        <v>123</v>
      </c>
      <c r="J22" s="3">
        <f t="shared" si="4"/>
        <v>1733.5599861421867</v>
      </c>
      <c r="K22" s="55">
        <v>157035.12496787083</v>
      </c>
      <c r="L22" s="55">
        <v>137359.07725429689</v>
      </c>
      <c r="M22" s="55">
        <v>107031.83786777344</v>
      </c>
      <c r="N22" s="55">
        <v>95491.928261132809</v>
      </c>
      <c r="O22" s="55">
        <v>118924.26546943338</v>
      </c>
      <c r="P22" s="55">
        <v>91137.255738867185</v>
      </c>
      <c r="Q22" s="55">
        <v>170259.1400592771</v>
      </c>
      <c r="R22" s="55">
        <v>185136.1570371094</v>
      </c>
      <c r="S22" s="55">
        <v>155568.75823212863</v>
      </c>
      <c r="T22" s="55">
        <v>175218.1457185547</v>
      </c>
      <c r="U22" s="55">
        <v>164766.90273574222</v>
      </c>
      <c r="V22" s="55">
        <v>175631.3928</v>
      </c>
    </row>
    <row r="23" spans="1:22">
      <c r="A23" s="5">
        <f t="shared" si="6"/>
        <v>15</v>
      </c>
      <c r="B23" t="s">
        <v>7</v>
      </c>
      <c r="D23" s="88">
        <v>2330</v>
      </c>
      <c r="E23" s="19">
        <f t="shared" si="5"/>
        <v>540</v>
      </c>
      <c r="F23" s="88">
        <v>2870</v>
      </c>
      <c r="G23" s="19" t="s">
        <v>157</v>
      </c>
      <c r="H23" s="19">
        <v>6953.25</v>
      </c>
      <c r="I23" s="19"/>
      <c r="J23" s="3">
        <f t="shared" si="4"/>
        <v>2870.0777956958027</v>
      </c>
      <c r="K23" s="55">
        <v>351340.85650390631</v>
      </c>
      <c r="L23" s="55">
        <v>351203.12511474651</v>
      </c>
      <c r="M23" s="55">
        <v>473037.6889111331</v>
      </c>
      <c r="N23" s="55">
        <v>369796.11731404619</v>
      </c>
      <c r="O23" s="55">
        <v>342852.57934366894</v>
      </c>
      <c r="P23" s="55">
        <v>264551.06925374374</v>
      </c>
      <c r="Q23" s="55">
        <v>94880.820286458329</v>
      </c>
      <c r="R23" s="55">
        <v>-33904.298968098956</v>
      </c>
      <c r="S23" s="55">
        <v>8925.8123209635414</v>
      </c>
      <c r="T23" s="55">
        <v>107947.21971354166</v>
      </c>
      <c r="U23" s="55">
        <v>205954.81366699244</v>
      </c>
      <c r="V23" s="55">
        <v>333491.99223470083</v>
      </c>
    </row>
    <row r="24" spans="1:22">
      <c r="A24" s="5">
        <f t="shared" si="6"/>
        <v>16</v>
      </c>
      <c r="B24" t="s">
        <v>206</v>
      </c>
      <c r="D24" s="88">
        <v>5562</v>
      </c>
      <c r="E24" s="19">
        <f t="shared" si="5"/>
        <v>755</v>
      </c>
      <c r="F24" s="88">
        <v>6317</v>
      </c>
      <c r="G24" s="19" t="s">
        <v>157</v>
      </c>
      <c r="H24" s="19"/>
      <c r="I24" s="19"/>
      <c r="J24" s="3">
        <f t="shared" si="4"/>
        <v>6317.0099181225441</v>
      </c>
      <c r="K24" s="55">
        <v>507486.46364587406</v>
      </c>
      <c r="L24" s="55">
        <v>504989.29648803675</v>
      </c>
      <c r="M24" s="55">
        <v>461586.11395788298</v>
      </c>
      <c r="N24" s="55">
        <v>472591.65381969843</v>
      </c>
      <c r="O24" s="55">
        <v>488344.6847548809</v>
      </c>
      <c r="P24" s="55">
        <v>427274.59018847457</v>
      </c>
      <c r="Q24" s="55">
        <v>533290.85440172988</v>
      </c>
      <c r="R24" s="55">
        <v>619305.51740234368</v>
      </c>
      <c r="S24" s="55">
        <v>574355.96270507807</v>
      </c>
      <c r="T24" s="55">
        <v>636508.46778320312</v>
      </c>
      <c r="U24" s="55">
        <v>549383.94918945315</v>
      </c>
      <c r="V24" s="55">
        <v>541892.36378588679</v>
      </c>
    </row>
    <row r="25" spans="1:22">
      <c r="A25" s="5">
        <f t="shared" si="6"/>
        <v>17</v>
      </c>
      <c r="B25" t="s">
        <v>49</v>
      </c>
      <c r="D25" s="88">
        <v>34</v>
      </c>
      <c r="E25" s="19">
        <f t="shared" ref="E25:E28" si="8">F25-D25</f>
        <v>-34</v>
      </c>
      <c r="F25" s="19">
        <v>0</v>
      </c>
      <c r="G25" s="19"/>
      <c r="H25" s="19">
        <v>921</v>
      </c>
      <c r="I25" s="93" t="s">
        <v>115</v>
      </c>
      <c r="J25" s="3">
        <f t="shared" si="4"/>
        <v>0</v>
      </c>
      <c r="K25" s="55"/>
      <c r="L25" s="55"/>
      <c r="M25" s="55"/>
      <c r="N25" s="55"/>
      <c r="O25" s="55"/>
      <c r="P25" s="55"/>
      <c r="Q25" s="55"/>
      <c r="R25" s="55"/>
      <c r="S25" s="55"/>
      <c r="T25" s="55"/>
      <c r="U25" s="55"/>
      <c r="V25" s="55"/>
    </row>
    <row r="26" spans="1:22">
      <c r="A26" s="5">
        <f t="shared" si="6"/>
        <v>18</v>
      </c>
      <c r="B26" t="s">
        <v>141</v>
      </c>
      <c r="D26" s="88">
        <v>1654</v>
      </c>
      <c r="E26" s="19">
        <f t="shared" si="8"/>
        <v>-1654</v>
      </c>
      <c r="F26" s="19">
        <v>0</v>
      </c>
      <c r="G26" s="19"/>
      <c r="H26" s="19"/>
      <c r="I26" s="19"/>
      <c r="J26" s="3">
        <f t="shared" si="4"/>
        <v>0</v>
      </c>
      <c r="K26" s="55"/>
      <c r="L26" s="55"/>
      <c r="M26" s="55"/>
      <c r="N26" s="55"/>
      <c r="O26" s="55"/>
      <c r="P26" s="55"/>
      <c r="Q26" s="55"/>
      <c r="R26" s="55"/>
      <c r="S26" s="55"/>
      <c r="T26" s="55"/>
      <c r="U26" s="55"/>
      <c r="V26" s="55"/>
    </row>
    <row r="27" spans="1:22">
      <c r="A27" s="5">
        <f t="shared" si="6"/>
        <v>19</v>
      </c>
      <c r="B27" s="17" t="s">
        <v>205</v>
      </c>
      <c r="C27" s="17"/>
      <c r="D27" s="89">
        <v>16541</v>
      </c>
      <c r="E27" s="39">
        <f t="shared" si="8"/>
        <v>4181</v>
      </c>
      <c r="F27" s="89">
        <v>20722</v>
      </c>
      <c r="G27" s="19" t="s">
        <v>157</v>
      </c>
      <c r="H27" s="19"/>
      <c r="I27" s="19"/>
      <c r="J27" s="3">
        <f t="shared" si="4"/>
        <v>20721.590181093754</v>
      </c>
      <c r="K27" s="55">
        <v>2321260.3050000002</v>
      </c>
      <c r="L27" s="55">
        <v>1812340.69453125</v>
      </c>
      <c r="M27" s="55">
        <v>2126185.3396875001</v>
      </c>
      <c r="N27" s="55">
        <v>1817524.2210937501</v>
      </c>
      <c r="O27" s="55">
        <v>1599399.1771874998</v>
      </c>
      <c r="P27" s="55">
        <v>1282675.1681250001</v>
      </c>
      <c r="Q27" s="55">
        <v>1098639.9450000001</v>
      </c>
      <c r="R27" s="55">
        <v>1155240.9984375001</v>
      </c>
      <c r="S27" s="55">
        <v>1332899.80078125</v>
      </c>
      <c r="T27" s="55">
        <v>1638197.4740625003</v>
      </c>
      <c r="U27" s="55">
        <v>2113291.4765625</v>
      </c>
      <c r="V27" s="55">
        <v>2423935.5806249999</v>
      </c>
    </row>
    <row r="28" spans="1:22">
      <c r="A28" s="5">
        <f>A27+1</f>
        <v>20</v>
      </c>
      <c r="B28" t="s">
        <v>8</v>
      </c>
      <c r="D28" s="88">
        <f>SUM(D9:D27)</f>
        <v>177764</v>
      </c>
      <c r="E28" s="19">
        <f t="shared" si="8"/>
        <v>-64607.094378184207</v>
      </c>
      <c r="F28" s="19">
        <f>SUM(F9:F27)</f>
        <v>113156.90562181579</v>
      </c>
      <c r="G28" s="19"/>
      <c r="H28" s="19">
        <v>0</v>
      </c>
      <c r="I28" s="19"/>
      <c r="J28" s="3">
        <f t="shared" si="4"/>
        <v>113156.57335444329</v>
      </c>
      <c r="K28" s="25">
        <f t="shared" ref="K28:V28" si="9">SUM(K9:K27)</f>
        <v>12971578.240510765</v>
      </c>
      <c r="L28" s="25">
        <f t="shared" si="9"/>
        <v>11552057.787360795</v>
      </c>
      <c r="M28" s="25">
        <f t="shared" si="9"/>
        <v>10500543.725638492</v>
      </c>
      <c r="N28" s="25">
        <f t="shared" si="9"/>
        <v>9093439.3703342825</v>
      </c>
      <c r="O28" s="25">
        <f t="shared" si="9"/>
        <v>7181125.7502606222</v>
      </c>
      <c r="P28" s="25">
        <f t="shared" si="9"/>
        <v>7086380.8322839653</v>
      </c>
      <c r="Q28" s="25">
        <f t="shared" si="9"/>
        <v>7454506.8926453404</v>
      </c>
      <c r="R28" s="25">
        <f t="shared" si="9"/>
        <v>8578546.9621014427</v>
      </c>
      <c r="S28" s="25">
        <f t="shared" si="9"/>
        <v>7140296.1050638556</v>
      </c>
      <c r="T28" s="25">
        <f t="shared" si="9"/>
        <v>7627423.2522062669</v>
      </c>
      <c r="U28" s="25">
        <f t="shared" si="9"/>
        <v>11751535.384390738</v>
      </c>
      <c r="V28" s="25">
        <f t="shared" si="9"/>
        <v>12219139.051646713</v>
      </c>
    </row>
    <row r="29" spans="1:22">
      <c r="A29" s="5"/>
      <c r="D29" s="88"/>
      <c r="E29" s="19"/>
      <c r="F29" s="19"/>
      <c r="G29" s="19"/>
      <c r="H29" s="39">
        <v>3186</v>
      </c>
      <c r="I29" s="19"/>
      <c r="J29" s="3"/>
    </row>
    <row r="30" spans="1:22">
      <c r="A30" s="5"/>
      <c r="B30" s="7" t="s">
        <v>26</v>
      </c>
      <c r="D30" s="19"/>
      <c r="E30" s="19"/>
      <c r="F30" s="19"/>
      <c r="G30" s="19"/>
      <c r="H30" s="19">
        <v>0</v>
      </c>
      <c r="I30" s="19"/>
      <c r="J30" s="3"/>
    </row>
    <row r="31" spans="1:22">
      <c r="A31" s="5">
        <f>A28+1</f>
        <v>21</v>
      </c>
      <c r="B31" t="s">
        <v>12</v>
      </c>
      <c r="D31" s="88">
        <v>407</v>
      </c>
      <c r="E31" s="88">
        <f>F31-D31</f>
        <v>0</v>
      </c>
      <c r="F31" s="128">
        <v>407</v>
      </c>
      <c r="G31" s="93"/>
      <c r="H31" s="89">
        <v>150</v>
      </c>
      <c r="I31" s="93"/>
      <c r="J31" s="3">
        <f>SUM(K31:V31)/1000</f>
        <v>407.00000000000006</v>
      </c>
      <c r="K31" s="55">
        <f>407000/12</f>
        <v>33916.666666666664</v>
      </c>
      <c r="L31" s="55">
        <f t="shared" ref="L31:V31" si="10">407000/12</f>
        <v>33916.666666666664</v>
      </c>
      <c r="M31" s="55">
        <f t="shared" si="10"/>
        <v>33916.666666666664</v>
      </c>
      <c r="N31" s="55">
        <f t="shared" si="10"/>
        <v>33916.666666666664</v>
      </c>
      <c r="O31" s="55">
        <f t="shared" si="10"/>
        <v>33916.666666666664</v>
      </c>
      <c r="P31" s="55">
        <f t="shared" si="10"/>
        <v>33916.666666666664</v>
      </c>
      <c r="Q31" s="55">
        <f t="shared" si="10"/>
        <v>33916.666666666664</v>
      </c>
      <c r="R31" s="55">
        <f t="shared" si="10"/>
        <v>33916.666666666664</v>
      </c>
      <c r="S31" s="55">
        <f t="shared" si="10"/>
        <v>33916.666666666664</v>
      </c>
      <c r="T31" s="55">
        <f t="shared" si="10"/>
        <v>33916.666666666664</v>
      </c>
      <c r="U31" s="55">
        <f t="shared" si="10"/>
        <v>33916.666666666664</v>
      </c>
      <c r="V31" s="55">
        <f t="shared" si="10"/>
        <v>33916.666666666664</v>
      </c>
    </row>
    <row r="32" spans="1:22">
      <c r="A32" s="5">
        <f>A31+1</f>
        <v>22</v>
      </c>
      <c r="B32" t="s">
        <v>208</v>
      </c>
      <c r="D32" s="88">
        <v>645</v>
      </c>
      <c r="E32" s="88">
        <f t="shared" ref="E32:E35" si="11">F32-D32</f>
        <v>-645</v>
      </c>
      <c r="F32" s="88">
        <v>0</v>
      </c>
      <c r="G32" s="88"/>
      <c r="H32" s="88"/>
      <c r="I32" s="19"/>
      <c r="J32" s="3"/>
      <c r="K32" s="55"/>
      <c r="L32" s="55"/>
      <c r="M32" s="55"/>
      <c r="N32" s="55"/>
      <c r="O32" s="55"/>
      <c r="P32" s="55"/>
      <c r="Q32" s="55"/>
      <c r="R32" s="55"/>
      <c r="S32" s="55"/>
      <c r="T32" s="55"/>
      <c r="U32" s="55"/>
      <c r="V32" s="55"/>
    </row>
    <row r="33" spans="1:22">
      <c r="A33" s="5">
        <f>A32+1</f>
        <v>23</v>
      </c>
      <c r="B33" t="s">
        <v>234</v>
      </c>
      <c r="D33" s="88">
        <v>109</v>
      </c>
      <c r="E33" s="88">
        <f t="shared" si="11"/>
        <v>-109</v>
      </c>
      <c r="F33" s="88">
        <v>0</v>
      </c>
      <c r="G33" s="88"/>
      <c r="H33" s="88"/>
      <c r="I33" s="19"/>
      <c r="J33" s="3"/>
      <c r="K33" s="55"/>
      <c r="L33" s="55"/>
      <c r="M33" s="55"/>
      <c r="N33" s="55"/>
      <c r="O33" s="55"/>
      <c r="P33" s="55"/>
      <c r="Q33" s="55"/>
      <c r="R33" s="55"/>
      <c r="S33" s="55"/>
      <c r="T33" s="55"/>
      <c r="U33" s="55"/>
      <c r="V33" s="55"/>
    </row>
    <row r="34" spans="1:22">
      <c r="A34" s="5">
        <f t="shared" ref="A34:A35" si="12">A33+1</f>
        <v>24</v>
      </c>
      <c r="B34" t="s">
        <v>236</v>
      </c>
      <c r="D34" s="88">
        <v>-5310</v>
      </c>
      <c r="E34" s="88">
        <f t="shared" si="11"/>
        <v>5310</v>
      </c>
      <c r="F34" s="88">
        <v>0</v>
      </c>
      <c r="G34" s="88"/>
      <c r="H34" s="88"/>
      <c r="I34" s="19"/>
      <c r="J34" s="3"/>
      <c r="K34" s="55"/>
      <c r="L34" s="55"/>
      <c r="M34" s="55"/>
      <c r="N34" s="55"/>
      <c r="O34" s="55"/>
      <c r="P34" s="55"/>
      <c r="Q34" s="55"/>
      <c r="R34" s="55"/>
      <c r="S34" s="55"/>
      <c r="T34" s="55"/>
      <c r="U34" s="55"/>
      <c r="V34" s="55"/>
    </row>
    <row r="35" spans="1:22">
      <c r="A35" s="5">
        <f t="shared" si="12"/>
        <v>25</v>
      </c>
      <c r="B35" t="s">
        <v>233</v>
      </c>
      <c r="D35" s="88">
        <v>1</v>
      </c>
      <c r="E35" s="88">
        <f t="shared" si="11"/>
        <v>-1</v>
      </c>
      <c r="F35" s="88">
        <v>0</v>
      </c>
      <c r="G35" s="88"/>
      <c r="H35" s="88"/>
      <c r="I35" s="19"/>
      <c r="J35" s="3"/>
      <c r="K35" s="55"/>
      <c r="L35" s="55"/>
      <c r="M35" s="55"/>
      <c r="N35" s="55"/>
      <c r="O35" s="55"/>
      <c r="P35" s="55"/>
      <c r="Q35" s="55"/>
      <c r="R35" s="55"/>
      <c r="S35" s="55"/>
      <c r="T35" s="55"/>
      <c r="U35" s="55"/>
      <c r="V35" s="55"/>
    </row>
    <row r="36" spans="1:22">
      <c r="A36" s="5">
        <f t="shared" ref="A36" si="13">A35+1</f>
        <v>26</v>
      </c>
      <c r="B36" s="17" t="s">
        <v>154</v>
      </c>
      <c r="C36" s="17"/>
      <c r="D36" s="88">
        <v>86543</v>
      </c>
      <c r="E36" s="39">
        <f>F36-D36</f>
        <v>-86543</v>
      </c>
      <c r="F36" s="19">
        <v>0</v>
      </c>
      <c r="G36" s="19"/>
      <c r="H36" s="19">
        <v>152</v>
      </c>
      <c r="I36" s="93" t="s">
        <v>122</v>
      </c>
      <c r="J36" s="3">
        <f>SUM(K36:V36)/1000</f>
        <v>0</v>
      </c>
    </row>
    <row r="37" spans="1:22">
      <c r="A37" s="5">
        <f>A36+1</f>
        <v>27</v>
      </c>
      <c r="B37" t="s">
        <v>13</v>
      </c>
      <c r="D37" s="104">
        <f>SUM(D31:D36)</f>
        <v>82395</v>
      </c>
      <c r="E37" s="19">
        <f>F37-D37</f>
        <v>-81988</v>
      </c>
      <c r="F37" s="21">
        <f>SUM(F31:F36)</f>
        <v>407</v>
      </c>
      <c r="G37" s="19"/>
      <c r="H37" s="19"/>
      <c r="I37" s="19"/>
      <c r="J37" s="3">
        <f>SUM(K37:V37)/1000</f>
        <v>407.00000000000006</v>
      </c>
      <c r="K37" s="56">
        <f>SUM(K31:K36)</f>
        <v>33916.666666666664</v>
      </c>
      <c r="L37" s="56">
        <f t="shared" ref="L37:V37" si="14">SUM(L31:L36)</f>
        <v>33916.666666666664</v>
      </c>
      <c r="M37" s="56">
        <f t="shared" si="14"/>
        <v>33916.666666666664</v>
      </c>
      <c r="N37" s="56">
        <f t="shared" si="14"/>
        <v>33916.666666666664</v>
      </c>
      <c r="O37" s="56">
        <f t="shared" si="14"/>
        <v>33916.666666666664</v>
      </c>
      <c r="P37" s="56">
        <f t="shared" si="14"/>
        <v>33916.666666666664</v>
      </c>
      <c r="Q37" s="56">
        <f t="shared" si="14"/>
        <v>33916.666666666664</v>
      </c>
      <c r="R37" s="56">
        <f t="shared" si="14"/>
        <v>33916.666666666664</v>
      </c>
      <c r="S37" s="56">
        <f t="shared" si="14"/>
        <v>33916.666666666664</v>
      </c>
      <c r="T37" s="56">
        <f t="shared" si="14"/>
        <v>33916.666666666664</v>
      </c>
      <c r="U37" s="56">
        <f t="shared" si="14"/>
        <v>33916.666666666664</v>
      </c>
      <c r="V37" s="56">
        <f t="shared" si="14"/>
        <v>33916.666666666664</v>
      </c>
    </row>
    <row r="38" spans="1:22">
      <c r="A38" s="5"/>
      <c r="D38" s="19"/>
      <c r="E38" s="19"/>
      <c r="F38" s="19"/>
      <c r="G38" s="19"/>
      <c r="H38" s="19"/>
      <c r="I38" s="19"/>
      <c r="J38" s="3"/>
    </row>
    <row r="39" spans="1:22">
      <c r="A39" s="5"/>
      <c r="B39" s="7" t="s">
        <v>47</v>
      </c>
      <c r="D39" s="19"/>
      <c r="E39" s="19"/>
      <c r="F39" s="19"/>
      <c r="G39" s="19"/>
      <c r="H39" s="19">
        <v>78</v>
      </c>
      <c r="I39" s="19"/>
      <c r="J39" s="3"/>
    </row>
    <row r="40" spans="1:22">
      <c r="A40" s="5">
        <f>A37+1</f>
        <v>28</v>
      </c>
      <c r="B40" t="s">
        <v>45</v>
      </c>
      <c r="C40" s="13"/>
      <c r="D40" s="88">
        <v>6231</v>
      </c>
      <c r="E40" s="19">
        <f>F40-D40</f>
        <v>-677.41106355190914</v>
      </c>
      <c r="F40" s="88">
        <f>'WGJ-4'!C27/1000</f>
        <v>5553.5889364480909</v>
      </c>
      <c r="G40" s="88"/>
      <c r="H40" s="89">
        <v>0</v>
      </c>
      <c r="I40" s="93" t="s">
        <v>121</v>
      </c>
      <c r="J40" s="3">
        <f>SUM(K40:V40)/1000</f>
        <v>5553.5889364480909</v>
      </c>
      <c r="K40" s="25">
        <f>'WGJ-4'!D27</f>
        <v>585952.98461914004</v>
      </c>
      <c r="L40" s="25">
        <f>'WGJ-4'!E27</f>
        <v>516232.07855224598</v>
      </c>
      <c r="M40" s="25">
        <f>'WGJ-4'!F27</f>
        <v>479478.68461608799</v>
      </c>
      <c r="N40" s="25">
        <f>'WGJ-4'!G27</f>
        <v>392351.48944854701</v>
      </c>
      <c r="O40" s="25">
        <f>'WGJ-4'!H27</f>
        <v>279329.41436767497</v>
      </c>
      <c r="P40" s="25">
        <f>'WGJ-4'!I27</f>
        <v>15743.600106239301</v>
      </c>
      <c r="Q40" s="25">
        <f>'WGJ-4'!J27</f>
        <v>426713.43841552699</v>
      </c>
      <c r="R40" s="25">
        <f>'WGJ-4'!K27</f>
        <v>553466.72782897891</v>
      </c>
      <c r="S40" s="25">
        <f>'WGJ-4'!L27</f>
        <v>575436.82365417399</v>
      </c>
      <c r="T40" s="25">
        <f>'WGJ-4'!M27</f>
        <v>574329.43382263102</v>
      </c>
      <c r="U40" s="25">
        <f>'WGJ-4'!N27</f>
        <v>558587.00332641602</v>
      </c>
      <c r="V40" s="25">
        <f>'WGJ-4'!O27</f>
        <v>595967.25769042911</v>
      </c>
    </row>
    <row r="41" spans="1:22">
      <c r="A41" s="5">
        <f>A40+1</f>
        <v>29</v>
      </c>
      <c r="B41" t="s">
        <v>171</v>
      </c>
      <c r="C41" s="13"/>
      <c r="D41" s="90">
        <v>14</v>
      </c>
      <c r="E41" s="19">
        <f>F41-D41</f>
        <v>0</v>
      </c>
      <c r="F41" s="19">
        <v>14</v>
      </c>
      <c r="G41" s="19"/>
      <c r="H41" s="19">
        <v>78</v>
      </c>
      <c r="I41" s="19"/>
      <c r="J41" s="3">
        <f>SUM(K41:V41)/1000</f>
        <v>13.999999999999998</v>
      </c>
      <c r="K41" s="18">
        <f>$F41/12*1000</f>
        <v>1166.6666666666667</v>
      </c>
      <c r="L41" s="18">
        <f t="shared" ref="L41:V41" si="15">$F41/12*1000</f>
        <v>1166.6666666666667</v>
      </c>
      <c r="M41" s="18">
        <f t="shared" si="15"/>
        <v>1166.6666666666667</v>
      </c>
      <c r="N41" s="18">
        <f t="shared" si="15"/>
        <v>1166.6666666666667</v>
      </c>
      <c r="O41" s="18">
        <f t="shared" si="15"/>
        <v>1166.6666666666667</v>
      </c>
      <c r="P41" s="18">
        <f t="shared" si="15"/>
        <v>1166.6666666666667</v>
      </c>
      <c r="Q41" s="18">
        <f t="shared" si="15"/>
        <v>1166.6666666666667</v>
      </c>
      <c r="R41" s="18">
        <f t="shared" si="15"/>
        <v>1166.6666666666667</v>
      </c>
      <c r="S41" s="18">
        <f t="shared" si="15"/>
        <v>1166.6666666666667</v>
      </c>
      <c r="T41" s="18">
        <f t="shared" si="15"/>
        <v>1166.6666666666667</v>
      </c>
      <c r="U41" s="18">
        <f t="shared" si="15"/>
        <v>1166.6666666666667</v>
      </c>
      <c r="V41" s="18">
        <f t="shared" si="15"/>
        <v>1166.6666666666667</v>
      </c>
    </row>
    <row r="42" spans="1:22">
      <c r="A42" s="5">
        <f>A41+1</f>
        <v>30</v>
      </c>
      <c r="B42" s="12" t="s">
        <v>46</v>
      </c>
      <c r="C42" s="11"/>
      <c r="D42" s="88">
        <v>22168</v>
      </c>
      <c r="E42" s="19">
        <f>F42-D42</f>
        <v>1241.5789221491505</v>
      </c>
      <c r="F42" s="88">
        <f>'WGJ-4'!C23/1000</f>
        <v>23409.57892214915</v>
      </c>
      <c r="G42" s="88"/>
      <c r="H42" s="88"/>
      <c r="I42" s="93" t="s">
        <v>121</v>
      </c>
      <c r="J42" s="3">
        <f>SUM(K42:V42)/1000</f>
        <v>23409.57892214915</v>
      </c>
      <c r="K42" s="80">
        <f>'WGJ-4'!D23</f>
        <v>2074525.7081883329</v>
      </c>
      <c r="L42" s="80">
        <f>'WGJ-4'!E23</f>
        <v>1936111.6945164567</v>
      </c>
      <c r="M42" s="80">
        <f>'WGJ-4'!F23</f>
        <v>2037191.1615269559</v>
      </c>
      <c r="N42" s="80">
        <f>'WGJ-4'!G23</f>
        <v>1846530.3480046168</v>
      </c>
      <c r="O42" s="80">
        <f>'WGJ-4'!H23</f>
        <v>1664850.9874241727</v>
      </c>
      <c r="P42" s="80">
        <f>'WGJ-4'!I23</f>
        <v>1569174.5733158956</v>
      </c>
      <c r="Q42" s="80">
        <f>'WGJ-4'!J23</f>
        <v>1991852.768506326</v>
      </c>
      <c r="R42" s="80">
        <f>'WGJ-4'!K23</f>
        <v>2055938.9173405548</v>
      </c>
      <c r="S42" s="80">
        <f>'WGJ-4'!L23</f>
        <v>2042240.5515568627</v>
      </c>
      <c r="T42" s="80">
        <f>'WGJ-4'!M23</f>
        <v>2078655.6959050077</v>
      </c>
      <c r="U42" s="80">
        <f>'WGJ-4'!N23</f>
        <v>2035459.0436833277</v>
      </c>
      <c r="V42" s="80">
        <f>'WGJ-4'!O23</f>
        <v>2077047.4721806417</v>
      </c>
    </row>
    <row r="43" spans="1:22">
      <c r="A43" s="5">
        <f>A42+1</f>
        <v>31</v>
      </c>
      <c r="B43" s="17" t="s">
        <v>191</v>
      </c>
      <c r="C43" s="40"/>
      <c r="D43" s="142">
        <v>229</v>
      </c>
      <c r="E43" s="39">
        <f>F43-D43</f>
        <v>0</v>
      </c>
      <c r="F43" s="89">
        <v>229</v>
      </c>
      <c r="G43" s="19"/>
      <c r="H43" s="19"/>
      <c r="I43" s="19"/>
      <c r="J43" s="3">
        <f>SUM(K43:V43)/1000</f>
        <v>229.00000000000003</v>
      </c>
      <c r="K43" s="105">
        <f>$F43/12*1000</f>
        <v>19083.333333333332</v>
      </c>
      <c r="L43" s="105">
        <f t="shared" ref="L43:V43" si="16">$F43/12*1000</f>
        <v>19083.333333333332</v>
      </c>
      <c r="M43" s="105">
        <f t="shared" si="16"/>
        <v>19083.333333333332</v>
      </c>
      <c r="N43" s="105">
        <f t="shared" si="16"/>
        <v>19083.333333333332</v>
      </c>
      <c r="O43" s="105">
        <f t="shared" si="16"/>
        <v>19083.333333333332</v>
      </c>
      <c r="P43" s="105">
        <f t="shared" si="16"/>
        <v>19083.333333333332</v>
      </c>
      <c r="Q43" s="105">
        <f t="shared" si="16"/>
        <v>19083.333333333332</v>
      </c>
      <c r="R43" s="105">
        <f t="shared" si="16"/>
        <v>19083.333333333332</v>
      </c>
      <c r="S43" s="105">
        <f t="shared" si="16"/>
        <v>19083.333333333332</v>
      </c>
      <c r="T43" s="105">
        <f t="shared" si="16"/>
        <v>19083.333333333332</v>
      </c>
      <c r="U43" s="105">
        <f t="shared" si="16"/>
        <v>19083.333333333332</v>
      </c>
      <c r="V43" s="105">
        <f t="shared" si="16"/>
        <v>19083.333333333332</v>
      </c>
    </row>
    <row r="44" spans="1:22">
      <c r="A44" s="11">
        <f>A43+1</f>
        <v>32</v>
      </c>
      <c r="B44" t="s">
        <v>22</v>
      </c>
      <c r="D44" s="88">
        <f>SUM(D40:D43)</f>
        <v>28642</v>
      </c>
      <c r="E44" s="19">
        <f>F44-D44</f>
        <v>564.16785859724041</v>
      </c>
      <c r="F44" s="19">
        <f>SUM(F40:F43)</f>
        <v>29206.16785859724</v>
      </c>
      <c r="G44" s="19"/>
      <c r="H44" s="19">
        <v>8095.4688974966612</v>
      </c>
      <c r="I44" s="19"/>
      <c r="J44" s="3">
        <f>SUM(K44:V44)/1000</f>
        <v>29206.167858597248</v>
      </c>
      <c r="K44" s="25">
        <f>SUM(K40:K43)</f>
        <v>2680728.6928074728</v>
      </c>
      <c r="L44" s="25">
        <f t="shared" ref="L44:V44" si="17">SUM(L40:L43)</f>
        <v>2472593.7730687028</v>
      </c>
      <c r="M44" s="25">
        <f t="shared" si="17"/>
        <v>2536919.8461430441</v>
      </c>
      <c r="N44" s="25">
        <f t="shared" si="17"/>
        <v>2259131.8374531642</v>
      </c>
      <c r="O44" s="25">
        <f t="shared" si="17"/>
        <v>1964430.4017918475</v>
      </c>
      <c r="P44" s="25">
        <f t="shared" si="17"/>
        <v>1605168.1734221349</v>
      </c>
      <c r="Q44" s="25">
        <f t="shared" si="17"/>
        <v>2438816.2069218531</v>
      </c>
      <c r="R44" s="25">
        <f t="shared" si="17"/>
        <v>2629655.6451695338</v>
      </c>
      <c r="S44" s="25">
        <f t="shared" si="17"/>
        <v>2637927.3752110368</v>
      </c>
      <c r="T44" s="25">
        <f t="shared" si="17"/>
        <v>2673235.1297276388</v>
      </c>
      <c r="U44" s="25">
        <f t="shared" si="17"/>
        <v>2614296.0470097438</v>
      </c>
      <c r="V44" s="25">
        <f t="shared" si="17"/>
        <v>2693264.7298710709</v>
      </c>
    </row>
    <row r="45" spans="1:22">
      <c r="A45" s="5"/>
      <c r="D45" s="19"/>
      <c r="E45" s="19"/>
      <c r="F45" s="19"/>
      <c r="G45" s="19"/>
      <c r="H45" s="19">
        <v>0</v>
      </c>
      <c r="I45" s="19"/>
      <c r="J45" s="3"/>
    </row>
    <row r="46" spans="1:22">
      <c r="A46" s="5"/>
      <c r="B46" s="7" t="s">
        <v>48</v>
      </c>
      <c r="D46" s="19"/>
      <c r="E46" s="19"/>
      <c r="F46" s="19"/>
      <c r="G46" s="19"/>
      <c r="H46" s="19">
        <v>10682.990036010742</v>
      </c>
      <c r="I46" s="19"/>
      <c r="J46" s="3"/>
    </row>
    <row r="47" spans="1:22">
      <c r="A47" s="5">
        <f>A44+1</f>
        <v>33</v>
      </c>
      <c r="B47" s="16" t="s">
        <v>57</v>
      </c>
      <c r="D47" s="88">
        <v>42752</v>
      </c>
      <c r="E47" s="19">
        <f t="shared" ref="E47:E57" si="18">F47-D47</f>
        <v>-7261.7536253674625</v>
      </c>
      <c r="F47" s="88">
        <f>'WGJ-4'!C31/1000</f>
        <v>35490.246374632537</v>
      </c>
      <c r="G47" s="88"/>
      <c r="H47" s="89">
        <v>188</v>
      </c>
      <c r="I47" s="93" t="s">
        <v>121</v>
      </c>
      <c r="J47" s="3">
        <f t="shared" ref="J47:J57" si="19">SUM(K47:V47)/1000</f>
        <v>35490.246374632537</v>
      </c>
      <c r="K47" s="25">
        <f>'WGJ-4'!D31</f>
        <v>4490942.8955666926</v>
      </c>
      <c r="L47" s="25">
        <f>'WGJ-4'!E31</f>
        <v>3737640.8581083007</v>
      </c>
      <c r="M47" s="25">
        <f>'WGJ-4'!F31</f>
        <v>3254387.7231341302</v>
      </c>
      <c r="N47" s="25">
        <f>'WGJ-4'!G31</f>
        <v>1902175.4371210088</v>
      </c>
      <c r="O47" s="25">
        <f>'WGJ-4'!H31</f>
        <v>1106665.7203850066</v>
      </c>
      <c r="P47" s="25">
        <f>'WGJ-4'!I31</f>
        <v>754297.05267189781</v>
      </c>
      <c r="Q47" s="25">
        <f>'WGJ-4'!J31</f>
        <v>2299589.1299760477</v>
      </c>
      <c r="R47" s="25">
        <f>'WGJ-4'!K31</f>
        <v>3158453.790913193</v>
      </c>
      <c r="S47" s="25">
        <f>'WGJ-4'!L31</f>
        <v>3402317.6483097719</v>
      </c>
      <c r="T47" s="25">
        <f>'WGJ-4'!M31</f>
        <v>3426780.7638494209</v>
      </c>
      <c r="U47" s="25">
        <f>'WGJ-4'!N31</f>
        <v>3610165.0990818636</v>
      </c>
      <c r="V47" s="25">
        <f>'WGJ-4'!O31</f>
        <v>4346830.2555151954</v>
      </c>
    </row>
    <row r="48" spans="1:22">
      <c r="A48" s="5">
        <f>A47+1</f>
        <v>34</v>
      </c>
      <c r="B48" s="16" t="s">
        <v>178</v>
      </c>
      <c r="D48" s="88">
        <v>6247</v>
      </c>
      <c r="E48" s="19">
        <f t="shared" si="18"/>
        <v>148</v>
      </c>
      <c r="F48" s="182">
        <v>6395</v>
      </c>
      <c r="G48" s="19"/>
      <c r="H48" s="19">
        <v>18966.458933507405</v>
      </c>
      <c r="I48" s="19"/>
      <c r="J48" s="3">
        <f t="shared" si="19"/>
        <v>6395.0000000000009</v>
      </c>
      <c r="K48" s="81">
        <f>$F48/12*1000</f>
        <v>532916.66666666663</v>
      </c>
      <c r="L48" s="81">
        <f t="shared" ref="L48:V48" si="20">$F48/12*1000</f>
        <v>532916.66666666663</v>
      </c>
      <c r="M48" s="81">
        <f t="shared" si="20"/>
        <v>532916.66666666663</v>
      </c>
      <c r="N48" s="81">
        <f t="shared" si="20"/>
        <v>532916.66666666663</v>
      </c>
      <c r="O48" s="81">
        <f t="shared" si="20"/>
        <v>532916.66666666663</v>
      </c>
      <c r="P48" s="81">
        <f t="shared" si="20"/>
        <v>532916.66666666663</v>
      </c>
      <c r="Q48" s="81">
        <f t="shared" si="20"/>
        <v>532916.66666666663</v>
      </c>
      <c r="R48" s="81">
        <f t="shared" si="20"/>
        <v>532916.66666666663</v>
      </c>
      <c r="S48" s="81">
        <f t="shared" si="20"/>
        <v>532916.66666666663</v>
      </c>
      <c r="T48" s="81">
        <f t="shared" si="20"/>
        <v>532916.66666666663</v>
      </c>
      <c r="U48" s="81">
        <f t="shared" si="20"/>
        <v>532916.66666666663</v>
      </c>
      <c r="V48" s="81">
        <f t="shared" si="20"/>
        <v>532916.66666666663</v>
      </c>
    </row>
    <row r="49" spans="1:22">
      <c r="A49" s="5">
        <f t="shared" ref="A49:A58" si="21">A48+1</f>
        <v>35</v>
      </c>
      <c r="B49" s="16" t="s">
        <v>164</v>
      </c>
      <c r="D49" s="88">
        <v>33676</v>
      </c>
      <c r="E49" s="19">
        <f t="shared" si="18"/>
        <v>-862.91600351184024</v>
      </c>
      <c r="F49" s="88">
        <f>'WGJ-4'!C35/1000</f>
        <v>32813.08399648816</v>
      </c>
      <c r="G49" s="19"/>
      <c r="H49" s="19"/>
      <c r="I49" s="19"/>
      <c r="J49" s="3">
        <f t="shared" si="19"/>
        <v>32813.08399648816</v>
      </c>
      <c r="K49" s="81">
        <f>'WGJ-4'!D35</f>
        <v>4154730.6344800671</v>
      </c>
      <c r="L49" s="81">
        <f>'WGJ-4'!E35</f>
        <v>3427120.6191106047</v>
      </c>
      <c r="M49" s="81">
        <f>'WGJ-4'!F35</f>
        <v>3115581.9329912183</v>
      </c>
      <c r="N49" s="81">
        <f>'WGJ-4'!G35</f>
        <v>1855290.8062769857</v>
      </c>
      <c r="O49" s="81">
        <f>'WGJ-4'!H35</f>
        <v>1023324.7939322065</v>
      </c>
      <c r="P49" s="81">
        <f>'WGJ-4'!I35</f>
        <v>812929.06899446016</v>
      </c>
      <c r="Q49" s="81">
        <f>'WGJ-4'!J35</f>
        <v>2025110.9227658138</v>
      </c>
      <c r="R49" s="81">
        <f>'WGJ-4'!K35</f>
        <v>2762136.5510292966</v>
      </c>
      <c r="S49" s="81">
        <f>'WGJ-4'!L35</f>
        <v>2979441.4598679291</v>
      </c>
      <c r="T49" s="81">
        <f>'WGJ-4'!M35</f>
        <v>3231572.3880353705</v>
      </c>
      <c r="U49" s="81">
        <f>'WGJ-4'!N35</f>
        <v>3401386.8078674534</v>
      </c>
      <c r="V49" s="81">
        <f>'WGJ-4'!O35</f>
        <v>4024458.0111367572</v>
      </c>
    </row>
    <row r="50" spans="1:22">
      <c r="A50" s="5">
        <f t="shared" si="21"/>
        <v>36</v>
      </c>
      <c r="B50" s="16" t="s">
        <v>177</v>
      </c>
      <c r="D50" s="88">
        <v>5409</v>
      </c>
      <c r="E50" s="19">
        <f t="shared" si="18"/>
        <v>20</v>
      </c>
      <c r="F50" s="182">
        <v>5429</v>
      </c>
      <c r="G50" s="19"/>
      <c r="H50" s="19"/>
      <c r="I50" s="19"/>
      <c r="J50" s="3">
        <f t="shared" si="19"/>
        <v>5429</v>
      </c>
      <c r="K50" s="81">
        <f>$F50/12*1000</f>
        <v>452416.66666666669</v>
      </c>
      <c r="L50" s="81">
        <f t="shared" ref="L50:V50" si="22">$F50/12*1000</f>
        <v>452416.66666666669</v>
      </c>
      <c r="M50" s="81">
        <f t="shared" si="22"/>
        <v>452416.66666666669</v>
      </c>
      <c r="N50" s="81">
        <f t="shared" si="22"/>
        <v>452416.66666666669</v>
      </c>
      <c r="O50" s="81">
        <f t="shared" si="22"/>
        <v>452416.66666666669</v>
      </c>
      <c r="P50" s="81">
        <f t="shared" si="22"/>
        <v>452416.66666666669</v>
      </c>
      <c r="Q50" s="81">
        <f t="shared" si="22"/>
        <v>452416.66666666669</v>
      </c>
      <c r="R50" s="81">
        <f t="shared" si="22"/>
        <v>452416.66666666669</v>
      </c>
      <c r="S50" s="81">
        <f t="shared" si="22"/>
        <v>452416.66666666669</v>
      </c>
      <c r="T50" s="81">
        <f t="shared" si="22"/>
        <v>452416.66666666669</v>
      </c>
      <c r="U50" s="81">
        <f t="shared" si="22"/>
        <v>452416.66666666669</v>
      </c>
      <c r="V50" s="81">
        <f t="shared" si="22"/>
        <v>452416.66666666669</v>
      </c>
    </row>
    <row r="51" spans="1:22">
      <c r="A51" s="5">
        <f t="shared" si="21"/>
        <v>37</v>
      </c>
      <c r="B51" t="s">
        <v>184</v>
      </c>
      <c r="D51" s="88">
        <v>0</v>
      </c>
      <c r="E51" s="19">
        <f t="shared" si="18"/>
        <v>-861</v>
      </c>
      <c r="F51" s="181">
        <v>-861</v>
      </c>
      <c r="G51" s="19"/>
      <c r="H51" s="19"/>
      <c r="I51" s="19"/>
      <c r="J51" s="3">
        <f t="shared" si="19"/>
        <v>-860.87299999999993</v>
      </c>
      <c r="K51" s="81">
        <f>-860873/12</f>
        <v>-71739.416666666672</v>
      </c>
      <c r="L51" s="81">
        <f t="shared" ref="L51:V51" si="23">-860873/12</f>
        <v>-71739.416666666672</v>
      </c>
      <c r="M51" s="81">
        <f t="shared" si="23"/>
        <v>-71739.416666666672</v>
      </c>
      <c r="N51" s="81">
        <f t="shared" si="23"/>
        <v>-71739.416666666672</v>
      </c>
      <c r="O51" s="81">
        <f t="shared" si="23"/>
        <v>-71739.416666666672</v>
      </c>
      <c r="P51" s="81">
        <f t="shared" si="23"/>
        <v>-71739.416666666672</v>
      </c>
      <c r="Q51" s="81">
        <f t="shared" si="23"/>
        <v>-71739.416666666672</v>
      </c>
      <c r="R51" s="81">
        <f t="shared" si="23"/>
        <v>-71739.416666666672</v>
      </c>
      <c r="S51" s="81">
        <f t="shared" si="23"/>
        <v>-71739.416666666672</v>
      </c>
      <c r="T51" s="81">
        <f t="shared" si="23"/>
        <v>-71739.416666666672</v>
      </c>
      <c r="U51" s="81">
        <f t="shared" si="23"/>
        <v>-71739.416666666672</v>
      </c>
      <c r="V51" s="81">
        <f t="shared" si="23"/>
        <v>-71739.416666666672</v>
      </c>
    </row>
    <row r="52" spans="1:22">
      <c r="A52" s="5">
        <f t="shared" si="21"/>
        <v>38</v>
      </c>
      <c r="B52" t="s">
        <v>209</v>
      </c>
      <c r="D52" s="88">
        <v>0</v>
      </c>
      <c r="E52" s="19">
        <f t="shared" si="18"/>
        <v>-9000</v>
      </c>
      <c r="F52" s="88">
        <v>-9000</v>
      </c>
      <c r="G52" s="19"/>
      <c r="H52" s="19"/>
      <c r="I52" s="19"/>
      <c r="J52" s="3">
        <f t="shared" si="19"/>
        <v>-9000</v>
      </c>
      <c r="K52" s="81">
        <f>$F52*1000/12</f>
        <v>-750000</v>
      </c>
      <c r="L52" s="81">
        <f t="shared" ref="L52:V52" si="24">$F52*1000/12</f>
        <v>-750000</v>
      </c>
      <c r="M52" s="81">
        <f t="shared" si="24"/>
        <v>-750000</v>
      </c>
      <c r="N52" s="81">
        <f t="shared" si="24"/>
        <v>-750000</v>
      </c>
      <c r="O52" s="81">
        <f t="shared" si="24"/>
        <v>-750000</v>
      </c>
      <c r="P52" s="81">
        <f t="shared" si="24"/>
        <v>-750000</v>
      </c>
      <c r="Q52" s="81">
        <f t="shared" si="24"/>
        <v>-750000</v>
      </c>
      <c r="R52" s="81">
        <f t="shared" si="24"/>
        <v>-750000</v>
      </c>
      <c r="S52" s="81">
        <f t="shared" si="24"/>
        <v>-750000</v>
      </c>
      <c r="T52" s="81">
        <f t="shared" si="24"/>
        <v>-750000</v>
      </c>
      <c r="U52" s="81">
        <f t="shared" si="24"/>
        <v>-750000</v>
      </c>
      <c r="V52" s="81">
        <f t="shared" si="24"/>
        <v>-750000</v>
      </c>
    </row>
    <row r="53" spans="1:22">
      <c r="A53" s="5">
        <f t="shared" si="21"/>
        <v>39</v>
      </c>
      <c r="B53" t="s">
        <v>189</v>
      </c>
      <c r="D53" s="88">
        <v>53</v>
      </c>
      <c r="E53" s="19">
        <f t="shared" si="18"/>
        <v>0</v>
      </c>
      <c r="F53" s="128">
        <v>53</v>
      </c>
      <c r="G53" s="19"/>
      <c r="H53" s="19"/>
      <c r="I53" s="19"/>
      <c r="J53" s="3">
        <f t="shared" si="19"/>
        <v>52.999999999999993</v>
      </c>
      <c r="K53" s="130">
        <f>53000/12</f>
        <v>4416.666666666667</v>
      </c>
      <c r="L53" s="130">
        <f t="shared" ref="L53:V53" si="25">53000/12</f>
        <v>4416.666666666667</v>
      </c>
      <c r="M53" s="130">
        <f t="shared" si="25"/>
        <v>4416.666666666667</v>
      </c>
      <c r="N53" s="130">
        <f t="shared" si="25"/>
        <v>4416.666666666667</v>
      </c>
      <c r="O53" s="130">
        <f t="shared" si="25"/>
        <v>4416.666666666667</v>
      </c>
      <c r="P53" s="130">
        <f t="shared" si="25"/>
        <v>4416.666666666667</v>
      </c>
      <c r="Q53" s="130">
        <f t="shared" si="25"/>
        <v>4416.666666666667</v>
      </c>
      <c r="R53" s="130">
        <f t="shared" si="25"/>
        <v>4416.666666666667</v>
      </c>
      <c r="S53" s="130">
        <f t="shared" si="25"/>
        <v>4416.666666666667</v>
      </c>
      <c r="T53" s="130">
        <f t="shared" si="25"/>
        <v>4416.666666666667</v>
      </c>
      <c r="U53" s="130">
        <f t="shared" si="25"/>
        <v>4416.666666666667</v>
      </c>
      <c r="V53" s="130">
        <f t="shared" si="25"/>
        <v>4416.666666666667</v>
      </c>
    </row>
    <row r="54" spans="1:22">
      <c r="A54" s="5">
        <f t="shared" si="21"/>
        <v>40</v>
      </c>
      <c r="B54" s="12" t="s">
        <v>61</v>
      </c>
      <c r="C54" s="12"/>
      <c r="D54" s="88">
        <v>1832</v>
      </c>
      <c r="E54" s="19">
        <f t="shared" si="18"/>
        <v>-209.81196831669513</v>
      </c>
      <c r="F54" s="88">
        <f>'WGJ-4'!C47/1000</f>
        <v>1622.1880316833049</v>
      </c>
      <c r="G54" s="88"/>
      <c r="H54" s="88"/>
      <c r="I54" s="93" t="s">
        <v>121</v>
      </c>
      <c r="J54" s="3">
        <f t="shared" si="19"/>
        <v>1622.1880316833049</v>
      </c>
      <c r="K54" s="25">
        <f>'WGJ-4'!D47</f>
        <v>190919.44356260297</v>
      </c>
      <c r="L54" s="25">
        <f>'WGJ-4'!E47</f>
        <v>151972.51939859384</v>
      </c>
      <c r="M54" s="25">
        <f>'WGJ-4'!F47</f>
        <v>400.51750020980722</v>
      </c>
      <c r="N54" s="25">
        <f>'WGJ-4'!G47</f>
        <v>0</v>
      </c>
      <c r="O54" s="25">
        <f>'WGJ-4'!H47</f>
        <v>185.90781764984121</v>
      </c>
      <c r="P54" s="25">
        <f>'WGJ-4'!I47</f>
        <v>39288.355364674288</v>
      </c>
      <c r="Q54" s="25">
        <f>'WGJ-4'!J47</f>
        <v>243127.18568071007</v>
      </c>
      <c r="R54" s="25">
        <f>'WGJ-4'!K47</f>
        <v>446889.32261028216</v>
      </c>
      <c r="S54" s="25">
        <f>'WGJ-4'!L47</f>
        <v>213999.71307141715</v>
      </c>
      <c r="T54" s="25">
        <f>'WGJ-4'!M47</f>
        <v>48421.902417540463</v>
      </c>
      <c r="U54" s="25">
        <f>'WGJ-4'!N47</f>
        <v>104505.79675500379</v>
      </c>
      <c r="V54" s="25">
        <f>'WGJ-4'!O47</f>
        <v>182477.36750462043</v>
      </c>
    </row>
    <row r="55" spans="1:22">
      <c r="A55" s="5">
        <f t="shared" si="21"/>
        <v>41</v>
      </c>
      <c r="B55" t="s">
        <v>60</v>
      </c>
      <c r="D55" s="88">
        <v>50</v>
      </c>
      <c r="E55" s="19">
        <f t="shared" si="18"/>
        <v>26.216144836321277</v>
      </c>
      <c r="F55" s="88">
        <f>'WGJ-4'!C51/1000</f>
        <v>76.216144836321277</v>
      </c>
      <c r="G55" s="88"/>
      <c r="H55" s="88"/>
      <c r="I55" s="93" t="s">
        <v>121</v>
      </c>
      <c r="J55" s="3">
        <f t="shared" si="19"/>
        <v>76.216144836321277</v>
      </c>
      <c r="K55" s="25">
        <f>'WGJ-4'!D51</f>
        <v>15139.964365959158</v>
      </c>
      <c r="L55" s="25">
        <f>'WGJ-4'!E51</f>
        <v>8806.7804813384992</v>
      </c>
      <c r="M55" s="25">
        <f>'WGJ-4'!F51</f>
        <v>0</v>
      </c>
      <c r="N55" s="25">
        <f>'WGJ-4'!G51</f>
        <v>0</v>
      </c>
      <c r="O55" s="25">
        <f>'WGJ-4'!H51</f>
        <v>0</v>
      </c>
      <c r="P55" s="25">
        <f>'WGJ-4'!I51</f>
        <v>3456.7372798919596</v>
      </c>
      <c r="Q55" s="25">
        <f>'WGJ-4'!J51</f>
        <v>10681.998816505069</v>
      </c>
      <c r="R55" s="25">
        <f>'WGJ-4'!K51</f>
        <v>21802.160653471801</v>
      </c>
      <c r="S55" s="25">
        <f>'WGJ-4'!L51</f>
        <v>8832.8393861651293</v>
      </c>
      <c r="T55" s="25">
        <f>'WGJ-4'!M51</f>
        <v>802.22812294959999</v>
      </c>
      <c r="U55" s="25">
        <f>'WGJ-4'!N51</f>
        <v>1822.9186981916419</v>
      </c>
      <c r="V55" s="25">
        <f>'WGJ-4'!O51</f>
        <v>4870.5170318484206</v>
      </c>
    </row>
    <row r="56" spans="1:22">
      <c r="A56" s="5">
        <f t="shared" si="21"/>
        <v>42</v>
      </c>
      <c r="B56" t="s">
        <v>58</v>
      </c>
      <c r="D56" s="88">
        <v>613</v>
      </c>
      <c r="E56" s="19">
        <f t="shared" si="18"/>
        <v>203.800949797405</v>
      </c>
      <c r="F56" s="88">
        <f>'WGJ-4'!C39/1000</f>
        <v>816.800949797405</v>
      </c>
      <c r="G56" s="88"/>
      <c r="H56" s="88">
        <v>59394.366704579188</v>
      </c>
      <c r="I56" s="93" t="s">
        <v>121</v>
      </c>
      <c r="J56" s="3">
        <f t="shared" si="19"/>
        <v>816.800949797405</v>
      </c>
      <c r="K56" s="25">
        <f>'WGJ-4'!D39</f>
        <v>110522.640800476</v>
      </c>
      <c r="L56" s="25">
        <f>'WGJ-4'!E39</f>
        <v>78962.620574235902</v>
      </c>
      <c r="M56" s="25">
        <f>'WGJ-4'!F39</f>
        <v>25176.299937814398</v>
      </c>
      <c r="N56" s="25">
        <f>'WGJ-4'!G39</f>
        <v>13970.815948024301</v>
      </c>
      <c r="O56" s="25">
        <f>'WGJ-4'!H39</f>
        <v>4900.2626761793999</v>
      </c>
      <c r="P56" s="25">
        <f>'WGJ-4'!I39</f>
        <v>16599.979019909999</v>
      </c>
      <c r="Q56" s="25">
        <f>'WGJ-4'!J39</f>
        <v>103918.32976341201</v>
      </c>
      <c r="R56" s="25">
        <f>'WGJ-4'!K39</f>
        <v>130244.46487426701</v>
      </c>
      <c r="S56" s="25">
        <f>'WGJ-4'!L39</f>
        <v>98703.137814998598</v>
      </c>
      <c r="T56" s="25">
        <f>'WGJ-4'!M39</f>
        <v>47283.614324033202</v>
      </c>
      <c r="U56" s="25">
        <f>'WGJ-4'!N39</f>
        <v>79635.4097604751</v>
      </c>
      <c r="V56" s="25">
        <f>'WGJ-4'!O39</f>
        <v>106883.37430357901</v>
      </c>
    </row>
    <row r="57" spans="1:22">
      <c r="A57" s="5">
        <f t="shared" si="21"/>
        <v>43</v>
      </c>
      <c r="B57" s="103" t="s">
        <v>59</v>
      </c>
      <c r="C57" s="17"/>
      <c r="D57" s="89">
        <v>156</v>
      </c>
      <c r="E57" s="39">
        <f t="shared" si="18"/>
        <v>74.999268003738905</v>
      </c>
      <c r="F57" s="89">
        <f>'WGJ-4'!C43/1000</f>
        <v>230.99926800373891</v>
      </c>
      <c r="G57" s="88"/>
      <c r="H57" s="88">
        <v>6240</v>
      </c>
      <c r="I57" s="93" t="s">
        <v>121</v>
      </c>
      <c r="J57" s="84">
        <f t="shared" si="19"/>
        <v>230.99926800373891</v>
      </c>
      <c r="K57" s="120">
        <f>'WGJ-4'!D43</f>
        <v>24025.863613188201</v>
      </c>
      <c r="L57" s="120">
        <f>'WGJ-4'!E43</f>
        <v>19114.1430534422</v>
      </c>
      <c r="M57" s="120">
        <f>'WGJ-4'!F43</f>
        <v>1023.6696287989599</v>
      </c>
      <c r="N57" s="120">
        <f>'WGJ-4'!G43</f>
        <v>625.74037406593493</v>
      </c>
      <c r="O57" s="120">
        <f>'WGJ-4'!H43</f>
        <v>781.78769368678297</v>
      </c>
      <c r="P57" s="120">
        <f>'WGJ-4'!I43</f>
        <v>5994.3498734384693</v>
      </c>
      <c r="Q57" s="120">
        <f>'WGJ-4'!J43</f>
        <v>30054.843801818697</v>
      </c>
      <c r="R57" s="120">
        <f>'WGJ-4'!K43</f>
        <v>49501.919382810498</v>
      </c>
      <c r="S57" s="120">
        <f>'WGJ-4'!L43</f>
        <v>34598.216171562599</v>
      </c>
      <c r="T57" s="120">
        <f>'WGJ-4'!M43</f>
        <v>14228.0048798769</v>
      </c>
      <c r="U57" s="120">
        <f>'WGJ-4'!N43</f>
        <v>20326.053287088802</v>
      </c>
      <c r="V57" s="120">
        <f>'WGJ-4'!O43</f>
        <v>30724.676243960799</v>
      </c>
    </row>
    <row r="58" spans="1:22">
      <c r="A58" s="5">
        <f t="shared" si="21"/>
        <v>44</v>
      </c>
      <c r="B58" t="s">
        <v>44</v>
      </c>
      <c r="D58" s="88">
        <f>SUM(D47:D57)</f>
        <v>90788</v>
      </c>
      <c r="E58" s="19">
        <f>F58-D58</f>
        <v>-17722.465234558535</v>
      </c>
      <c r="F58" s="19">
        <f>SUM(F47:F57)</f>
        <v>73065.534765441465</v>
      </c>
      <c r="G58" s="19"/>
      <c r="H58" s="19">
        <v>0.11360950271288535</v>
      </c>
      <c r="I58" s="19"/>
      <c r="J58" s="3">
        <f t="shared" ref="J58:V58" si="26">SUM(J47:J57)</f>
        <v>73065.661765441444</v>
      </c>
      <c r="K58" s="25">
        <f t="shared" si="26"/>
        <v>9154292.0257223193</v>
      </c>
      <c r="L58" s="25">
        <f t="shared" si="26"/>
        <v>7591628.1240598504</v>
      </c>
      <c r="M58" s="25">
        <f t="shared" si="26"/>
        <v>6564580.7265255051</v>
      </c>
      <c r="N58" s="25">
        <f t="shared" si="26"/>
        <v>3940073.3830534178</v>
      </c>
      <c r="O58" s="25">
        <f t="shared" si="26"/>
        <v>2303869.055838062</v>
      </c>
      <c r="P58" s="25">
        <f t="shared" si="26"/>
        <v>1800576.1265376064</v>
      </c>
      <c r="Q58" s="25">
        <f t="shared" si="26"/>
        <v>4880492.994137641</v>
      </c>
      <c r="R58" s="25">
        <f t="shared" si="26"/>
        <v>6737038.7927966546</v>
      </c>
      <c r="S58" s="25">
        <f t="shared" si="26"/>
        <v>6905903.5979551775</v>
      </c>
      <c r="T58" s="25">
        <f t="shared" si="26"/>
        <v>6937099.4849625258</v>
      </c>
      <c r="U58" s="25">
        <f t="shared" si="26"/>
        <v>7385852.6687834095</v>
      </c>
      <c r="V58" s="25">
        <f t="shared" si="26"/>
        <v>8864254.7850692943</v>
      </c>
    </row>
    <row r="59" spans="1:22">
      <c r="A59" s="5"/>
      <c r="D59" s="19"/>
      <c r="E59" s="19"/>
      <c r="F59" s="19"/>
      <c r="G59" s="19"/>
      <c r="H59" s="19">
        <v>3237.8010523088278</v>
      </c>
      <c r="I59" s="19"/>
      <c r="J59" s="3"/>
      <c r="K59" s="25"/>
      <c r="L59" s="25"/>
      <c r="M59" s="25"/>
      <c r="N59" s="25"/>
      <c r="O59" s="25"/>
      <c r="P59" s="25"/>
      <c r="Q59" s="25"/>
      <c r="R59" s="25"/>
      <c r="S59" s="25"/>
      <c r="T59" s="25"/>
      <c r="U59" s="25"/>
      <c r="V59" s="25"/>
    </row>
    <row r="60" spans="1:22">
      <c r="A60" s="5"/>
      <c r="D60" s="19"/>
      <c r="E60" s="19"/>
      <c r="F60" s="19"/>
      <c r="G60" s="19"/>
      <c r="H60" s="19"/>
      <c r="I60" s="19"/>
      <c r="J60" s="3"/>
      <c r="K60" s="25"/>
      <c r="L60" s="25"/>
      <c r="M60" s="25"/>
      <c r="N60" s="25"/>
      <c r="O60" s="25"/>
      <c r="P60" s="25"/>
      <c r="Q60" s="25"/>
      <c r="R60" s="25"/>
      <c r="S60" s="25"/>
      <c r="T60" s="25"/>
      <c r="U60" s="25"/>
      <c r="V60" s="25"/>
    </row>
    <row r="61" spans="1:22">
      <c r="A61" s="5"/>
      <c r="D61" s="19"/>
      <c r="E61" s="19"/>
      <c r="F61" s="19"/>
      <c r="G61" s="19"/>
      <c r="H61" s="19"/>
      <c r="I61" s="19"/>
      <c r="J61" s="3"/>
      <c r="K61" s="25"/>
      <c r="L61" s="25"/>
      <c r="M61" s="25"/>
      <c r="N61" s="25"/>
      <c r="O61" s="25"/>
      <c r="P61" s="25"/>
      <c r="Q61" s="25"/>
      <c r="R61" s="25"/>
      <c r="S61" s="25"/>
      <c r="T61" s="25"/>
      <c r="U61" s="25"/>
      <c r="V61" s="25"/>
    </row>
    <row r="62" spans="1:22">
      <c r="A62" s="5"/>
      <c r="D62" s="19"/>
      <c r="E62" s="19"/>
      <c r="F62" s="19"/>
      <c r="G62" s="19"/>
      <c r="H62" s="19">
        <v>592.63582339628294</v>
      </c>
      <c r="I62" s="19"/>
      <c r="J62" s="3"/>
    </row>
    <row r="63" spans="1:22">
      <c r="A63" s="5"/>
      <c r="B63" s="7" t="s">
        <v>10</v>
      </c>
      <c r="D63" s="19"/>
      <c r="E63" s="19" t="s">
        <v>9</v>
      </c>
      <c r="F63" s="19"/>
      <c r="G63" s="19"/>
      <c r="H63" s="39">
        <v>480</v>
      </c>
      <c r="I63" s="19"/>
      <c r="J63" s="3"/>
    </row>
    <row r="64" spans="1:22">
      <c r="A64" s="5">
        <f>A58+1</f>
        <v>45</v>
      </c>
      <c r="B64" t="s">
        <v>5</v>
      </c>
      <c r="C64" s="12"/>
      <c r="D64" s="88">
        <v>894</v>
      </c>
      <c r="E64" s="19">
        <f t="shared" ref="E64:E72" si="27">F64-D64</f>
        <v>49</v>
      </c>
      <c r="F64" s="88">
        <v>943</v>
      </c>
      <c r="G64" s="19"/>
      <c r="H64" s="19">
        <v>70026.232758276092</v>
      </c>
      <c r="I64" s="19"/>
      <c r="J64" s="3">
        <f t="shared" ref="J64:J73" si="28">SUM(K64:V64)/1000</f>
        <v>943.00000000000011</v>
      </c>
      <c r="K64" s="56">
        <f>$F64*1000/12</f>
        <v>78583.333333333328</v>
      </c>
      <c r="L64" s="56">
        <f t="shared" ref="L64:V65" si="29">$F64*1000/12</f>
        <v>78583.333333333328</v>
      </c>
      <c r="M64" s="56">
        <f t="shared" si="29"/>
        <v>78583.333333333328</v>
      </c>
      <c r="N64" s="56">
        <f t="shared" si="29"/>
        <v>78583.333333333328</v>
      </c>
      <c r="O64" s="56">
        <f t="shared" si="29"/>
        <v>78583.333333333328</v>
      </c>
      <c r="P64" s="56">
        <f t="shared" si="29"/>
        <v>78583.333333333328</v>
      </c>
      <c r="Q64" s="56">
        <f t="shared" si="29"/>
        <v>78583.333333333328</v>
      </c>
      <c r="R64" s="56">
        <f t="shared" si="29"/>
        <v>78583.333333333328</v>
      </c>
      <c r="S64" s="56">
        <f t="shared" si="29"/>
        <v>78583.333333333328</v>
      </c>
      <c r="T64" s="56">
        <f t="shared" si="29"/>
        <v>78583.333333333328</v>
      </c>
      <c r="U64" s="56">
        <f t="shared" si="29"/>
        <v>78583.333333333328</v>
      </c>
      <c r="V64" s="56">
        <f t="shared" si="29"/>
        <v>78583.333333333328</v>
      </c>
    </row>
    <row r="65" spans="1:22">
      <c r="A65" s="5">
        <f>A64+1</f>
        <v>46</v>
      </c>
      <c r="B65" t="s">
        <v>222</v>
      </c>
      <c r="D65" s="88">
        <f>136+2</f>
        <v>138</v>
      </c>
      <c r="E65" s="19">
        <f t="shared" si="27"/>
        <v>0</v>
      </c>
      <c r="F65" s="88">
        <v>138</v>
      </c>
      <c r="G65" s="19"/>
      <c r="H65" s="19"/>
      <c r="I65" s="19"/>
      <c r="J65" s="3">
        <f t="shared" si="28"/>
        <v>138</v>
      </c>
      <c r="K65" s="56">
        <f>$F65*1000/12</f>
        <v>11500</v>
      </c>
      <c r="L65" s="56">
        <f t="shared" si="29"/>
        <v>11500</v>
      </c>
      <c r="M65" s="56">
        <f t="shared" si="29"/>
        <v>11500</v>
      </c>
      <c r="N65" s="56">
        <f t="shared" si="29"/>
        <v>11500</v>
      </c>
      <c r="O65" s="56">
        <f t="shared" si="29"/>
        <v>11500</v>
      </c>
      <c r="P65" s="56">
        <f t="shared" si="29"/>
        <v>11500</v>
      </c>
      <c r="Q65" s="56">
        <f t="shared" si="29"/>
        <v>11500</v>
      </c>
      <c r="R65" s="56">
        <f t="shared" si="29"/>
        <v>11500</v>
      </c>
      <c r="S65" s="56">
        <f t="shared" si="29"/>
        <v>11500</v>
      </c>
      <c r="T65" s="56">
        <f t="shared" si="29"/>
        <v>11500</v>
      </c>
      <c r="U65" s="56">
        <f t="shared" si="29"/>
        <v>11500</v>
      </c>
      <c r="V65" s="56">
        <f t="shared" si="29"/>
        <v>11500</v>
      </c>
    </row>
    <row r="66" spans="1:22">
      <c r="A66" s="5">
        <f t="shared" ref="A66:A73" si="30">A65+1</f>
        <v>47</v>
      </c>
      <c r="B66" t="s">
        <v>203</v>
      </c>
      <c r="D66" s="88">
        <v>12067</v>
      </c>
      <c r="E66" s="19">
        <f t="shared" si="27"/>
        <v>151</v>
      </c>
      <c r="F66" s="182">
        <v>12218</v>
      </c>
      <c r="G66" s="88"/>
      <c r="H66" s="88">
        <v>772</v>
      </c>
      <c r="I66" s="91"/>
      <c r="J66" s="3">
        <f t="shared" si="28"/>
        <v>12217.68</v>
      </c>
      <c r="K66" s="56">
        <v>1016720</v>
      </c>
      <c r="L66" s="56">
        <v>1016720</v>
      </c>
      <c r="M66" s="56">
        <v>1016720</v>
      </c>
      <c r="N66" s="56">
        <v>1016720</v>
      </c>
      <c r="O66" s="56">
        <v>1016720</v>
      </c>
      <c r="P66" s="56">
        <v>1016720</v>
      </c>
      <c r="Q66" s="56">
        <v>1016720</v>
      </c>
      <c r="R66" s="56">
        <v>1016720</v>
      </c>
      <c r="S66" s="56">
        <v>1016720</v>
      </c>
      <c r="T66" s="56">
        <v>1022400</v>
      </c>
      <c r="U66" s="56">
        <v>1022400</v>
      </c>
      <c r="V66" s="56">
        <v>1022400</v>
      </c>
    </row>
    <row r="67" spans="1:22">
      <c r="A67" s="5">
        <f t="shared" si="30"/>
        <v>48</v>
      </c>
      <c r="B67" t="s">
        <v>24</v>
      </c>
      <c r="D67" s="88">
        <v>1501</v>
      </c>
      <c r="E67" s="19">
        <f t="shared" si="27"/>
        <v>7</v>
      </c>
      <c r="F67" s="182">
        <v>1508</v>
      </c>
      <c r="G67" s="19" t="s">
        <v>156</v>
      </c>
      <c r="H67" s="19">
        <v>49</v>
      </c>
      <c r="I67" s="19"/>
      <c r="J67" s="3">
        <f t="shared" si="28"/>
        <v>1507.7159999999999</v>
      </c>
      <c r="K67" s="56">
        <v>125643</v>
      </c>
      <c r="L67" s="56">
        <v>125643</v>
      </c>
      <c r="M67" s="56">
        <v>125643</v>
      </c>
      <c r="N67" s="56">
        <v>125643</v>
      </c>
      <c r="O67" s="56">
        <v>125643</v>
      </c>
      <c r="P67" s="56">
        <v>125643</v>
      </c>
      <c r="Q67" s="56">
        <v>125643</v>
      </c>
      <c r="R67" s="56">
        <v>125643</v>
      </c>
      <c r="S67" s="56">
        <v>125643</v>
      </c>
      <c r="T67" s="56">
        <v>125643</v>
      </c>
      <c r="U67" s="56">
        <v>125643</v>
      </c>
      <c r="V67" s="56">
        <v>125643</v>
      </c>
    </row>
    <row r="68" spans="1:22">
      <c r="A68" s="5">
        <f t="shared" si="30"/>
        <v>49</v>
      </c>
      <c r="B68" t="s">
        <v>94</v>
      </c>
      <c r="D68" s="88">
        <v>1373</v>
      </c>
      <c r="E68" s="19">
        <f t="shared" si="27"/>
        <v>30</v>
      </c>
      <c r="F68" s="182">
        <v>1403</v>
      </c>
      <c r="G68" s="93"/>
      <c r="H68" s="19">
        <v>348</v>
      </c>
      <c r="I68" s="19"/>
      <c r="J68" s="3">
        <f t="shared" si="28"/>
        <v>1402.9346752000001</v>
      </c>
      <c r="K68" s="56">
        <v>152421.69840000002</v>
      </c>
      <c r="L68" s="56">
        <v>133564.00443200002</v>
      </c>
      <c r="M68" s="56">
        <v>121321.00700800002</v>
      </c>
      <c r="N68" s="56">
        <v>127511.46372000001</v>
      </c>
      <c r="O68" s="56">
        <v>111882.20964</v>
      </c>
      <c r="P68" s="56">
        <v>83672.462360000005</v>
      </c>
      <c r="Q68" s="56">
        <v>132712.63364000001</v>
      </c>
      <c r="R68" s="56">
        <v>127312.81360000001</v>
      </c>
      <c r="S68" s="56">
        <v>108514.70956000002</v>
      </c>
      <c r="T68" s="56">
        <v>79664.010439999998</v>
      </c>
      <c r="U68" s="56">
        <v>86352.80363200001</v>
      </c>
      <c r="V68" s="56">
        <v>138004.85876799998</v>
      </c>
    </row>
    <row r="69" spans="1:22">
      <c r="A69" s="5">
        <f t="shared" si="30"/>
        <v>50</v>
      </c>
      <c r="B69" t="s">
        <v>93</v>
      </c>
      <c r="D69" s="88">
        <v>45</v>
      </c>
      <c r="E69" s="19">
        <f t="shared" si="27"/>
        <v>0</v>
      </c>
      <c r="F69" s="88">
        <v>45</v>
      </c>
      <c r="G69" s="19"/>
      <c r="H69" s="19">
        <v>8315</v>
      </c>
      <c r="I69" s="19"/>
      <c r="J69" s="3">
        <f t="shared" si="28"/>
        <v>45.222000000000001</v>
      </c>
      <c r="K69" s="56">
        <v>3768.5</v>
      </c>
      <c r="L69" s="56">
        <v>3768.5</v>
      </c>
      <c r="M69" s="56">
        <v>3768.5</v>
      </c>
      <c r="N69" s="56">
        <v>3768.5</v>
      </c>
      <c r="O69" s="56">
        <v>3768.5</v>
      </c>
      <c r="P69" s="56">
        <v>3768.5</v>
      </c>
      <c r="Q69" s="56">
        <v>3768.5</v>
      </c>
      <c r="R69" s="56">
        <v>3768.5</v>
      </c>
      <c r="S69" s="56">
        <v>3768.5</v>
      </c>
      <c r="T69" s="56">
        <v>3768.5</v>
      </c>
      <c r="U69" s="56">
        <v>3768.5</v>
      </c>
      <c r="V69" s="56">
        <v>3768.5</v>
      </c>
    </row>
    <row r="70" spans="1:22">
      <c r="A70" s="5">
        <f t="shared" si="30"/>
        <v>51</v>
      </c>
      <c r="B70" t="s">
        <v>124</v>
      </c>
      <c r="D70" s="88">
        <v>135</v>
      </c>
      <c r="E70" s="19">
        <f t="shared" si="27"/>
        <v>5</v>
      </c>
      <c r="F70" s="88">
        <v>140</v>
      </c>
      <c r="G70" s="19"/>
      <c r="H70" s="19">
        <v>1245</v>
      </c>
      <c r="I70" s="19"/>
      <c r="J70" s="3">
        <f t="shared" si="28"/>
        <v>140.00000000000003</v>
      </c>
      <c r="K70" s="56">
        <f>$F70*1000/12</f>
        <v>11666.666666666666</v>
      </c>
      <c r="L70" s="56">
        <f t="shared" ref="L70:V70" si="31">$F70*1000/12</f>
        <v>11666.666666666666</v>
      </c>
      <c r="M70" s="56">
        <f t="shared" si="31"/>
        <v>11666.666666666666</v>
      </c>
      <c r="N70" s="56">
        <f t="shared" si="31"/>
        <v>11666.666666666666</v>
      </c>
      <c r="O70" s="56">
        <f t="shared" si="31"/>
        <v>11666.666666666666</v>
      </c>
      <c r="P70" s="56">
        <f t="shared" si="31"/>
        <v>11666.666666666666</v>
      </c>
      <c r="Q70" s="56">
        <f t="shared" si="31"/>
        <v>11666.666666666666</v>
      </c>
      <c r="R70" s="56">
        <f t="shared" si="31"/>
        <v>11666.666666666666</v>
      </c>
      <c r="S70" s="56">
        <f t="shared" si="31"/>
        <v>11666.666666666666</v>
      </c>
      <c r="T70" s="56">
        <f t="shared" si="31"/>
        <v>11666.666666666666</v>
      </c>
      <c r="U70" s="56">
        <f t="shared" si="31"/>
        <v>11666.666666666666</v>
      </c>
      <c r="V70" s="56">
        <f t="shared" si="31"/>
        <v>11666.666666666666</v>
      </c>
    </row>
    <row r="71" spans="1:22">
      <c r="A71" s="5">
        <f t="shared" si="30"/>
        <v>52</v>
      </c>
      <c r="B71" t="s">
        <v>204</v>
      </c>
      <c r="C71" s="12"/>
      <c r="D71" s="88">
        <v>558</v>
      </c>
      <c r="E71" s="19">
        <f t="shared" si="27"/>
        <v>0</v>
      </c>
      <c r="F71" s="88">
        <v>558</v>
      </c>
      <c r="G71" s="93"/>
      <c r="H71" s="19">
        <v>1689</v>
      </c>
      <c r="I71" s="19"/>
      <c r="J71" s="3">
        <f t="shared" si="28"/>
        <v>558</v>
      </c>
      <c r="K71" s="56">
        <f>558000/12</f>
        <v>46500</v>
      </c>
      <c r="L71" s="56">
        <f t="shared" ref="L71:V71" si="32">558000/12</f>
        <v>46500</v>
      </c>
      <c r="M71" s="56">
        <f t="shared" si="32"/>
        <v>46500</v>
      </c>
      <c r="N71" s="56">
        <f t="shared" si="32"/>
        <v>46500</v>
      </c>
      <c r="O71" s="56">
        <f t="shared" si="32"/>
        <v>46500</v>
      </c>
      <c r="P71" s="56">
        <f t="shared" si="32"/>
        <v>46500</v>
      </c>
      <c r="Q71" s="56">
        <f t="shared" si="32"/>
        <v>46500</v>
      </c>
      <c r="R71" s="56">
        <f t="shared" si="32"/>
        <v>46500</v>
      </c>
      <c r="S71" s="56">
        <f t="shared" si="32"/>
        <v>46500</v>
      </c>
      <c r="T71" s="56">
        <f t="shared" si="32"/>
        <v>46500</v>
      </c>
      <c r="U71" s="56">
        <f t="shared" si="32"/>
        <v>46500</v>
      </c>
      <c r="V71" s="56">
        <f t="shared" si="32"/>
        <v>46500</v>
      </c>
    </row>
    <row r="72" spans="1:22">
      <c r="A72" s="5">
        <f t="shared" si="30"/>
        <v>53</v>
      </c>
      <c r="B72" s="17" t="s">
        <v>28</v>
      </c>
      <c r="C72" s="17"/>
      <c r="D72" s="89">
        <v>643</v>
      </c>
      <c r="E72" s="39">
        <f t="shared" si="27"/>
        <v>0</v>
      </c>
      <c r="F72" s="89">
        <v>643</v>
      </c>
      <c r="G72" s="19"/>
      <c r="H72" s="19">
        <v>32.112000000000002</v>
      </c>
      <c r="I72" s="19"/>
      <c r="J72" s="84">
        <f t="shared" si="28"/>
        <v>642.58799999999997</v>
      </c>
      <c r="K72" s="102">
        <v>53549</v>
      </c>
      <c r="L72" s="102">
        <v>53549</v>
      </c>
      <c r="M72" s="102">
        <v>53549</v>
      </c>
      <c r="N72" s="102">
        <v>53549</v>
      </c>
      <c r="O72" s="102">
        <v>53549</v>
      </c>
      <c r="P72" s="102">
        <v>53549</v>
      </c>
      <c r="Q72" s="102">
        <v>53549</v>
      </c>
      <c r="R72" s="102">
        <v>53549</v>
      </c>
      <c r="S72" s="102">
        <v>53549</v>
      </c>
      <c r="T72" s="102">
        <v>53549</v>
      </c>
      <c r="U72" s="102">
        <v>53549</v>
      </c>
      <c r="V72" s="102">
        <v>53549</v>
      </c>
    </row>
    <row r="73" spans="1:22">
      <c r="A73" s="5">
        <f t="shared" si="30"/>
        <v>54</v>
      </c>
      <c r="B73" t="s">
        <v>11</v>
      </c>
      <c r="D73" s="88">
        <f>SUM(D64:D72)</f>
        <v>17354</v>
      </c>
      <c r="E73" s="19">
        <f>F73-D73</f>
        <v>242</v>
      </c>
      <c r="F73" s="19">
        <f>SUM(F64:F72)</f>
        <v>17596</v>
      </c>
      <c r="G73" s="19"/>
      <c r="H73" s="19">
        <v>214</v>
      </c>
      <c r="I73" s="19"/>
      <c r="J73" s="3">
        <f t="shared" si="28"/>
        <v>17595.1406752</v>
      </c>
      <c r="K73" s="25">
        <f t="shared" ref="K73:V73" si="33">SUM(K64:K72)</f>
        <v>1500352.1984000001</v>
      </c>
      <c r="L73" s="25">
        <f t="shared" si="33"/>
        <v>1481494.504432</v>
      </c>
      <c r="M73" s="25">
        <f t="shared" si="33"/>
        <v>1469251.507008</v>
      </c>
      <c r="N73" s="25">
        <f t="shared" si="33"/>
        <v>1475441.9637200001</v>
      </c>
      <c r="O73" s="25">
        <f t="shared" si="33"/>
        <v>1459812.70964</v>
      </c>
      <c r="P73" s="25">
        <f t="shared" si="33"/>
        <v>1431602.96236</v>
      </c>
      <c r="Q73" s="25">
        <f t="shared" si="33"/>
        <v>1480643.1336399999</v>
      </c>
      <c r="R73" s="25">
        <f t="shared" si="33"/>
        <v>1475243.3136</v>
      </c>
      <c r="S73" s="25">
        <f t="shared" si="33"/>
        <v>1456445.2095600001</v>
      </c>
      <c r="T73" s="25">
        <f t="shared" si="33"/>
        <v>1433274.5104400001</v>
      </c>
      <c r="U73" s="25">
        <f t="shared" si="33"/>
        <v>1439963.303632</v>
      </c>
      <c r="V73" s="25">
        <f t="shared" si="33"/>
        <v>1491615.358768</v>
      </c>
    </row>
    <row r="74" spans="1:22" ht="12.95" customHeight="1">
      <c r="A74" s="5"/>
      <c r="D74" s="19"/>
      <c r="E74" s="19"/>
      <c r="F74" s="19"/>
      <c r="G74" s="19"/>
      <c r="H74" s="39">
        <v>643</v>
      </c>
      <c r="I74" s="19"/>
      <c r="J74" s="3"/>
    </row>
    <row r="75" spans="1:22" ht="12" customHeight="1">
      <c r="A75" s="5"/>
      <c r="B75" s="7" t="s">
        <v>14</v>
      </c>
      <c r="D75" s="19"/>
      <c r="E75" s="19"/>
      <c r="F75" s="19"/>
      <c r="G75" s="19"/>
      <c r="H75" s="19">
        <v>13307.111999999999</v>
      </c>
      <c r="I75" s="19"/>
      <c r="J75" s="3"/>
    </row>
    <row r="76" spans="1:22" ht="12" customHeight="1">
      <c r="A76" s="5">
        <f>A73+1</f>
        <v>55</v>
      </c>
      <c r="B76" t="s">
        <v>103</v>
      </c>
      <c r="D76" s="88">
        <v>997</v>
      </c>
      <c r="E76" s="88">
        <f>F76-D76</f>
        <v>32</v>
      </c>
      <c r="F76" s="88">
        <v>1029</v>
      </c>
      <c r="G76" s="88"/>
      <c r="H76" s="88"/>
      <c r="I76" s="19"/>
      <c r="J76" s="3">
        <f t="shared" ref="J76" si="34">SUM(K76:V76)/1000</f>
        <v>1029</v>
      </c>
      <c r="K76" s="56">
        <f>$F76*1000/12</f>
        <v>85750</v>
      </c>
      <c r="L76" s="56">
        <f t="shared" ref="L76:V76" si="35">$F76*1000/12</f>
        <v>85750</v>
      </c>
      <c r="M76" s="56">
        <f t="shared" si="35"/>
        <v>85750</v>
      </c>
      <c r="N76" s="56">
        <f t="shared" si="35"/>
        <v>85750</v>
      </c>
      <c r="O76" s="56">
        <f t="shared" si="35"/>
        <v>85750</v>
      </c>
      <c r="P76" s="56">
        <f t="shared" si="35"/>
        <v>85750</v>
      </c>
      <c r="Q76" s="56">
        <f t="shared" si="35"/>
        <v>85750</v>
      </c>
      <c r="R76" s="56">
        <f t="shared" si="35"/>
        <v>85750</v>
      </c>
      <c r="S76" s="56">
        <f t="shared" si="35"/>
        <v>85750</v>
      </c>
      <c r="T76" s="56">
        <f t="shared" si="35"/>
        <v>85750</v>
      </c>
      <c r="U76" s="56">
        <f t="shared" si="35"/>
        <v>85750</v>
      </c>
      <c r="V76" s="56">
        <f t="shared" si="35"/>
        <v>85750</v>
      </c>
    </row>
    <row r="77" spans="1:22" ht="12" customHeight="1">
      <c r="A77" s="5"/>
      <c r="D77" s="19"/>
      <c r="E77" s="19"/>
      <c r="F77" s="19"/>
      <c r="G77" s="19"/>
      <c r="H77" s="19"/>
      <c r="I77" s="19"/>
      <c r="J77" s="3"/>
    </row>
    <row r="78" spans="1:22" ht="12" customHeight="1">
      <c r="A78" s="5">
        <f>A76+1</f>
        <v>56</v>
      </c>
      <c r="B78" s="41" t="s">
        <v>15</v>
      </c>
      <c r="C78" s="35"/>
      <c r="D78" s="42">
        <f>D28+D37+D44+D58+D73+D76</f>
        <v>397940</v>
      </c>
      <c r="E78" s="42">
        <f>F78-D78</f>
        <v>-163479.3917541455</v>
      </c>
      <c r="F78" s="43">
        <f>F28+F37+F44+F58+F73+F76</f>
        <v>234460.6082458545</v>
      </c>
      <c r="G78" s="19"/>
      <c r="H78" s="19">
        <v>133</v>
      </c>
      <c r="I78" s="19"/>
      <c r="J78" s="3"/>
    </row>
    <row r="79" spans="1:22" ht="12" customHeight="1">
      <c r="A79" s="5"/>
      <c r="B79" s="2"/>
      <c r="D79" s="19"/>
      <c r="E79" s="19"/>
      <c r="F79" s="19"/>
      <c r="G79" s="19"/>
      <c r="H79" s="39"/>
      <c r="I79" s="19"/>
      <c r="J79" s="3"/>
    </row>
    <row r="80" spans="1:22" ht="12" customHeight="1">
      <c r="A80" s="5"/>
      <c r="B80" s="7" t="s">
        <v>16</v>
      </c>
      <c r="D80" s="19"/>
      <c r="E80" s="19"/>
      <c r="F80" s="19"/>
      <c r="G80" s="19"/>
      <c r="H80" s="42">
        <v>188457.26014905036</v>
      </c>
      <c r="I80" s="19"/>
      <c r="J80" s="3"/>
      <c r="K80" s="47">
        <v>41274</v>
      </c>
      <c r="L80" s="47">
        <v>41305</v>
      </c>
      <c r="M80" s="47">
        <v>41333</v>
      </c>
      <c r="N80" s="47">
        <v>41364</v>
      </c>
      <c r="O80" s="47">
        <v>41394</v>
      </c>
      <c r="P80" s="47">
        <v>41425</v>
      </c>
      <c r="Q80" s="47">
        <v>41455</v>
      </c>
      <c r="R80" s="47">
        <v>41486</v>
      </c>
      <c r="S80" s="47">
        <v>41517</v>
      </c>
      <c r="T80" s="47">
        <v>41547</v>
      </c>
      <c r="U80" s="47">
        <v>41578</v>
      </c>
      <c r="V80" s="47">
        <v>41608</v>
      </c>
    </row>
    <row r="81" spans="1:22" ht="12.95" customHeight="1">
      <c r="A81" s="5">
        <f>A78+1</f>
        <v>57</v>
      </c>
      <c r="B81" t="s">
        <v>152</v>
      </c>
      <c r="D81" s="88">
        <v>0</v>
      </c>
      <c r="E81" s="19">
        <f t="shared" ref="E81:E90" si="36">F81-D81</f>
        <v>39339.655349659857</v>
      </c>
      <c r="F81" s="19">
        <f>-'WGJ-4'!C9/1000</f>
        <v>39339.655349659857</v>
      </c>
      <c r="G81" s="19"/>
      <c r="H81" s="19"/>
      <c r="I81" s="18"/>
      <c r="J81" s="3">
        <f>SUM(K81:V81)/1000</f>
        <v>39339.655349659857</v>
      </c>
      <c r="K81" s="25">
        <f>-'WGJ-4'!D9</f>
        <v>5500837.6831054604</v>
      </c>
      <c r="L81" s="25">
        <f>-'WGJ-4'!E9</f>
        <v>4229790.65341949</v>
      </c>
      <c r="M81" s="25">
        <f>-'WGJ-4'!F9</f>
        <v>3050725.1289129201</v>
      </c>
      <c r="N81" s="25">
        <f>-'WGJ-4'!G9</f>
        <v>3975187.0182037302</v>
      </c>
      <c r="O81" s="25">
        <f>-'WGJ-4'!H9</f>
        <v>3608121.0014343201</v>
      </c>
      <c r="P81" s="25">
        <f>-'WGJ-4'!I9</f>
        <v>2216592.8236007597</v>
      </c>
      <c r="Q81" s="25">
        <f>-'WGJ-4'!J9</f>
        <v>2890904.5322418199</v>
      </c>
      <c r="R81" s="25">
        <f>-'WGJ-4'!K9</f>
        <v>1667142.02017784</v>
      </c>
      <c r="S81" s="25">
        <f>-'WGJ-4'!L9</f>
        <v>2771399.0316390898</v>
      </c>
      <c r="T81" s="25">
        <f>-'WGJ-4'!M9</f>
        <v>1997572.15309143</v>
      </c>
      <c r="U81" s="25">
        <f>-'WGJ-4'!N9</f>
        <v>3081041.5893554599</v>
      </c>
      <c r="V81" s="25">
        <f>-'WGJ-4'!O9</f>
        <v>4350341.7144775307</v>
      </c>
    </row>
    <row r="82" spans="1:22" ht="12.95" customHeight="1">
      <c r="A82" s="5">
        <f t="shared" ref="A82:A90" si="37">A81+1</f>
        <v>58</v>
      </c>
      <c r="B82" t="s">
        <v>180</v>
      </c>
      <c r="D82" s="88">
        <v>105602</v>
      </c>
      <c r="E82" s="19">
        <f t="shared" si="36"/>
        <v>-105602</v>
      </c>
      <c r="F82" s="128">
        <v>0</v>
      </c>
      <c r="G82" s="19"/>
      <c r="H82" s="19"/>
      <c r="I82" s="18"/>
      <c r="J82" s="3">
        <f>SUM(K82:V82)/1000</f>
        <v>0</v>
      </c>
      <c r="K82" s="25"/>
      <c r="L82" s="25"/>
      <c r="M82" s="25"/>
      <c r="N82" s="25"/>
      <c r="O82" s="25"/>
      <c r="P82" s="25"/>
      <c r="Q82" s="25"/>
      <c r="R82" s="25"/>
      <c r="S82" s="25"/>
      <c r="T82" s="25"/>
      <c r="U82" s="25"/>
      <c r="V82" s="25"/>
    </row>
    <row r="83" spans="1:22" ht="12.95" customHeight="1">
      <c r="A83" s="5">
        <f t="shared" si="37"/>
        <v>59</v>
      </c>
      <c r="B83" t="s">
        <v>179</v>
      </c>
      <c r="D83" s="88">
        <v>0</v>
      </c>
      <c r="E83" s="19">
        <f t="shared" si="36"/>
        <v>2370</v>
      </c>
      <c r="F83" s="181">
        <v>2370</v>
      </c>
      <c r="G83" s="19"/>
      <c r="H83" s="19"/>
      <c r="I83" s="18"/>
      <c r="J83" s="3">
        <f>SUM(K83:V83)/1000</f>
        <v>2369.6537525201775</v>
      </c>
      <c r="K83" s="25">
        <v>-492939.65546442155</v>
      </c>
      <c r="L83" s="25">
        <v>-230282.64967501108</v>
      </c>
      <c r="M83" s="25">
        <v>602096.3536745311</v>
      </c>
      <c r="N83" s="25">
        <v>674536.48907635186</v>
      </c>
      <c r="O83" s="25">
        <v>889847.81039205694</v>
      </c>
      <c r="P83" s="25">
        <v>846910.71333847684</v>
      </c>
      <c r="Q83" s="25">
        <v>221260.8332958073</v>
      </c>
      <c r="R83" s="25">
        <v>-74259.4805707224</v>
      </c>
      <c r="S83" s="25">
        <v>-20774.81808611194</v>
      </c>
      <c r="T83" s="25">
        <v>115492.34864157636</v>
      </c>
      <c r="U83" s="25">
        <v>-13349.238482630057</v>
      </c>
      <c r="V83" s="25">
        <v>-148884.953619726</v>
      </c>
    </row>
    <row r="84" spans="1:22">
      <c r="A84" s="5">
        <f t="shared" si="37"/>
        <v>60</v>
      </c>
      <c r="B84" s="6" t="s">
        <v>114</v>
      </c>
      <c r="D84" s="88">
        <v>9501</v>
      </c>
      <c r="E84" s="19">
        <f t="shared" si="36"/>
        <v>-9501</v>
      </c>
      <c r="F84" s="88">
        <v>0</v>
      </c>
      <c r="G84" s="19"/>
      <c r="H84" s="19"/>
      <c r="I84" s="19"/>
      <c r="J84" s="3">
        <f t="shared" ref="J84:J91" si="38">SUM(K84:V84)/1000</f>
        <v>0</v>
      </c>
      <c r="K84" s="131">
        <v>0</v>
      </c>
      <c r="L84" s="131">
        <v>0</v>
      </c>
      <c r="M84" s="131">
        <v>0</v>
      </c>
      <c r="N84" s="131">
        <v>0</v>
      </c>
      <c r="O84" s="131">
        <v>0</v>
      </c>
      <c r="P84" s="131">
        <v>0</v>
      </c>
      <c r="Q84" s="131">
        <v>0</v>
      </c>
      <c r="R84" s="131">
        <v>0</v>
      </c>
      <c r="S84" s="131">
        <v>0</v>
      </c>
      <c r="T84" s="131">
        <v>0</v>
      </c>
      <c r="U84" s="131">
        <v>0</v>
      </c>
      <c r="V84" s="131">
        <v>0</v>
      </c>
    </row>
    <row r="85" spans="1:22">
      <c r="A85" s="5">
        <f t="shared" si="37"/>
        <v>61</v>
      </c>
      <c r="B85" t="s">
        <v>29</v>
      </c>
      <c r="D85" s="96">
        <v>1256</v>
      </c>
      <c r="E85" s="19">
        <f t="shared" si="36"/>
        <v>106.48077529164766</v>
      </c>
      <c r="F85" s="88">
        <f>Index!C16/1000</f>
        <v>1362.4807752916477</v>
      </c>
      <c r="G85" s="117" t="s">
        <v>120</v>
      </c>
      <c r="H85" s="96">
        <v>1800</v>
      </c>
      <c r="I85" s="92" t="s">
        <v>120</v>
      </c>
      <c r="J85" s="3">
        <f t="shared" si="38"/>
        <v>1362.4807752916477</v>
      </c>
      <c r="K85" s="25">
        <f>Index!D16</f>
        <v>143434.94372887147</v>
      </c>
      <c r="L85" s="25">
        <f>Index!E16</f>
        <v>122043.77206660497</v>
      </c>
      <c r="M85" s="25">
        <f>Index!F16</f>
        <v>109417.89681485231</v>
      </c>
      <c r="N85" s="25">
        <f>Index!G16</f>
        <v>79900.7419876106</v>
      </c>
      <c r="O85" s="25">
        <f>Index!H16</f>
        <v>68917.308542956467</v>
      </c>
      <c r="P85" s="25">
        <f>Index!I16</f>
        <v>68973.36400578561</v>
      </c>
      <c r="Q85" s="25">
        <f>Index!J16</f>
        <v>119524.81075188291</v>
      </c>
      <c r="R85" s="25">
        <f>Index!K16</f>
        <v>133288.54307814708</v>
      </c>
      <c r="S85" s="25">
        <f>Index!L16</f>
        <v>127491.29222335327</v>
      </c>
      <c r="T85" s="25">
        <f>Index!M16</f>
        <v>121066.03088995304</v>
      </c>
      <c r="U85" s="25">
        <f>Index!N16</f>
        <v>126939.24867661203</v>
      </c>
      <c r="V85" s="25">
        <f>Index!O16</f>
        <v>141482.82252501784</v>
      </c>
    </row>
    <row r="86" spans="1:22">
      <c r="A86" s="5">
        <f t="shared" si="37"/>
        <v>62</v>
      </c>
      <c r="B86" t="s">
        <v>118</v>
      </c>
      <c r="D86" s="96">
        <v>150</v>
      </c>
      <c r="E86" s="19">
        <f t="shared" si="36"/>
        <v>6</v>
      </c>
      <c r="F86" s="88">
        <v>156</v>
      </c>
      <c r="G86" s="20"/>
      <c r="H86" s="20">
        <v>-63</v>
      </c>
      <c r="J86" s="3">
        <f t="shared" si="38"/>
        <v>156</v>
      </c>
      <c r="K86" s="25">
        <f t="shared" ref="K86:K87" si="39">$F86/12*1000</f>
        <v>13000</v>
      </c>
      <c r="L86" s="25">
        <f t="shared" ref="L86:V87" si="40">$F86/12*1000</f>
        <v>13000</v>
      </c>
      <c r="M86" s="25">
        <f t="shared" si="40"/>
        <v>13000</v>
      </c>
      <c r="N86" s="25">
        <f t="shared" si="40"/>
        <v>13000</v>
      </c>
      <c r="O86" s="25">
        <f t="shared" si="40"/>
        <v>13000</v>
      </c>
      <c r="P86" s="25">
        <f t="shared" si="40"/>
        <v>13000</v>
      </c>
      <c r="Q86" s="25">
        <f t="shared" si="40"/>
        <v>13000</v>
      </c>
      <c r="R86" s="25">
        <f t="shared" si="40"/>
        <v>13000</v>
      </c>
      <c r="S86" s="25">
        <f t="shared" si="40"/>
        <v>13000</v>
      </c>
      <c r="T86" s="25">
        <f t="shared" si="40"/>
        <v>13000</v>
      </c>
      <c r="U86" s="25">
        <f t="shared" si="40"/>
        <v>13000</v>
      </c>
      <c r="V86" s="25">
        <f t="shared" si="40"/>
        <v>13000</v>
      </c>
    </row>
    <row r="87" spans="1:22">
      <c r="A87" s="5">
        <f t="shared" si="37"/>
        <v>63</v>
      </c>
      <c r="B87" t="s">
        <v>30</v>
      </c>
      <c r="D87" s="96">
        <v>525</v>
      </c>
      <c r="E87" s="19">
        <f t="shared" si="36"/>
        <v>45</v>
      </c>
      <c r="F87" s="88">
        <v>570</v>
      </c>
      <c r="G87" s="77"/>
      <c r="H87" s="77">
        <v>272</v>
      </c>
      <c r="J87" s="3">
        <f t="shared" si="38"/>
        <v>570</v>
      </c>
      <c r="K87" s="25">
        <f t="shared" si="39"/>
        <v>47500</v>
      </c>
      <c r="L87" s="25">
        <f t="shared" si="40"/>
        <v>47500</v>
      </c>
      <c r="M87" s="25">
        <f t="shared" si="40"/>
        <v>47500</v>
      </c>
      <c r="N87" s="25">
        <f t="shared" si="40"/>
        <v>47500</v>
      </c>
      <c r="O87" s="25">
        <f t="shared" si="40"/>
        <v>47500</v>
      </c>
      <c r="P87" s="25">
        <f t="shared" si="40"/>
        <v>47500</v>
      </c>
      <c r="Q87" s="25">
        <f t="shared" si="40"/>
        <v>47500</v>
      </c>
      <c r="R87" s="25">
        <f t="shared" si="40"/>
        <v>47500</v>
      </c>
      <c r="S87" s="25">
        <f t="shared" si="40"/>
        <v>47500</v>
      </c>
      <c r="T87" s="25">
        <f t="shared" si="40"/>
        <v>47500</v>
      </c>
      <c r="U87" s="25">
        <f t="shared" si="40"/>
        <v>47500</v>
      </c>
      <c r="V87" s="25">
        <f t="shared" si="40"/>
        <v>47500</v>
      </c>
    </row>
    <row r="88" spans="1:22">
      <c r="A88" s="5">
        <f t="shared" si="37"/>
        <v>64</v>
      </c>
      <c r="B88" t="s">
        <v>232</v>
      </c>
      <c r="D88" s="96">
        <v>12149</v>
      </c>
      <c r="E88" s="19">
        <f t="shared" si="36"/>
        <v>204.83755445717543</v>
      </c>
      <c r="F88" s="88">
        <f>Index!C21/1000</f>
        <v>12353.837554457175</v>
      </c>
      <c r="G88" s="20"/>
      <c r="H88" s="20"/>
      <c r="J88" s="3">
        <f t="shared" si="38"/>
        <v>12353.837554457175</v>
      </c>
      <c r="K88" s="25">
        <f>Index!D21</f>
        <v>1252444.5598983758</v>
      </c>
      <c r="L88" s="25">
        <f>Index!E21</f>
        <v>1077627.4546909325</v>
      </c>
      <c r="M88" s="25">
        <f>Index!F21</f>
        <v>1003616.4484190929</v>
      </c>
      <c r="N88" s="25">
        <f>Index!G21</f>
        <v>774593.45601797022</v>
      </c>
      <c r="O88" s="25">
        <f>Index!H21</f>
        <v>705792.56393194059</v>
      </c>
      <c r="P88" s="25">
        <f>Index!I21</f>
        <v>699540.80486297479</v>
      </c>
      <c r="Q88" s="25">
        <f>Index!J21</f>
        <v>1072781.4886665335</v>
      </c>
      <c r="R88" s="25">
        <f>Index!K21</f>
        <v>1182912.1384048455</v>
      </c>
      <c r="S88" s="25">
        <f>Index!L21</f>
        <v>1131755.4176330559</v>
      </c>
      <c r="T88" s="25">
        <f>Index!M21</f>
        <v>1087391.1776161185</v>
      </c>
      <c r="U88" s="25">
        <f>Index!N21</f>
        <v>1127938.4616851795</v>
      </c>
      <c r="V88" s="25">
        <f>Index!O21</f>
        <v>1237443.5826301568</v>
      </c>
    </row>
    <row r="89" spans="1:22">
      <c r="A89" s="5">
        <f t="shared" si="37"/>
        <v>65</v>
      </c>
      <c r="B89" t="s">
        <v>235</v>
      </c>
      <c r="D89" s="96">
        <v>0</v>
      </c>
      <c r="E89" s="19">
        <f t="shared" si="36"/>
        <v>526</v>
      </c>
      <c r="F89" s="88">
        <v>526</v>
      </c>
      <c r="G89" s="20"/>
      <c r="H89" s="20"/>
      <c r="J89" s="3">
        <f t="shared" si="38"/>
        <v>525.64186768531602</v>
      </c>
      <c r="K89" s="25">
        <v>41169.02837753301</v>
      </c>
      <c r="L89" s="25">
        <v>36513.082122801992</v>
      </c>
      <c r="M89" s="25">
        <v>40991.740226746006</v>
      </c>
      <c r="N89" s="25">
        <v>39135.485935210992</v>
      </c>
      <c r="O89" s="25">
        <v>46221.640110015986</v>
      </c>
      <c r="P89" s="25">
        <v>64191.032075882009</v>
      </c>
      <c r="Q89" s="25">
        <v>50951.742553709977</v>
      </c>
      <c r="R89" s="25">
        <v>44806.467247008979</v>
      </c>
      <c r="S89" s="25">
        <v>39912.834739684993</v>
      </c>
      <c r="T89" s="25">
        <v>40562.511157990004</v>
      </c>
      <c r="U89" s="25">
        <v>39637.582778930009</v>
      </c>
      <c r="V89" s="25">
        <v>41548.720359801991</v>
      </c>
    </row>
    <row r="90" spans="1:22">
      <c r="A90" s="5">
        <f t="shared" si="37"/>
        <v>66</v>
      </c>
      <c r="B90" s="17" t="s">
        <v>221</v>
      </c>
      <c r="C90" s="17"/>
      <c r="D90" s="89">
        <v>1654</v>
      </c>
      <c r="E90" s="39">
        <f t="shared" si="36"/>
        <v>-1654</v>
      </c>
      <c r="F90" s="39">
        <v>0</v>
      </c>
      <c r="G90" s="20"/>
      <c r="H90" s="20"/>
      <c r="J90" s="3">
        <f t="shared" si="38"/>
        <v>0</v>
      </c>
      <c r="K90" s="25"/>
      <c r="L90" s="25"/>
      <c r="M90" s="25"/>
      <c r="N90" s="25"/>
      <c r="O90" s="25"/>
      <c r="P90" s="25"/>
      <c r="Q90" s="25"/>
      <c r="R90" s="25"/>
      <c r="S90" s="25"/>
      <c r="T90" s="25"/>
      <c r="U90" s="25"/>
      <c r="V90" s="25"/>
    </row>
    <row r="91" spans="1:22">
      <c r="A91" s="5">
        <f>A90+1</f>
        <v>67</v>
      </c>
      <c r="B91" t="s">
        <v>17</v>
      </c>
      <c r="D91" s="19">
        <f>SUM(D81:D90)</f>
        <v>130837</v>
      </c>
      <c r="E91" s="19">
        <f>F91-D91</f>
        <v>-74159.026320591322</v>
      </c>
      <c r="F91" s="19">
        <f>SUM(F81:F90)</f>
        <v>56677.973679408678</v>
      </c>
      <c r="G91" s="19"/>
      <c r="H91" s="39">
        <v>0</v>
      </c>
      <c r="I91" s="19"/>
      <c r="J91" s="3">
        <f t="shared" si="38"/>
        <v>56677.269299614163</v>
      </c>
      <c r="K91" s="25">
        <f t="shared" ref="K91:V91" si="41">SUM(K81:K90)</f>
        <v>6505446.5596458185</v>
      </c>
      <c r="L91" s="25">
        <f t="shared" si="41"/>
        <v>5296192.3126248177</v>
      </c>
      <c r="M91" s="25">
        <f t="shared" si="41"/>
        <v>4867347.5680481419</v>
      </c>
      <c r="N91" s="25">
        <f t="shared" si="41"/>
        <v>5603853.191220874</v>
      </c>
      <c r="O91" s="25">
        <f t="shared" si="41"/>
        <v>5379400.3244112898</v>
      </c>
      <c r="P91" s="25">
        <f t="shared" si="41"/>
        <v>3956708.7378838784</v>
      </c>
      <c r="Q91" s="25">
        <f t="shared" si="41"/>
        <v>4415923.4075097535</v>
      </c>
      <c r="R91" s="25">
        <f t="shared" si="41"/>
        <v>3014389.6883371188</v>
      </c>
      <c r="S91" s="25">
        <f t="shared" si="41"/>
        <v>4110283.7581490725</v>
      </c>
      <c r="T91" s="25">
        <f t="shared" si="41"/>
        <v>3422584.2213970679</v>
      </c>
      <c r="U91" s="25">
        <f t="shared" si="41"/>
        <v>4422707.6440135511</v>
      </c>
      <c r="V91" s="25">
        <f t="shared" si="41"/>
        <v>5682431.8863727814</v>
      </c>
    </row>
    <row r="92" spans="1:22">
      <c r="A92" s="5"/>
      <c r="D92" s="19">
        <v>130837</v>
      </c>
      <c r="E92" s="19"/>
      <c r="F92" s="19"/>
      <c r="G92" s="19"/>
      <c r="H92" s="19">
        <v>62060.890920372694</v>
      </c>
      <c r="I92" s="19"/>
      <c r="J92" s="3"/>
      <c r="K92" s="3"/>
      <c r="L92" s="3"/>
      <c r="M92" s="3"/>
      <c r="N92" s="3"/>
      <c r="O92" s="3"/>
      <c r="P92" s="3"/>
      <c r="Q92" s="3"/>
      <c r="R92" s="3"/>
      <c r="S92" s="3"/>
      <c r="T92" s="3"/>
      <c r="U92" s="3"/>
      <c r="V92" s="3"/>
    </row>
    <row r="93" spans="1:22">
      <c r="A93" s="5"/>
      <c r="B93" s="7" t="s">
        <v>18</v>
      </c>
      <c r="D93" s="19"/>
      <c r="E93" s="19" t="s">
        <v>9</v>
      </c>
      <c r="F93" s="19"/>
      <c r="G93" s="19"/>
      <c r="H93" s="19"/>
      <c r="I93" s="19"/>
      <c r="J93" s="3"/>
    </row>
    <row r="94" spans="1:22">
      <c r="A94" s="5">
        <f>A91+1</f>
        <v>68</v>
      </c>
      <c r="B94" t="s">
        <v>207</v>
      </c>
      <c r="D94" s="88">
        <v>3245</v>
      </c>
      <c r="E94" s="88">
        <f>F94-D94</f>
        <v>-3245</v>
      </c>
      <c r="F94" s="88">
        <v>0</v>
      </c>
      <c r="G94" s="88"/>
      <c r="H94" s="88"/>
      <c r="I94" s="19"/>
      <c r="J94" s="3"/>
      <c r="K94" s="25">
        <f>850000/12</f>
        <v>70833.333333333328</v>
      </c>
      <c r="L94" s="25">
        <f t="shared" ref="L94:V94" si="42">850000/12</f>
        <v>70833.333333333328</v>
      </c>
      <c r="M94" s="25">
        <f t="shared" si="42"/>
        <v>70833.333333333328</v>
      </c>
      <c r="N94" s="25">
        <f t="shared" si="42"/>
        <v>70833.333333333328</v>
      </c>
      <c r="O94" s="25">
        <f t="shared" si="42"/>
        <v>70833.333333333328</v>
      </c>
      <c r="P94" s="25">
        <f t="shared" si="42"/>
        <v>70833.333333333328</v>
      </c>
      <c r="Q94" s="25">
        <f t="shared" si="42"/>
        <v>70833.333333333328</v>
      </c>
      <c r="R94" s="25">
        <f t="shared" si="42"/>
        <v>70833.333333333328</v>
      </c>
      <c r="S94" s="25">
        <f t="shared" si="42"/>
        <v>70833.333333333328</v>
      </c>
      <c r="T94" s="25">
        <f t="shared" si="42"/>
        <v>70833.333333333328</v>
      </c>
      <c r="U94" s="25">
        <f t="shared" si="42"/>
        <v>70833.333333333328</v>
      </c>
      <c r="V94" s="25">
        <f t="shared" si="42"/>
        <v>70833.333333333328</v>
      </c>
    </row>
    <row r="95" spans="1:22">
      <c r="A95" s="5">
        <f>A94+1</f>
        <v>69</v>
      </c>
      <c r="B95" t="s">
        <v>223</v>
      </c>
      <c r="D95" s="88">
        <v>163</v>
      </c>
      <c r="E95" s="88">
        <f>F95-D95</f>
        <v>-163</v>
      </c>
      <c r="F95" s="88">
        <v>0</v>
      </c>
      <c r="G95" s="88"/>
      <c r="H95" s="88"/>
      <c r="I95" s="19"/>
      <c r="J95" s="3"/>
      <c r="K95" s="25"/>
      <c r="L95" s="25"/>
      <c r="M95" s="25"/>
      <c r="N95" s="25"/>
      <c r="O95" s="25"/>
      <c r="P95" s="25"/>
      <c r="Q95" s="25"/>
      <c r="R95" s="25"/>
      <c r="S95" s="25"/>
      <c r="T95" s="25"/>
      <c r="U95" s="25"/>
      <c r="V95" s="25"/>
    </row>
    <row r="96" spans="1:22">
      <c r="A96" s="5">
        <f t="shared" ref="A96:A97" si="43">A95+1</f>
        <v>70</v>
      </c>
      <c r="B96" s="17" t="s">
        <v>95</v>
      </c>
      <c r="C96" s="17"/>
      <c r="D96" s="88">
        <v>95212</v>
      </c>
      <c r="E96" s="39">
        <f>F96-D96</f>
        <v>-95212</v>
      </c>
      <c r="F96" s="19">
        <v>0</v>
      </c>
      <c r="G96" s="19"/>
      <c r="H96" s="19">
        <v>48</v>
      </c>
      <c r="I96" s="19"/>
      <c r="J96" s="3"/>
    </row>
    <row r="97" spans="1:22">
      <c r="A97" s="5">
        <f t="shared" si="43"/>
        <v>71</v>
      </c>
      <c r="B97" t="s">
        <v>19</v>
      </c>
      <c r="D97" s="104">
        <f>SUM(D94:D96)</f>
        <v>98620</v>
      </c>
      <c r="E97" s="19">
        <f>F97-D97</f>
        <v>-98620</v>
      </c>
      <c r="F97" s="21">
        <f>SUM(F94:F96)</f>
        <v>0</v>
      </c>
      <c r="G97" s="19"/>
      <c r="H97" s="19">
        <v>0</v>
      </c>
      <c r="I97" s="19"/>
      <c r="J97" s="3"/>
    </row>
    <row r="98" spans="1:22" ht="7.5" customHeight="1">
      <c r="A98" s="5" t="s">
        <v>9</v>
      </c>
      <c r="D98" s="19"/>
      <c r="E98" s="19"/>
      <c r="F98" s="19"/>
      <c r="G98" s="19"/>
      <c r="H98" s="39">
        <v>0</v>
      </c>
      <c r="I98" s="19"/>
      <c r="J98" s="3"/>
    </row>
    <row r="99" spans="1:22">
      <c r="A99" s="5"/>
      <c r="B99" s="44" t="s">
        <v>27</v>
      </c>
      <c r="D99" s="19"/>
      <c r="E99" s="19"/>
      <c r="F99" s="19" t="s">
        <v>9</v>
      </c>
      <c r="G99" s="19"/>
      <c r="H99" s="19">
        <v>48</v>
      </c>
      <c r="I99" s="19"/>
      <c r="J99" s="3"/>
    </row>
    <row r="100" spans="1:22">
      <c r="A100" s="5">
        <f>A97+1</f>
        <v>72</v>
      </c>
      <c r="B100" t="s">
        <v>25</v>
      </c>
      <c r="D100" s="88">
        <v>418</v>
      </c>
      <c r="E100" s="88">
        <f>F100-D100</f>
        <v>48</v>
      </c>
      <c r="F100" s="88">
        <v>466</v>
      </c>
      <c r="G100" s="88"/>
      <c r="H100" s="88"/>
      <c r="I100" s="19"/>
      <c r="J100" s="3">
        <f t="shared" ref="J100" si="44">SUM(K100:V100)/1000</f>
        <v>465.99999999999994</v>
      </c>
      <c r="K100" s="56">
        <f>$F100*1000/12</f>
        <v>38833.333333333336</v>
      </c>
      <c r="L100" s="56">
        <f t="shared" ref="L100:V100" si="45">$F100*1000/12</f>
        <v>38833.333333333336</v>
      </c>
      <c r="M100" s="56">
        <f t="shared" si="45"/>
        <v>38833.333333333336</v>
      </c>
      <c r="N100" s="56">
        <f t="shared" si="45"/>
        <v>38833.333333333336</v>
      </c>
      <c r="O100" s="56">
        <f t="shared" si="45"/>
        <v>38833.333333333336</v>
      </c>
      <c r="P100" s="56">
        <f t="shared" si="45"/>
        <v>38833.333333333336</v>
      </c>
      <c r="Q100" s="56">
        <f t="shared" si="45"/>
        <v>38833.333333333336</v>
      </c>
      <c r="R100" s="56">
        <f t="shared" si="45"/>
        <v>38833.333333333336</v>
      </c>
      <c r="S100" s="56">
        <f t="shared" si="45"/>
        <v>38833.333333333336</v>
      </c>
      <c r="T100" s="56">
        <f t="shared" si="45"/>
        <v>38833.333333333336</v>
      </c>
      <c r="U100" s="56">
        <f t="shared" si="45"/>
        <v>38833.333333333336</v>
      </c>
      <c r="V100" s="56">
        <f t="shared" si="45"/>
        <v>38833.333333333336</v>
      </c>
    </row>
    <row r="101" spans="1:22" ht="6.75" customHeight="1">
      <c r="A101" s="5"/>
      <c r="D101" s="88"/>
      <c r="E101" s="19"/>
      <c r="F101" s="88"/>
      <c r="G101" s="19"/>
      <c r="H101" s="19" t="s">
        <v>9</v>
      </c>
      <c r="I101" s="19"/>
      <c r="J101" s="3"/>
    </row>
    <row r="102" spans="1:22" ht="6" customHeight="1">
      <c r="A102" s="5"/>
      <c r="D102" s="19"/>
      <c r="E102" s="19"/>
      <c r="F102" s="19"/>
      <c r="G102" s="19"/>
      <c r="H102" s="19"/>
      <c r="I102" s="19"/>
      <c r="J102" s="3"/>
    </row>
    <row r="103" spans="1:22">
      <c r="A103" s="5">
        <f>A100+1</f>
        <v>73</v>
      </c>
      <c r="B103" s="41" t="s">
        <v>20</v>
      </c>
      <c r="C103" s="35"/>
      <c r="D103" s="42">
        <f>D91+D97+D100</f>
        <v>229875</v>
      </c>
      <c r="E103" s="42">
        <f>F103-D103</f>
        <v>-172731.02632059134</v>
      </c>
      <c r="F103" s="43">
        <f>F91+F97+F100</f>
        <v>57143.973679408678</v>
      </c>
      <c r="G103" s="19"/>
      <c r="H103" s="19">
        <v>24</v>
      </c>
      <c r="I103" s="19"/>
      <c r="J103" s="3"/>
    </row>
    <row r="104" spans="1:22" ht="7.5" customHeight="1">
      <c r="A104" s="5"/>
      <c r="D104" s="19"/>
      <c r="E104" s="19"/>
      <c r="F104" s="19"/>
      <c r="G104" s="19"/>
      <c r="H104" s="19"/>
      <c r="I104" s="19"/>
      <c r="J104" s="3"/>
    </row>
    <row r="105" spans="1:22">
      <c r="A105" s="5">
        <f>A103+1</f>
        <v>74</v>
      </c>
      <c r="B105" s="41" t="s">
        <v>140</v>
      </c>
      <c r="C105" s="35"/>
      <c r="D105" s="42">
        <f>D78-D103</f>
        <v>168065</v>
      </c>
      <c r="E105" s="42">
        <f>F105-D105</f>
        <v>9251.6345664458349</v>
      </c>
      <c r="F105" s="43">
        <f>F78-F103</f>
        <v>177316.63456644583</v>
      </c>
      <c r="G105" s="19"/>
      <c r="H105" s="42">
        <v>62497.890920372694</v>
      </c>
      <c r="I105" s="19"/>
      <c r="J105" s="3"/>
    </row>
    <row r="106" spans="1:22" ht="6" customHeight="1">
      <c r="A106" s="5"/>
      <c r="D106" s="19"/>
      <c r="E106" s="19"/>
      <c r="F106" s="19"/>
      <c r="G106" s="19"/>
      <c r="H106" s="19"/>
      <c r="I106" s="19"/>
      <c r="J106" s="3"/>
    </row>
    <row r="107" spans="1:22" ht="12.75" customHeight="1">
      <c r="A107" s="5"/>
      <c r="B107" s="2"/>
      <c r="D107" s="19"/>
      <c r="E107" s="143">
        <f>F105/D105-1</f>
        <v>5.5047955055757214E-2</v>
      </c>
      <c r="G107" s="19"/>
      <c r="H107" s="19"/>
      <c r="I107" s="19"/>
      <c r="J107" s="3"/>
    </row>
    <row r="108" spans="1:22" ht="9" customHeight="1">
      <c r="A108" s="5"/>
      <c r="B108" s="106"/>
      <c r="D108" s="19"/>
      <c r="F108"/>
      <c r="G108" s="19"/>
      <c r="H108" s="19"/>
      <c r="I108" s="19"/>
      <c r="J108" s="3"/>
    </row>
    <row r="109" spans="1:22" ht="12.75" customHeight="1">
      <c r="A109" s="5"/>
      <c r="B109" s="2"/>
      <c r="D109" s="3"/>
      <c r="F109" s="3">
        <v>9300991</v>
      </c>
      <c r="J109" s="3"/>
    </row>
    <row r="110" spans="1:22">
      <c r="J110" s="3"/>
    </row>
    <row r="111" spans="1:22">
      <c r="F111" s="145">
        <f>F105*1000/F109</f>
        <v>19.064273319525395</v>
      </c>
      <c r="I111" s="20" t="s">
        <v>228</v>
      </c>
      <c r="J111" s="25">
        <f>SUM(K111:V111)</f>
        <v>158751133.67886782</v>
      </c>
      <c r="K111" s="25">
        <f t="shared" ref="K111:V111" si="46">K28+K44+K58-K91</f>
        <v>18301152.399394743</v>
      </c>
      <c r="L111" s="25">
        <f t="shared" si="46"/>
        <v>16320087.371864529</v>
      </c>
      <c r="M111" s="25">
        <f t="shared" si="46"/>
        <v>14734696.730258901</v>
      </c>
      <c r="N111" s="25">
        <f t="shared" si="46"/>
        <v>9688791.399619991</v>
      </c>
      <c r="O111" s="25">
        <f t="shared" si="46"/>
        <v>6070024.8834792413</v>
      </c>
      <c r="P111" s="25">
        <f t="shared" si="46"/>
        <v>6535416.394359827</v>
      </c>
      <c r="Q111" s="25">
        <f t="shared" si="46"/>
        <v>10357892.686195081</v>
      </c>
      <c r="R111" s="25">
        <f t="shared" si="46"/>
        <v>14930851.711730512</v>
      </c>
      <c r="S111" s="25">
        <f t="shared" si="46"/>
        <v>12573843.320080999</v>
      </c>
      <c r="T111" s="25">
        <f t="shared" si="46"/>
        <v>13815173.645499364</v>
      </c>
      <c r="U111" s="25">
        <f t="shared" si="46"/>
        <v>17328976.456170339</v>
      </c>
      <c r="V111" s="25">
        <f t="shared" si="46"/>
        <v>18094226.680214297</v>
      </c>
    </row>
    <row r="112" spans="1:22">
      <c r="J112" s="3"/>
    </row>
    <row r="113" spans="9:22">
      <c r="I113" s="20" t="s">
        <v>229</v>
      </c>
      <c r="J113" s="25">
        <f>SUM(K113:V113)</f>
        <v>177316274.35406786</v>
      </c>
      <c r="K113" s="25">
        <f t="shared" ref="K113:V113" si="47">K111+K37+K73+K76-K100</f>
        <v>19882337.931128081</v>
      </c>
      <c r="L113" s="25">
        <f t="shared" si="47"/>
        <v>17882415.209629864</v>
      </c>
      <c r="M113" s="25">
        <f t="shared" si="47"/>
        <v>16284781.570600232</v>
      </c>
      <c r="N113" s="25">
        <f t="shared" si="47"/>
        <v>11245066.696673322</v>
      </c>
      <c r="O113" s="25">
        <f t="shared" si="47"/>
        <v>7610670.9264525753</v>
      </c>
      <c r="P113" s="25">
        <f t="shared" si="47"/>
        <v>8047852.6900531612</v>
      </c>
      <c r="Q113" s="25">
        <f t="shared" si="47"/>
        <v>11919369.153168414</v>
      </c>
      <c r="R113" s="25">
        <f t="shared" si="47"/>
        <v>16486928.358663844</v>
      </c>
      <c r="S113" s="25">
        <f t="shared" si="47"/>
        <v>14111121.862974331</v>
      </c>
      <c r="T113" s="25">
        <f t="shared" si="47"/>
        <v>15329281.489272695</v>
      </c>
      <c r="U113" s="25">
        <f t="shared" si="47"/>
        <v>18849773.093135674</v>
      </c>
      <c r="V113" s="25">
        <f t="shared" si="47"/>
        <v>19666675.372315634</v>
      </c>
    </row>
    <row r="114" spans="9:22">
      <c r="J114" s="3"/>
    </row>
    <row r="115" spans="9:22">
      <c r="J115" s="3"/>
    </row>
    <row r="116" spans="9:22">
      <c r="J116" s="3"/>
    </row>
    <row r="117" spans="9:22">
      <c r="J117" s="3"/>
    </row>
    <row r="118" spans="9:22">
      <c r="J118" s="3"/>
    </row>
    <row r="119" spans="9:22">
      <c r="J119" s="3"/>
    </row>
    <row r="120" spans="9:22">
      <c r="J120" s="3"/>
    </row>
    <row r="121" spans="9:22">
      <c r="J121" s="3"/>
    </row>
    <row r="122" spans="9:22">
      <c r="J122" s="3"/>
    </row>
    <row r="123" spans="9:22">
      <c r="J123" s="3"/>
    </row>
    <row r="124" spans="9:22">
      <c r="J124" s="3"/>
    </row>
    <row r="125" spans="9:22">
      <c r="J125" s="3"/>
    </row>
    <row r="126" spans="9:22">
      <c r="J126" s="3"/>
    </row>
    <row r="127" spans="9:22">
      <c r="J127" s="3"/>
    </row>
    <row r="128" spans="9:22">
      <c r="J128" s="3"/>
    </row>
    <row r="129" spans="10:10">
      <c r="J129" s="3"/>
    </row>
    <row r="130" spans="10:10">
      <c r="J130" s="3"/>
    </row>
    <row r="131" spans="10:10">
      <c r="J131" s="3"/>
    </row>
    <row r="132" spans="10:10">
      <c r="J132" s="3"/>
    </row>
    <row r="133" spans="10:10">
      <c r="J133" s="3"/>
    </row>
    <row r="134" spans="10:10">
      <c r="J134" s="3"/>
    </row>
    <row r="135" spans="10:10">
      <c r="J135" s="3"/>
    </row>
    <row r="136" spans="10:10">
      <c r="J136" s="3"/>
    </row>
    <row r="137" spans="10:10">
      <c r="J137" s="3"/>
    </row>
    <row r="138" spans="10:10">
      <c r="J138" s="3"/>
    </row>
    <row r="139" spans="10:10">
      <c r="J139" s="3"/>
    </row>
    <row r="140" spans="10:10">
      <c r="J140" s="3"/>
    </row>
    <row r="141" spans="10:10">
      <c r="J141" s="3"/>
    </row>
    <row r="142" spans="10:10">
      <c r="J142" s="3"/>
    </row>
    <row r="143" spans="10:10">
      <c r="J143" s="3"/>
    </row>
    <row r="144" spans="10: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row r="161" spans="10:10">
      <c r="J161" s="3"/>
    </row>
    <row r="162" spans="10:10">
      <c r="J162" s="3"/>
    </row>
    <row r="163" spans="10:10">
      <c r="J163" s="3"/>
    </row>
    <row r="164" spans="10:10">
      <c r="J164" s="3"/>
    </row>
    <row r="165" spans="10:10">
      <c r="J165" s="3"/>
    </row>
    <row r="166" spans="10:10">
      <c r="J166" s="3"/>
    </row>
    <row r="167" spans="10:10">
      <c r="J167" s="3"/>
    </row>
    <row r="168" spans="10:10">
      <c r="J168" s="3"/>
    </row>
    <row r="169" spans="10:10">
      <c r="J169" s="3"/>
    </row>
    <row r="170" spans="10:10">
      <c r="J170" s="3"/>
    </row>
    <row r="171" spans="10:10">
      <c r="J171" s="3"/>
    </row>
    <row r="172" spans="10:10">
      <c r="J172" s="3"/>
    </row>
    <row r="173" spans="10:10">
      <c r="J173" s="3"/>
    </row>
    <row r="174" spans="10:10">
      <c r="J174" s="3"/>
    </row>
    <row r="175" spans="10:10">
      <c r="J175" s="3"/>
    </row>
    <row r="176" spans="10:10">
      <c r="J176" s="3"/>
    </row>
    <row r="177" spans="10:10">
      <c r="J177" s="3"/>
    </row>
    <row r="178" spans="10:10">
      <c r="J178" s="3"/>
    </row>
    <row r="179" spans="10:10">
      <c r="J179" s="3"/>
    </row>
    <row r="180" spans="10:10">
      <c r="J180" s="3"/>
    </row>
    <row r="181" spans="10:10">
      <c r="J181" s="3"/>
    </row>
    <row r="182" spans="10:10">
      <c r="J182" s="3"/>
    </row>
    <row r="183" spans="10:10">
      <c r="J183" s="3"/>
    </row>
    <row r="184" spans="10:10">
      <c r="J184" s="3"/>
    </row>
    <row r="185" spans="10:10">
      <c r="J185" s="3"/>
    </row>
    <row r="186" spans="10:10">
      <c r="J186" s="3"/>
    </row>
    <row r="187" spans="10:10">
      <c r="J187" s="3"/>
    </row>
    <row r="188" spans="10:10">
      <c r="J188" s="3"/>
    </row>
    <row r="189" spans="10:10">
      <c r="J189" s="3"/>
    </row>
    <row r="190" spans="10:10">
      <c r="J190" s="3"/>
    </row>
    <row r="191" spans="10:10">
      <c r="J191" s="3"/>
    </row>
    <row r="192" spans="10:10">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row r="235" spans="10:10">
      <c r="J235" s="3"/>
    </row>
    <row r="236" spans="10:10">
      <c r="J236" s="3"/>
    </row>
    <row r="237" spans="10:10">
      <c r="J237" s="3"/>
    </row>
    <row r="238" spans="10:10">
      <c r="J238" s="3"/>
    </row>
    <row r="239" spans="10:10">
      <c r="J239" s="3"/>
    </row>
    <row r="240" spans="10: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row r="268" spans="10:10">
      <c r="J268" s="3"/>
    </row>
    <row r="269" spans="10:10">
      <c r="J269" s="3"/>
    </row>
    <row r="270" spans="10:10">
      <c r="J270" s="3"/>
    </row>
    <row r="271" spans="10:10">
      <c r="J271" s="3"/>
    </row>
    <row r="272" spans="10: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row r="344" spans="10:10">
      <c r="J344" s="3"/>
    </row>
    <row r="345" spans="10:10">
      <c r="J345" s="3"/>
    </row>
    <row r="346" spans="10:10">
      <c r="J346" s="3"/>
    </row>
    <row r="347" spans="10:10">
      <c r="J347" s="3"/>
    </row>
    <row r="348" spans="10:10">
      <c r="J348" s="3"/>
    </row>
    <row r="349" spans="10:10">
      <c r="J349" s="3"/>
    </row>
    <row r="350" spans="10:10">
      <c r="J350" s="3"/>
    </row>
    <row r="351" spans="10:10">
      <c r="J351" s="3"/>
    </row>
    <row r="352" spans="10:10">
      <c r="J352" s="3"/>
    </row>
    <row r="353" spans="10:10">
      <c r="J353" s="3"/>
    </row>
    <row r="354" spans="10:10">
      <c r="J354" s="3"/>
    </row>
    <row r="355" spans="10:10">
      <c r="J355" s="3"/>
    </row>
    <row r="356" spans="10:10">
      <c r="J356" s="3"/>
    </row>
    <row r="357" spans="10:10">
      <c r="J357" s="3"/>
    </row>
    <row r="358" spans="10:10">
      <c r="J358" s="3"/>
    </row>
    <row r="359" spans="10:10">
      <c r="J359" s="3"/>
    </row>
    <row r="360" spans="10:10">
      <c r="J360" s="3"/>
    </row>
    <row r="361" spans="10:10">
      <c r="J361" s="3"/>
    </row>
    <row r="362" spans="10:10">
      <c r="J362" s="3"/>
    </row>
    <row r="363" spans="10:10">
      <c r="J363" s="3"/>
    </row>
    <row r="364" spans="10:10">
      <c r="J364" s="3"/>
    </row>
    <row r="365" spans="10:10">
      <c r="J365" s="3"/>
    </row>
    <row r="366" spans="10:10">
      <c r="J366" s="3"/>
    </row>
    <row r="367" spans="10:10">
      <c r="J367" s="3"/>
    </row>
    <row r="368" spans="10:10">
      <c r="J368" s="3"/>
    </row>
    <row r="369" spans="10:10">
      <c r="J369" s="3"/>
    </row>
    <row r="370" spans="10:10">
      <c r="J370" s="3"/>
    </row>
    <row r="371" spans="10:10">
      <c r="J371" s="3"/>
    </row>
    <row r="372" spans="10:10">
      <c r="J372" s="3"/>
    </row>
    <row r="373" spans="10:10">
      <c r="J373" s="3"/>
    </row>
    <row r="374" spans="10:10">
      <c r="J374" s="3"/>
    </row>
    <row r="375" spans="10:10">
      <c r="J375" s="3"/>
    </row>
    <row r="376" spans="10:10">
      <c r="J376" s="3"/>
    </row>
    <row r="377" spans="10:10">
      <c r="J377" s="3"/>
    </row>
    <row r="378" spans="10:10">
      <c r="J378" s="3"/>
    </row>
    <row r="379" spans="10:10">
      <c r="J379" s="3"/>
    </row>
    <row r="380" spans="10:10">
      <c r="J380" s="3"/>
    </row>
    <row r="381" spans="10:10">
      <c r="J381" s="3"/>
    </row>
    <row r="382" spans="10:10">
      <c r="J382" s="3"/>
    </row>
    <row r="383" spans="10:10">
      <c r="J383" s="3"/>
    </row>
    <row r="384" spans="10:10">
      <c r="J384" s="3"/>
    </row>
    <row r="385" spans="10:10">
      <c r="J385" s="3"/>
    </row>
    <row r="386" spans="10:10">
      <c r="J386" s="3"/>
    </row>
    <row r="387" spans="10:10">
      <c r="J387" s="3"/>
    </row>
    <row r="388" spans="10:10">
      <c r="J388" s="3"/>
    </row>
    <row r="389" spans="10:10">
      <c r="J389" s="3"/>
    </row>
    <row r="390" spans="10:10">
      <c r="J390" s="3"/>
    </row>
    <row r="391" spans="10:10">
      <c r="J391" s="3"/>
    </row>
    <row r="392" spans="10:10">
      <c r="J392" s="3"/>
    </row>
    <row r="393" spans="10:10">
      <c r="J393" s="3"/>
    </row>
    <row r="394" spans="10:10">
      <c r="J394" s="3"/>
    </row>
    <row r="395" spans="10:10">
      <c r="J395" s="3"/>
    </row>
    <row r="396" spans="10:10">
      <c r="J396" s="3"/>
    </row>
    <row r="397" spans="10:10">
      <c r="J397" s="3"/>
    </row>
    <row r="398" spans="10:10">
      <c r="J398" s="3"/>
    </row>
    <row r="399" spans="10:10">
      <c r="J399" s="3"/>
    </row>
    <row r="400" spans="10:10">
      <c r="J400" s="3"/>
    </row>
    <row r="401" spans="10:10">
      <c r="J401" s="3"/>
    </row>
    <row r="402" spans="10:10">
      <c r="J402" s="3"/>
    </row>
    <row r="403" spans="10:10">
      <c r="J403" s="3"/>
    </row>
    <row r="404" spans="10:10">
      <c r="J404" s="3"/>
    </row>
    <row r="405" spans="10:10">
      <c r="J405" s="3"/>
    </row>
    <row r="406" spans="10:10">
      <c r="J406" s="3"/>
    </row>
    <row r="407" spans="10:10">
      <c r="J407" s="3"/>
    </row>
    <row r="408" spans="10:10">
      <c r="J408" s="3"/>
    </row>
    <row r="409" spans="10:10">
      <c r="J409" s="3"/>
    </row>
    <row r="410" spans="10:10">
      <c r="J410" s="3"/>
    </row>
    <row r="411" spans="10:10">
      <c r="J411" s="3"/>
    </row>
    <row r="412" spans="10:10">
      <c r="J412" s="3"/>
    </row>
    <row r="413" spans="10:10">
      <c r="J413" s="3"/>
    </row>
    <row r="414" spans="10:10">
      <c r="J414" s="3"/>
    </row>
    <row r="415" spans="10:10">
      <c r="J415" s="3"/>
    </row>
    <row r="416" spans="10:10">
      <c r="J416" s="3"/>
    </row>
    <row r="417" spans="10:10">
      <c r="J417" s="3"/>
    </row>
    <row r="418" spans="10:10">
      <c r="J418" s="3"/>
    </row>
    <row r="419" spans="10:10">
      <c r="J419" s="3"/>
    </row>
    <row r="420" spans="10:10">
      <c r="J420" s="3"/>
    </row>
    <row r="421" spans="10:10">
      <c r="J421" s="3"/>
    </row>
    <row r="422" spans="10:10">
      <c r="J422" s="3"/>
    </row>
    <row r="423" spans="10:10">
      <c r="J423" s="3"/>
    </row>
    <row r="424" spans="10:10">
      <c r="J424" s="3"/>
    </row>
    <row r="425" spans="10:10">
      <c r="J425" s="3"/>
    </row>
    <row r="426" spans="10:10">
      <c r="J426" s="3"/>
    </row>
    <row r="427" spans="10:10">
      <c r="J427" s="3"/>
    </row>
    <row r="428" spans="10:10">
      <c r="J428" s="3"/>
    </row>
    <row r="429" spans="10:10">
      <c r="J429" s="3"/>
    </row>
    <row r="430" spans="10:10">
      <c r="J430" s="3"/>
    </row>
    <row r="431" spans="10:10">
      <c r="J431" s="3"/>
    </row>
    <row r="432" spans="10:10">
      <c r="J432" s="3"/>
    </row>
    <row r="433" spans="10:10">
      <c r="J433" s="3"/>
    </row>
    <row r="434" spans="10:10">
      <c r="J434" s="3"/>
    </row>
    <row r="435" spans="10:10">
      <c r="J435" s="3"/>
    </row>
    <row r="436" spans="10:10">
      <c r="J436" s="3"/>
    </row>
    <row r="437" spans="10:10">
      <c r="J437" s="3"/>
    </row>
    <row r="438" spans="10:10">
      <c r="J438" s="3"/>
    </row>
    <row r="439" spans="10:10">
      <c r="J439" s="3"/>
    </row>
    <row r="440" spans="10:10">
      <c r="J440" s="3"/>
    </row>
    <row r="441" spans="10:10">
      <c r="J441" s="3"/>
    </row>
    <row r="442" spans="10:10">
      <c r="J442" s="3"/>
    </row>
    <row r="443" spans="10:10">
      <c r="J443" s="3"/>
    </row>
    <row r="444" spans="10:10">
      <c r="J444" s="3"/>
    </row>
    <row r="445" spans="10:10">
      <c r="J445" s="3"/>
    </row>
    <row r="446" spans="10:10">
      <c r="J446" s="3"/>
    </row>
    <row r="447" spans="10:10">
      <c r="J447" s="3"/>
    </row>
    <row r="448" spans="10: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row r="488" spans="10:10">
      <c r="J488" s="3"/>
    </row>
    <row r="489" spans="10:10">
      <c r="J489" s="3"/>
    </row>
    <row r="490" spans="10:10">
      <c r="J490" s="3"/>
    </row>
    <row r="491" spans="10:10">
      <c r="J491" s="3"/>
    </row>
    <row r="492" spans="10:10">
      <c r="J492" s="3"/>
    </row>
    <row r="493" spans="10:10">
      <c r="J493" s="3"/>
    </row>
    <row r="494" spans="10:10">
      <c r="J494" s="3"/>
    </row>
    <row r="495" spans="10:10">
      <c r="J495" s="3"/>
    </row>
    <row r="496" spans="10:10">
      <c r="J496" s="3"/>
    </row>
    <row r="497" spans="10:10">
      <c r="J497" s="3"/>
    </row>
    <row r="498" spans="10:10">
      <c r="J498" s="3"/>
    </row>
    <row r="499" spans="10:10">
      <c r="J499" s="3"/>
    </row>
    <row r="500" spans="10:10">
      <c r="J500" s="3"/>
    </row>
    <row r="501" spans="10:10">
      <c r="J501" s="3"/>
    </row>
    <row r="502" spans="10:10">
      <c r="J502" s="3"/>
    </row>
    <row r="503" spans="10:10">
      <c r="J503" s="3"/>
    </row>
    <row r="504" spans="10:10">
      <c r="J504" s="3"/>
    </row>
    <row r="505" spans="10:10">
      <c r="J505" s="3"/>
    </row>
    <row r="506" spans="10:10">
      <c r="J506" s="3"/>
    </row>
    <row r="507" spans="10:10">
      <c r="J507" s="3"/>
    </row>
    <row r="508" spans="10:10">
      <c r="J508" s="3"/>
    </row>
    <row r="509" spans="10:10">
      <c r="J509" s="3"/>
    </row>
    <row r="510" spans="10:10">
      <c r="J510" s="3"/>
    </row>
    <row r="511" spans="10:10">
      <c r="J511" s="3"/>
    </row>
    <row r="512" spans="10:10">
      <c r="J512" s="3"/>
    </row>
    <row r="513" spans="10:10">
      <c r="J513" s="3"/>
    </row>
    <row r="514" spans="10:10">
      <c r="J514" s="3"/>
    </row>
    <row r="515" spans="10:10">
      <c r="J515" s="3"/>
    </row>
    <row r="516" spans="10:10">
      <c r="J516" s="3"/>
    </row>
    <row r="517" spans="10:10">
      <c r="J517" s="3"/>
    </row>
    <row r="518" spans="10:10">
      <c r="J518" s="3"/>
    </row>
    <row r="519" spans="10:10">
      <c r="J519" s="3"/>
    </row>
    <row r="520" spans="10:10">
      <c r="J520" s="3"/>
    </row>
    <row r="521" spans="10:10">
      <c r="J521" s="3"/>
    </row>
    <row r="522" spans="10:10">
      <c r="J522" s="3"/>
    </row>
    <row r="523" spans="10:10">
      <c r="J523" s="3"/>
    </row>
    <row r="524" spans="10:10">
      <c r="J524" s="3"/>
    </row>
    <row r="525" spans="10:10">
      <c r="J525" s="3"/>
    </row>
    <row r="526" spans="10:10">
      <c r="J526" s="3"/>
    </row>
    <row r="527" spans="10:10">
      <c r="J527" s="3"/>
    </row>
    <row r="528" spans="10:10">
      <c r="J528" s="3"/>
    </row>
    <row r="529" spans="10:10">
      <c r="J529" s="3"/>
    </row>
    <row r="530" spans="10:10">
      <c r="J530" s="3"/>
    </row>
    <row r="531" spans="10:10">
      <c r="J531" s="3"/>
    </row>
    <row r="532" spans="10:10">
      <c r="J532" s="3"/>
    </row>
    <row r="533" spans="10:10">
      <c r="J533" s="3"/>
    </row>
    <row r="534" spans="10:10">
      <c r="J534" s="3"/>
    </row>
    <row r="535" spans="10:10">
      <c r="J535" s="3"/>
    </row>
    <row r="536" spans="10:10">
      <c r="J536" s="3"/>
    </row>
    <row r="537" spans="10:10">
      <c r="J537" s="3"/>
    </row>
    <row r="538" spans="10:10">
      <c r="J538" s="3"/>
    </row>
    <row r="539" spans="10:10">
      <c r="J539" s="3"/>
    </row>
    <row r="540" spans="10:10">
      <c r="J540" s="3"/>
    </row>
    <row r="541" spans="10:10">
      <c r="J541" s="3"/>
    </row>
    <row r="542" spans="10:10">
      <c r="J542" s="3"/>
    </row>
    <row r="543" spans="10:10">
      <c r="J543" s="3"/>
    </row>
    <row r="544" spans="10:10">
      <c r="J544" s="3"/>
    </row>
    <row r="545" spans="10:10">
      <c r="J545" s="3"/>
    </row>
    <row r="546" spans="10:10">
      <c r="J546" s="3"/>
    </row>
    <row r="547" spans="10:10">
      <c r="J547" s="3"/>
    </row>
    <row r="548" spans="10:10">
      <c r="J548" s="3"/>
    </row>
    <row r="549" spans="10:10">
      <c r="J549" s="3"/>
    </row>
    <row r="550" spans="10:10">
      <c r="J550" s="3"/>
    </row>
    <row r="551" spans="10:10">
      <c r="J551" s="3"/>
    </row>
    <row r="552" spans="10:10">
      <c r="J552" s="3"/>
    </row>
    <row r="553" spans="10:10">
      <c r="J553" s="3"/>
    </row>
    <row r="554" spans="10:10">
      <c r="J554" s="3"/>
    </row>
    <row r="555" spans="10:10">
      <c r="J555" s="3"/>
    </row>
    <row r="556" spans="10:10">
      <c r="J556" s="3"/>
    </row>
    <row r="557" spans="10:10">
      <c r="J557" s="3"/>
    </row>
    <row r="558" spans="10:10">
      <c r="J558" s="3"/>
    </row>
    <row r="559" spans="10:10">
      <c r="J559" s="3"/>
    </row>
    <row r="560" spans="10:10">
      <c r="J560" s="3"/>
    </row>
    <row r="561" spans="10:10">
      <c r="J561" s="3"/>
    </row>
    <row r="562" spans="10:10">
      <c r="J562" s="3"/>
    </row>
    <row r="563" spans="10:10">
      <c r="J563" s="3"/>
    </row>
    <row r="564" spans="10:10">
      <c r="J564" s="3"/>
    </row>
    <row r="565" spans="10:10">
      <c r="J565" s="3"/>
    </row>
    <row r="566" spans="10:10">
      <c r="J566" s="3"/>
    </row>
    <row r="567" spans="10:10">
      <c r="J567" s="3"/>
    </row>
    <row r="568" spans="10:10">
      <c r="J568" s="3"/>
    </row>
    <row r="569" spans="10:10">
      <c r="J569" s="3"/>
    </row>
    <row r="570" spans="10:10">
      <c r="J570" s="3"/>
    </row>
    <row r="571" spans="10:10">
      <c r="J571" s="3"/>
    </row>
    <row r="572" spans="10:10">
      <c r="J572" s="3"/>
    </row>
    <row r="573" spans="10:10">
      <c r="J573" s="3"/>
    </row>
    <row r="574" spans="10:10">
      <c r="J574" s="3"/>
    </row>
    <row r="575" spans="10:10">
      <c r="J575" s="3"/>
    </row>
    <row r="576" spans="10:10">
      <c r="J576" s="3"/>
    </row>
    <row r="577" spans="10:10">
      <c r="J577" s="3"/>
    </row>
    <row r="578" spans="10:10">
      <c r="J578" s="3"/>
    </row>
    <row r="579" spans="10:10">
      <c r="J579" s="3"/>
    </row>
    <row r="580" spans="10:10">
      <c r="J580" s="3"/>
    </row>
    <row r="581" spans="10:10">
      <c r="J581" s="3"/>
    </row>
    <row r="582" spans="10:10">
      <c r="J582" s="3"/>
    </row>
    <row r="583" spans="10:10">
      <c r="J583" s="3"/>
    </row>
    <row r="584" spans="10:10">
      <c r="J584" s="3"/>
    </row>
    <row r="585" spans="10:10">
      <c r="J585" s="3"/>
    </row>
    <row r="586" spans="10:10">
      <c r="J586" s="3"/>
    </row>
    <row r="587" spans="10:10">
      <c r="J587" s="3"/>
    </row>
    <row r="588" spans="10:10">
      <c r="J588" s="3"/>
    </row>
    <row r="589" spans="10:10">
      <c r="J589" s="3"/>
    </row>
    <row r="590" spans="10:10">
      <c r="J590" s="3"/>
    </row>
    <row r="591" spans="10:10">
      <c r="J591" s="3"/>
    </row>
    <row r="592" spans="10:10">
      <c r="J592" s="3"/>
    </row>
    <row r="593" spans="10:10">
      <c r="J593" s="3"/>
    </row>
    <row r="594" spans="10:10">
      <c r="J594" s="3"/>
    </row>
    <row r="595" spans="10:10">
      <c r="J595" s="3"/>
    </row>
    <row r="596" spans="10:10">
      <c r="J596" s="3"/>
    </row>
    <row r="597" spans="10:10">
      <c r="J597" s="3"/>
    </row>
    <row r="598" spans="10:10">
      <c r="J598" s="3"/>
    </row>
    <row r="599" spans="10:10">
      <c r="J599" s="3"/>
    </row>
    <row r="600" spans="10:10">
      <c r="J600" s="3"/>
    </row>
    <row r="601" spans="10:10">
      <c r="J601" s="3"/>
    </row>
    <row r="602" spans="10:10">
      <c r="J602" s="3"/>
    </row>
    <row r="603" spans="10:10">
      <c r="J603" s="3"/>
    </row>
    <row r="604" spans="10:10">
      <c r="J604" s="3"/>
    </row>
    <row r="605" spans="10:10">
      <c r="J605" s="3"/>
    </row>
    <row r="606" spans="10:10">
      <c r="J606" s="3"/>
    </row>
    <row r="607" spans="10:10">
      <c r="J607" s="3"/>
    </row>
    <row r="608" spans="10:10">
      <c r="J608" s="3"/>
    </row>
    <row r="609" spans="10:10">
      <c r="J609" s="3"/>
    </row>
    <row r="610" spans="10:10">
      <c r="J610" s="3"/>
    </row>
    <row r="611" spans="10:10">
      <c r="J611" s="3"/>
    </row>
    <row r="612" spans="10:10">
      <c r="J612" s="3"/>
    </row>
    <row r="613" spans="10:10">
      <c r="J613" s="3"/>
    </row>
    <row r="614" spans="10:10">
      <c r="J614" s="3"/>
    </row>
    <row r="615" spans="10:10">
      <c r="J615" s="3"/>
    </row>
    <row r="616" spans="10:10">
      <c r="J616" s="3"/>
    </row>
    <row r="617" spans="10:10">
      <c r="J617" s="3"/>
    </row>
    <row r="618" spans="10:10">
      <c r="J618" s="3"/>
    </row>
    <row r="619" spans="10:10">
      <c r="J619" s="3"/>
    </row>
    <row r="620" spans="10:10">
      <c r="J620" s="3"/>
    </row>
    <row r="621" spans="10:10">
      <c r="J621" s="3"/>
    </row>
    <row r="622" spans="10:10">
      <c r="J622" s="3"/>
    </row>
    <row r="623" spans="10:10">
      <c r="J623" s="3"/>
    </row>
    <row r="624" spans="10:10">
      <c r="J624" s="3"/>
    </row>
    <row r="625" spans="10:10">
      <c r="J625" s="3"/>
    </row>
    <row r="626" spans="10:10">
      <c r="J626" s="3"/>
    </row>
    <row r="627" spans="10:10">
      <c r="J627" s="3"/>
    </row>
    <row r="628" spans="10:10">
      <c r="J628" s="3"/>
    </row>
    <row r="629" spans="10:10">
      <c r="J629" s="3"/>
    </row>
    <row r="630" spans="10:10">
      <c r="J630" s="3"/>
    </row>
    <row r="631" spans="10:10">
      <c r="J631" s="3"/>
    </row>
    <row r="632" spans="10:10">
      <c r="J632" s="3"/>
    </row>
    <row r="633" spans="10:10">
      <c r="J633" s="3"/>
    </row>
    <row r="634" spans="10:10">
      <c r="J634" s="3"/>
    </row>
    <row r="635" spans="10:10">
      <c r="J635" s="3"/>
    </row>
    <row r="636" spans="10:10">
      <c r="J636" s="3"/>
    </row>
    <row r="637" spans="10:10">
      <c r="J637" s="3"/>
    </row>
    <row r="638" spans="10:10">
      <c r="J638" s="3"/>
    </row>
    <row r="639" spans="10:10">
      <c r="J639" s="3"/>
    </row>
    <row r="640" spans="10:10">
      <c r="J640" s="3"/>
    </row>
    <row r="641" spans="10:10">
      <c r="J641" s="3"/>
    </row>
    <row r="642" spans="10:10">
      <c r="J642" s="3"/>
    </row>
    <row r="643" spans="10:10">
      <c r="J643" s="3"/>
    </row>
    <row r="644" spans="10:10">
      <c r="J644" s="3"/>
    </row>
    <row r="645" spans="10:10">
      <c r="J645" s="3"/>
    </row>
    <row r="646" spans="10:10">
      <c r="J646" s="3"/>
    </row>
    <row r="647" spans="10:10">
      <c r="J647" s="3"/>
    </row>
    <row r="648" spans="10:10">
      <c r="J648" s="3"/>
    </row>
    <row r="649" spans="10:10">
      <c r="J649" s="3"/>
    </row>
    <row r="650" spans="10:10">
      <c r="J650" s="3"/>
    </row>
    <row r="651" spans="10:10">
      <c r="J651" s="3"/>
    </row>
    <row r="652" spans="10:10">
      <c r="J652" s="3"/>
    </row>
    <row r="653" spans="10:10">
      <c r="J653" s="3"/>
    </row>
    <row r="654" spans="10:10">
      <c r="J654" s="3"/>
    </row>
    <row r="655" spans="10:10">
      <c r="J655" s="3"/>
    </row>
    <row r="656" spans="10:10">
      <c r="J656" s="3"/>
    </row>
    <row r="657" spans="10:10">
      <c r="J657" s="3"/>
    </row>
    <row r="658" spans="10:10">
      <c r="J658" s="3"/>
    </row>
    <row r="659" spans="10:10">
      <c r="J659" s="3"/>
    </row>
    <row r="660" spans="10:10">
      <c r="J660" s="3"/>
    </row>
    <row r="661" spans="10:10">
      <c r="J661" s="3"/>
    </row>
    <row r="662" spans="10:10">
      <c r="J662" s="3"/>
    </row>
    <row r="663" spans="10:10">
      <c r="J663" s="3"/>
    </row>
    <row r="664" spans="10:10">
      <c r="J664" s="3"/>
    </row>
    <row r="665" spans="10:10">
      <c r="J665" s="3"/>
    </row>
    <row r="666" spans="10:10">
      <c r="J666" s="3"/>
    </row>
    <row r="667" spans="10:10">
      <c r="J667" s="3"/>
    </row>
    <row r="668" spans="10:10">
      <c r="J668" s="3"/>
    </row>
    <row r="669" spans="10:10">
      <c r="J669" s="3"/>
    </row>
    <row r="670" spans="10:10">
      <c r="J670" s="3"/>
    </row>
    <row r="671" spans="10:10">
      <c r="J671" s="3"/>
    </row>
    <row r="672" spans="10:10">
      <c r="J672" s="3"/>
    </row>
    <row r="673" spans="10:10">
      <c r="J673" s="3"/>
    </row>
    <row r="674" spans="10:10">
      <c r="J674" s="3"/>
    </row>
    <row r="675" spans="10:10">
      <c r="J675" s="3"/>
    </row>
    <row r="676" spans="10:10">
      <c r="J676" s="3"/>
    </row>
    <row r="677" spans="10:10">
      <c r="J677" s="3"/>
    </row>
    <row r="678" spans="10:10">
      <c r="J678" s="3"/>
    </row>
    <row r="679" spans="10:10">
      <c r="J679" s="3"/>
    </row>
    <row r="680" spans="10:10">
      <c r="J680" s="3"/>
    </row>
    <row r="681" spans="10:10">
      <c r="J681" s="3"/>
    </row>
    <row r="682" spans="10:10">
      <c r="J682" s="3"/>
    </row>
    <row r="683" spans="10:10">
      <c r="J683" s="3"/>
    </row>
    <row r="684" spans="10:10">
      <c r="J684" s="3"/>
    </row>
  </sheetData>
  <phoneticPr fontId="6" type="noConversion"/>
  <pageMargins left="0.75" right="0.75" top="1" bottom="1" header="0.5" footer="0.5"/>
  <pageSetup scale="80" orientation="portrait" r:id="rId1"/>
  <headerFooter scaleWithDoc="0" alignWithMargins="0">
    <oddHeader xml:space="preserve">&amp;CBench Request 10.4 - Attachment A   &amp;R
 </oddHeader>
    <oddFooter>&amp;CNOVEMBER 2016 POWER SUPPLY UPDATE
&amp;R&amp;"Arial,Regular"Page &amp;P of &amp;N</oddFooter>
  </headerFooter>
  <rowBreaks count="1" manualBreakCount="1">
    <brk id="6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S42"/>
  <sheetViews>
    <sheetView zoomScaleNormal="100" workbookViewId="0">
      <selection activeCell="M1" sqref="M1"/>
    </sheetView>
  </sheetViews>
  <sheetFormatPr defaultColWidth="9.140625" defaultRowHeight="12.75"/>
  <cols>
    <col min="1" max="1" width="32.5703125" style="115" customWidth="1"/>
    <col min="2" max="2" width="13.140625" style="115" customWidth="1"/>
    <col min="3" max="14" width="11.7109375" style="115" customWidth="1"/>
    <col min="15" max="16384" width="9.140625" style="115"/>
  </cols>
  <sheetData>
    <row r="1" spans="1:19" ht="15.75">
      <c r="A1" s="134" t="s">
        <v>155</v>
      </c>
      <c r="S1" s="186">
        <v>0.65629999999999999</v>
      </c>
    </row>
    <row r="2" spans="1:19" ht="15.75">
      <c r="A2" s="134" t="s">
        <v>281</v>
      </c>
    </row>
    <row r="3" spans="1:19" ht="15.75">
      <c r="A3" s="134" t="s">
        <v>173</v>
      </c>
    </row>
    <row r="4" spans="1:19" s="135" customFormat="1" ht="15.75">
      <c r="A4" s="134" t="s">
        <v>280</v>
      </c>
    </row>
    <row r="5" spans="1:19" ht="15.75">
      <c r="A5" s="134"/>
    </row>
    <row r="6" spans="1:19">
      <c r="A6" s="116" t="s">
        <v>186</v>
      </c>
    </row>
    <row r="7" spans="1:19">
      <c r="A7" s="116"/>
    </row>
    <row r="8" spans="1:19">
      <c r="B8" s="136" t="s">
        <v>32</v>
      </c>
      <c r="C8" s="137" t="s">
        <v>192</v>
      </c>
      <c r="D8" s="137" t="s">
        <v>193</v>
      </c>
      <c r="E8" s="137" t="s">
        <v>194</v>
      </c>
      <c r="F8" s="137" t="s">
        <v>195</v>
      </c>
      <c r="G8" s="137" t="s">
        <v>79</v>
      </c>
      <c r="H8" s="137" t="s">
        <v>196</v>
      </c>
      <c r="I8" s="137" t="s">
        <v>197</v>
      </c>
      <c r="J8" s="137" t="s">
        <v>198</v>
      </c>
      <c r="K8" s="137" t="s">
        <v>199</v>
      </c>
      <c r="L8" s="137" t="s">
        <v>200</v>
      </c>
      <c r="M8" s="137" t="s">
        <v>201</v>
      </c>
      <c r="N8" s="137" t="s">
        <v>202</v>
      </c>
    </row>
    <row r="10" spans="1:19">
      <c r="A10" s="115" t="s">
        <v>144</v>
      </c>
      <c r="B10" s="138">
        <f>SUM(C10:N10)</f>
        <v>113156573.35444328</v>
      </c>
      <c r="C10" s="138">
        <f>'BR_10.4 PS Adj detail'!K28</f>
        <v>12971578.240510765</v>
      </c>
      <c r="D10" s="138">
        <f>'BR_10.4 PS Adj detail'!L28</f>
        <v>11552057.787360795</v>
      </c>
      <c r="E10" s="138">
        <f>'BR_10.4 PS Adj detail'!M28</f>
        <v>10500543.725638492</v>
      </c>
      <c r="F10" s="138">
        <f>'BR_10.4 PS Adj detail'!N28</f>
        <v>9093439.3703342825</v>
      </c>
      <c r="G10" s="138">
        <f>'BR_10.4 PS Adj detail'!O28</f>
        <v>7181125.7502606222</v>
      </c>
      <c r="H10" s="138">
        <f>'BR_10.4 PS Adj detail'!P28</f>
        <v>7086380.8322839653</v>
      </c>
      <c r="I10" s="138">
        <f>'BR_10.4 PS Adj detail'!Q28</f>
        <v>7454506.8926453404</v>
      </c>
      <c r="J10" s="138">
        <f>'BR_10.4 PS Adj detail'!R28</f>
        <v>8578546.9621014427</v>
      </c>
      <c r="K10" s="138">
        <f>'BR_10.4 PS Adj detail'!S28</f>
        <v>7140296.1050638556</v>
      </c>
      <c r="L10" s="138">
        <f>'BR_10.4 PS Adj detail'!T28</f>
        <v>7627423.2522062669</v>
      </c>
      <c r="M10" s="138">
        <f>'BR_10.4 PS Adj detail'!U28</f>
        <v>11751535.384390738</v>
      </c>
      <c r="N10" s="138">
        <f>'BR_10.4 PS Adj detail'!V28</f>
        <v>12219139.051646713</v>
      </c>
    </row>
    <row r="11" spans="1:19">
      <c r="B11" s="138"/>
      <c r="C11" s="138"/>
      <c r="D11" s="138"/>
      <c r="E11" s="138"/>
      <c r="F11" s="138"/>
      <c r="G11" s="138"/>
      <c r="H11" s="138"/>
      <c r="I11" s="138"/>
      <c r="J11" s="138"/>
      <c r="K11" s="138"/>
      <c r="L11" s="138"/>
      <c r="M11" s="138"/>
      <c r="N11" s="138"/>
    </row>
    <row r="12" spans="1:19">
      <c r="A12" s="115" t="s">
        <v>143</v>
      </c>
      <c r="B12" s="138">
        <f>SUM(C12:N12)</f>
        <v>29206167.858597249</v>
      </c>
      <c r="C12" s="138">
        <f>'BR_10.4 PS Adj detail'!K44</f>
        <v>2680728.6928074728</v>
      </c>
      <c r="D12" s="138">
        <f>'BR_10.4 PS Adj detail'!L44</f>
        <v>2472593.7730687028</v>
      </c>
      <c r="E12" s="138">
        <f>'BR_10.4 PS Adj detail'!M44</f>
        <v>2536919.8461430441</v>
      </c>
      <c r="F12" s="138">
        <f>'BR_10.4 PS Adj detail'!N44</f>
        <v>2259131.8374531642</v>
      </c>
      <c r="G12" s="138">
        <f>'BR_10.4 PS Adj detail'!O44</f>
        <v>1964430.4017918475</v>
      </c>
      <c r="H12" s="138">
        <f>'BR_10.4 PS Adj detail'!P44</f>
        <v>1605168.1734221349</v>
      </c>
      <c r="I12" s="138">
        <f>'BR_10.4 PS Adj detail'!Q44</f>
        <v>2438816.2069218531</v>
      </c>
      <c r="J12" s="138">
        <f>'BR_10.4 PS Adj detail'!R44</f>
        <v>2629655.6451695338</v>
      </c>
      <c r="K12" s="138">
        <f>'BR_10.4 PS Adj detail'!S44</f>
        <v>2637927.3752110368</v>
      </c>
      <c r="L12" s="138">
        <f>'BR_10.4 PS Adj detail'!T44</f>
        <v>2673235.1297276388</v>
      </c>
      <c r="M12" s="138">
        <f>'BR_10.4 PS Adj detail'!U44</f>
        <v>2614296.0470097438</v>
      </c>
      <c r="N12" s="138">
        <f>'BR_10.4 PS Adj detail'!V44</f>
        <v>2693264.7298710709</v>
      </c>
    </row>
    <row r="13" spans="1:19">
      <c r="B13" s="138"/>
      <c r="C13" s="138"/>
      <c r="D13" s="138"/>
      <c r="E13" s="138"/>
      <c r="F13" s="138"/>
      <c r="G13" s="138"/>
      <c r="H13" s="138"/>
      <c r="I13" s="138"/>
      <c r="J13" s="138"/>
      <c r="K13" s="138"/>
      <c r="L13" s="138"/>
      <c r="M13" s="138"/>
      <c r="N13" s="138"/>
    </row>
    <row r="14" spans="1:19">
      <c r="A14" s="115" t="s">
        <v>185</v>
      </c>
      <c r="B14" s="138">
        <f>SUM(C14:N14)</f>
        <v>73065661.765441462</v>
      </c>
      <c r="C14" s="138">
        <f>'BR_10.4 PS Adj detail'!K58</f>
        <v>9154292.0257223193</v>
      </c>
      <c r="D14" s="138">
        <f>'BR_10.4 PS Adj detail'!L58</f>
        <v>7591628.1240598504</v>
      </c>
      <c r="E14" s="138">
        <f>'BR_10.4 PS Adj detail'!M58</f>
        <v>6564580.7265255051</v>
      </c>
      <c r="F14" s="138">
        <f>'BR_10.4 PS Adj detail'!N58</f>
        <v>3940073.3830534178</v>
      </c>
      <c r="G14" s="138">
        <f>'BR_10.4 PS Adj detail'!O58</f>
        <v>2303869.055838062</v>
      </c>
      <c r="H14" s="138">
        <f>'BR_10.4 PS Adj detail'!P58</f>
        <v>1800576.1265376064</v>
      </c>
      <c r="I14" s="138">
        <f>'BR_10.4 PS Adj detail'!Q58</f>
        <v>4880492.994137641</v>
      </c>
      <c r="J14" s="138">
        <f>'BR_10.4 PS Adj detail'!R58</f>
        <v>6737038.7927966546</v>
      </c>
      <c r="K14" s="138">
        <f>'BR_10.4 PS Adj detail'!S58</f>
        <v>6905903.5979551775</v>
      </c>
      <c r="L14" s="138">
        <f>'BR_10.4 PS Adj detail'!T58</f>
        <v>6937099.4849625258</v>
      </c>
      <c r="M14" s="138">
        <f>'BR_10.4 PS Adj detail'!U58</f>
        <v>7385852.6687834095</v>
      </c>
      <c r="N14" s="138">
        <f>'BR_10.4 PS Adj detail'!V58</f>
        <v>8864254.7850692943</v>
      </c>
    </row>
    <row r="15" spans="1:19">
      <c r="B15" s="138"/>
      <c r="C15" s="138"/>
      <c r="D15" s="138"/>
      <c r="E15" s="138"/>
      <c r="F15" s="138"/>
      <c r="G15" s="138"/>
      <c r="H15" s="138"/>
      <c r="I15" s="138"/>
      <c r="J15" s="138"/>
      <c r="K15" s="138"/>
      <c r="L15" s="138"/>
      <c r="M15" s="138"/>
      <c r="N15" s="138"/>
    </row>
    <row r="16" spans="1:19">
      <c r="A16" s="139" t="s">
        <v>142</v>
      </c>
      <c r="B16" s="140">
        <f>SUM(C16:N16)</f>
        <v>56677269.299614161</v>
      </c>
      <c r="C16" s="140">
        <f>'BR_10.4 PS Adj detail'!K91</f>
        <v>6505446.5596458185</v>
      </c>
      <c r="D16" s="140">
        <f>'BR_10.4 PS Adj detail'!L91</f>
        <v>5296192.3126248177</v>
      </c>
      <c r="E16" s="140">
        <f>'BR_10.4 PS Adj detail'!M91</f>
        <v>4867347.5680481419</v>
      </c>
      <c r="F16" s="140">
        <f>'BR_10.4 PS Adj detail'!N91</f>
        <v>5603853.191220874</v>
      </c>
      <c r="G16" s="140">
        <f>'BR_10.4 PS Adj detail'!O91</f>
        <v>5379400.3244112898</v>
      </c>
      <c r="H16" s="140">
        <f>'BR_10.4 PS Adj detail'!P91</f>
        <v>3956708.7378838784</v>
      </c>
      <c r="I16" s="140">
        <f>'BR_10.4 PS Adj detail'!Q91</f>
        <v>4415923.4075097535</v>
      </c>
      <c r="J16" s="140">
        <f>'BR_10.4 PS Adj detail'!R91</f>
        <v>3014389.6883371188</v>
      </c>
      <c r="K16" s="140">
        <f>'BR_10.4 PS Adj detail'!S91</f>
        <v>4110283.7581490725</v>
      </c>
      <c r="L16" s="140">
        <f>'BR_10.4 PS Adj detail'!T91</f>
        <v>3422584.2213970679</v>
      </c>
      <c r="M16" s="140">
        <f>'BR_10.4 PS Adj detail'!U91</f>
        <v>4422707.6440135511</v>
      </c>
      <c r="N16" s="140">
        <f>'BR_10.4 PS Adj detail'!V91</f>
        <v>5682431.8863727814</v>
      </c>
    </row>
    <row r="17" spans="1:14" ht="12.75" customHeight="1">
      <c r="B17" s="138"/>
      <c r="C17" s="138"/>
      <c r="D17" s="138"/>
      <c r="E17" s="138"/>
      <c r="F17" s="138"/>
      <c r="G17" s="138"/>
      <c r="H17" s="138"/>
      <c r="I17" s="138"/>
      <c r="J17" s="138"/>
      <c r="K17" s="138"/>
      <c r="L17" s="138"/>
      <c r="M17" s="138"/>
      <c r="N17" s="138"/>
    </row>
    <row r="18" spans="1:14">
      <c r="A18" s="133" t="s">
        <v>139</v>
      </c>
      <c r="B18" s="138">
        <f>SUM(C18:N18)</f>
        <v>158751133.67886782</v>
      </c>
      <c r="C18" s="138">
        <f>SUM(C10:C14)-C16</f>
        <v>18301152.399394743</v>
      </c>
      <c r="D18" s="138">
        <f t="shared" ref="D18:N18" si="0">SUM(D10:D14)-D16</f>
        <v>16320087.371864529</v>
      </c>
      <c r="E18" s="138">
        <f t="shared" si="0"/>
        <v>14734696.730258901</v>
      </c>
      <c r="F18" s="138">
        <f t="shared" si="0"/>
        <v>9688791.399619991</v>
      </c>
      <c r="G18" s="138">
        <f t="shared" si="0"/>
        <v>6070024.8834792413</v>
      </c>
      <c r="H18" s="138">
        <f t="shared" si="0"/>
        <v>6535416.394359827</v>
      </c>
      <c r="I18" s="138">
        <f t="shared" si="0"/>
        <v>10357892.686195081</v>
      </c>
      <c r="J18" s="138">
        <f t="shared" si="0"/>
        <v>14930851.711730512</v>
      </c>
      <c r="K18" s="138">
        <f t="shared" si="0"/>
        <v>12573843.320080999</v>
      </c>
      <c r="L18" s="138">
        <f t="shared" si="0"/>
        <v>13815173.645499364</v>
      </c>
      <c r="M18" s="138">
        <f t="shared" si="0"/>
        <v>17328976.456170339</v>
      </c>
      <c r="N18" s="138">
        <f t="shared" si="0"/>
        <v>18094226.680214297</v>
      </c>
    </row>
    <row r="19" spans="1:14" ht="12.75" customHeight="1">
      <c r="B19" s="138"/>
      <c r="C19" s="138"/>
      <c r="D19" s="138"/>
      <c r="E19" s="138"/>
      <c r="F19" s="138"/>
      <c r="G19" s="138"/>
      <c r="H19" s="138"/>
      <c r="I19" s="138"/>
      <c r="J19" s="138"/>
      <c r="K19" s="138"/>
      <c r="L19" s="138"/>
      <c r="M19" s="138"/>
      <c r="N19" s="138"/>
    </row>
    <row r="20" spans="1:14" ht="12.75" customHeight="1">
      <c r="A20" s="133" t="s">
        <v>174</v>
      </c>
      <c r="B20" s="138">
        <f>SUM(C20:N20)</f>
        <v>17595140.6752</v>
      </c>
      <c r="C20" s="138">
        <f>'BR_10.4 PS Adj detail'!K73</f>
        <v>1500352.1984000001</v>
      </c>
      <c r="D20" s="138">
        <f>'BR_10.4 PS Adj detail'!L73</f>
        <v>1481494.504432</v>
      </c>
      <c r="E20" s="138">
        <f>'BR_10.4 PS Adj detail'!M73</f>
        <v>1469251.507008</v>
      </c>
      <c r="F20" s="138">
        <f>'BR_10.4 PS Adj detail'!N73</f>
        <v>1475441.9637200001</v>
      </c>
      <c r="G20" s="138">
        <f>'BR_10.4 PS Adj detail'!O73</f>
        <v>1459812.70964</v>
      </c>
      <c r="H20" s="138">
        <f>'BR_10.4 PS Adj detail'!P73</f>
        <v>1431602.96236</v>
      </c>
      <c r="I20" s="138">
        <f>'BR_10.4 PS Adj detail'!Q73</f>
        <v>1480643.1336399999</v>
      </c>
      <c r="J20" s="138">
        <f>'BR_10.4 PS Adj detail'!R73</f>
        <v>1475243.3136</v>
      </c>
      <c r="K20" s="138">
        <f>'BR_10.4 PS Adj detail'!S73</f>
        <v>1456445.2095600001</v>
      </c>
      <c r="L20" s="138">
        <f>'BR_10.4 PS Adj detail'!T73</f>
        <v>1433274.5104400001</v>
      </c>
      <c r="M20" s="138">
        <f>'BR_10.4 PS Adj detail'!U73</f>
        <v>1439963.303632</v>
      </c>
      <c r="N20" s="138">
        <f>'BR_10.4 PS Adj detail'!V73</f>
        <v>1491615.358768</v>
      </c>
    </row>
    <row r="21" spans="1:14" ht="12.75" customHeight="1">
      <c r="A21" s="133"/>
    </row>
    <row r="22" spans="1:14" ht="12.75" customHeight="1">
      <c r="A22" s="133" t="s">
        <v>219</v>
      </c>
      <c r="B22" s="185">
        <f>SUM(C22:N22)</f>
        <v>17821634</v>
      </c>
      <c r="C22" s="119">
        <v>1318401</v>
      </c>
      <c r="D22" s="119">
        <v>1403130</v>
      </c>
      <c r="E22" s="119">
        <v>1437661</v>
      </c>
      <c r="F22" s="119">
        <v>1375955</v>
      </c>
      <c r="G22" s="119">
        <v>1504856</v>
      </c>
      <c r="H22" s="119">
        <v>1666882</v>
      </c>
      <c r="I22" s="119">
        <v>1727978</v>
      </c>
      <c r="J22" s="119">
        <v>1576033</v>
      </c>
      <c r="K22" s="119">
        <v>1512734</v>
      </c>
      <c r="L22" s="119">
        <v>1453443</v>
      </c>
      <c r="M22" s="119">
        <v>1465594</v>
      </c>
      <c r="N22" s="119">
        <v>1378967</v>
      </c>
    </row>
    <row r="23" spans="1:14" ht="12.75" customHeight="1">
      <c r="A23" s="133"/>
      <c r="B23" s="119"/>
    </row>
    <row r="24" spans="1:14" ht="12.75" customHeight="1">
      <c r="A24" s="133" t="s">
        <v>181</v>
      </c>
      <c r="B24" s="119">
        <f>SUM(C24:N24)</f>
        <v>407000.00000000006</v>
      </c>
      <c r="C24" s="138">
        <f>'BR_10.4 PS Adj detail'!K31</f>
        <v>33916.666666666664</v>
      </c>
      <c r="D24" s="138">
        <f>'BR_10.4 PS Adj detail'!L31</f>
        <v>33916.666666666664</v>
      </c>
      <c r="E24" s="138">
        <f>'BR_10.4 PS Adj detail'!M31</f>
        <v>33916.666666666664</v>
      </c>
      <c r="F24" s="138">
        <f>'BR_10.4 PS Adj detail'!N31</f>
        <v>33916.666666666664</v>
      </c>
      <c r="G24" s="138">
        <f>'BR_10.4 PS Adj detail'!O31</f>
        <v>33916.666666666664</v>
      </c>
      <c r="H24" s="138">
        <f>'BR_10.4 PS Adj detail'!P31</f>
        <v>33916.666666666664</v>
      </c>
      <c r="I24" s="138">
        <f>'BR_10.4 PS Adj detail'!Q31</f>
        <v>33916.666666666664</v>
      </c>
      <c r="J24" s="138">
        <f>'BR_10.4 PS Adj detail'!R31</f>
        <v>33916.666666666664</v>
      </c>
      <c r="K24" s="138">
        <f>'BR_10.4 PS Adj detail'!S31</f>
        <v>33916.666666666664</v>
      </c>
      <c r="L24" s="138">
        <f>'BR_10.4 PS Adj detail'!T31</f>
        <v>33916.666666666664</v>
      </c>
      <c r="M24" s="138">
        <f>'BR_10.4 PS Adj detail'!U31</f>
        <v>33916.666666666664</v>
      </c>
      <c r="N24" s="138">
        <f>'BR_10.4 PS Adj detail'!V31</f>
        <v>33916.666666666664</v>
      </c>
    </row>
    <row r="25" spans="1:14" ht="12.75" customHeight="1">
      <c r="A25" s="133"/>
    </row>
    <row r="26" spans="1:14" ht="12.75" customHeight="1">
      <c r="A26" s="133" t="s">
        <v>32</v>
      </c>
      <c r="B26" s="138">
        <f>B18+B20-B22+B24</f>
        <v>158931640.3540678</v>
      </c>
      <c r="C26" s="138">
        <f t="shared" ref="C26:N26" si="1">C18+C20-C22+C24</f>
        <v>18517020.264461409</v>
      </c>
      <c r="D26" s="138">
        <f t="shared" si="1"/>
        <v>16432368.542963194</v>
      </c>
      <c r="E26" s="138">
        <f t="shared" si="1"/>
        <v>14800203.903933566</v>
      </c>
      <c r="F26" s="138">
        <f t="shared" si="1"/>
        <v>9822195.0300066564</v>
      </c>
      <c r="G26" s="138">
        <f t="shared" si="1"/>
        <v>6058898.2597859083</v>
      </c>
      <c r="H26" s="138">
        <f t="shared" si="1"/>
        <v>6334054.0233864943</v>
      </c>
      <c r="I26" s="138">
        <f t="shared" si="1"/>
        <v>10144474.486501748</v>
      </c>
      <c r="J26" s="138">
        <f t="shared" si="1"/>
        <v>14863978.691997178</v>
      </c>
      <c r="K26" s="138">
        <f t="shared" si="1"/>
        <v>12551471.196307665</v>
      </c>
      <c r="L26" s="138">
        <f t="shared" si="1"/>
        <v>13828921.822606029</v>
      </c>
      <c r="M26" s="138">
        <f t="shared" si="1"/>
        <v>17337262.426469006</v>
      </c>
      <c r="N26" s="138">
        <f t="shared" si="1"/>
        <v>18240791.705648966</v>
      </c>
    </row>
    <row r="28" spans="1:14" ht="12.75" customHeight="1">
      <c r="A28" s="133" t="s">
        <v>282</v>
      </c>
      <c r="B28" s="119">
        <f>SUM(C28:N28)</f>
        <v>104306835.5643747</v>
      </c>
      <c r="C28" s="138">
        <f>C26*$S$1</f>
        <v>12152720.399566023</v>
      </c>
      <c r="D28" s="138">
        <f t="shared" ref="D28:N28" si="2">D26*$S$1</f>
        <v>10784563.474746743</v>
      </c>
      <c r="E28" s="138">
        <f t="shared" si="2"/>
        <v>9713373.8221515995</v>
      </c>
      <c r="F28" s="138">
        <f t="shared" si="2"/>
        <v>6446306.5981933689</v>
      </c>
      <c r="G28" s="138">
        <f t="shared" si="2"/>
        <v>3976454.9278974915</v>
      </c>
      <c r="H28" s="138">
        <f t="shared" si="2"/>
        <v>4157039.6555485562</v>
      </c>
      <c r="I28" s="138">
        <f t="shared" si="2"/>
        <v>6657818.6054910971</v>
      </c>
      <c r="J28" s="138">
        <f t="shared" si="2"/>
        <v>9755229.2155577485</v>
      </c>
      <c r="K28" s="138">
        <f t="shared" si="2"/>
        <v>8237530.5461367201</v>
      </c>
      <c r="L28" s="138">
        <f t="shared" si="2"/>
        <v>9075921.3921763375</v>
      </c>
      <c r="M28" s="138">
        <f t="shared" si="2"/>
        <v>11378445.330491608</v>
      </c>
      <c r="N28" s="138">
        <f t="shared" si="2"/>
        <v>11971431.596417416</v>
      </c>
    </row>
    <row r="29" spans="1:14" ht="12.75" customHeight="1">
      <c r="A29" s="133"/>
      <c r="B29" s="119"/>
      <c r="C29" s="138"/>
      <c r="D29" s="138"/>
      <c r="E29" s="138"/>
      <c r="F29" s="138"/>
      <c r="G29" s="138"/>
      <c r="H29" s="138"/>
      <c r="I29" s="138"/>
      <c r="J29" s="138"/>
      <c r="K29" s="138"/>
      <c r="L29" s="138"/>
      <c r="M29" s="138"/>
      <c r="N29" s="138"/>
    </row>
    <row r="30" spans="1:14">
      <c r="A30" s="116" t="s">
        <v>215</v>
      </c>
    </row>
    <row r="32" spans="1:14">
      <c r="B32" s="136" t="s">
        <v>32</v>
      </c>
      <c r="C32" s="137" t="str">
        <f>C8</f>
        <v>January</v>
      </c>
      <c r="D32" s="137" t="str">
        <f t="shared" ref="D32:N32" si="3">D8</f>
        <v>February</v>
      </c>
      <c r="E32" s="137" t="str">
        <f t="shared" si="3"/>
        <v>March</v>
      </c>
      <c r="F32" s="137" t="str">
        <f t="shared" si="3"/>
        <v>April</v>
      </c>
      <c r="G32" s="137" t="str">
        <f t="shared" si="3"/>
        <v>May</v>
      </c>
      <c r="H32" s="137" t="str">
        <f t="shared" si="3"/>
        <v>June</v>
      </c>
      <c r="I32" s="137" t="str">
        <f t="shared" si="3"/>
        <v>July</v>
      </c>
      <c r="J32" s="137" t="str">
        <f t="shared" si="3"/>
        <v>August</v>
      </c>
      <c r="K32" s="137" t="str">
        <f t="shared" si="3"/>
        <v>September</v>
      </c>
      <c r="L32" s="137" t="str">
        <f t="shared" si="3"/>
        <v>October</v>
      </c>
      <c r="M32" s="137" t="str">
        <f t="shared" si="3"/>
        <v>November</v>
      </c>
      <c r="N32" s="137" t="str">
        <f t="shared" si="3"/>
        <v>December</v>
      </c>
    </row>
    <row r="34" spans="1:14">
      <c r="A34" s="133" t="s">
        <v>220</v>
      </c>
      <c r="B34" s="132">
        <f>SUM(C34:N34)</f>
        <v>5687562.6260000002</v>
      </c>
      <c r="C34" s="132">
        <v>539781.76899999997</v>
      </c>
      <c r="D34" s="132">
        <v>480360.23100000003</v>
      </c>
      <c r="E34" s="132">
        <v>488540.853</v>
      </c>
      <c r="F34" s="132">
        <v>438785.73200000002</v>
      </c>
      <c r="G34" s="132">
        <v>426014.61</v>
      </c>
      <c r="H34" s="132">
        <v>431765.58799999999</v>
      </c>
      <c r="I34" s="132">
        <v>489661.777</v>
      </c>
      <c r="J34" s="132">
        <v>477851.777</v>
      </c>
      <c r="K34" s="132">
        <v>422173.81900000002</v>
      </c>
      <c r="L34" s="132">
        <v>452820.05200000003</v>
      </c>
      <c r="M34" s="132">
        <v>489500.18599999999</v>
      </c>
      <c r="N34" s="132">
        <v>550306.23199999996</v>
      </c>
    </row>
    <row r="36" spans="1:14">
      <c r="A36" s="133" t="s">
        <v>182</v>
      </c>
      <c r="B36" s="187">
        <f>B28/B34</f>
        <v>18.339461457100921</v>
      </c>
      <c r="C36" s="141" t="s">
        <v>183</v>
      </c>
    </row>
    <row r="41" spans="1:14">
      <c r="A41" s="115" t="str">
        <f>"(1)  Multiply system numbers by "&amp;TEXT(S1,"00.00%")&amp;" to determine Washington share."</f>
        <v>(1)  Multiply system numbers by 65.63% to determine Washington share.</v>
      </c>
    </row>
    <row r="42" spans="1:14">
      <c r="A42" s="115" t="s">
        <v>283</v>
      </c>
    </row>
  </sheetData>
  <phoneticPr fontId="6" type="noConversion"/>
  <pageMargins left="0.75" right="0.75" top="1" bottom="1" header="0.5" footer="0.5"/>
  <pageSetup scale="66" orientation="landscape" r:id="rId1"/>
  <headerFooter scaleWithDoc="0" alignWithMargins="0">
    <oddHeader>&amp;CAttachment A&amp;RRevised Exhibit No.  __(WGJ-5)</oddHeader>
    <oddFooter>&amp;CNOVEMBER 2016 POWER SUPPLY UPDATE
&amp;R&amp;"Arial,Regular"&amp;11Page 1 of 2</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T46"/>
  <sheetViews>
    <sheetView zoomScaleNormal="100" workbookViewId="0">
      <selection activeCell="Z25" sqref="Z25"/>
    </sheetView>
  </sheetViews>
  <sheetFormatPr defaultColWidth="9.140625" defaultRowHeight="12.75"/>
  <cols>
    <col min="1" max="1" width="22.140625" style="147" customWidth="1"/>
    <col min="2" max="2" width="9.140625" style="147"/>
    <col min="3" max="3" width="9.5703125" style="147" customWidth="1"/>
    <col min="4" max="4" width="8.5703125" style="147" bestFit="1" customWidth="1"/>
    <col min="5" max="5" width="2" style="147" customWidth="1"/>
    <col min="6" max="6" width="10.85546875" style="147" bestFit="1" customWidth="1"/>
    <col min="7" max="7" width="3.7109375" style="147" customWidth="1"/>
    <col min="8" max="8" width="3.5703125" style="147" customWidth="1"/>
    <col min="9" max="9" width="1.28515625" style="147" customWidth="1"/>
    <col min="10" max="10" width="22.140625" style="147" customWidth="1"/>
    <col min="11" max="11" width="9.140625" style="147"/>
    <col min="12" max="12" width="9.85546875" style="147" customWidth="1"/>
    <col min="13" max="13" width="8.5703125" style="147" bestFit="1" customWidth="1"/>
    <col min="14" max="14" width="2.42578125" style="147" customWidth="1"/>
    <col min="15" max="15" width="10.85546875" style="147" bestFit="1" customWidth="1"/>
    <col min="16" max="16" width="1.42578125" style="147" customWidth="1"/>
    <col min="17" max="17" width="11.42578125" style="147" customWidth="1"/>
    <col min="18" max="18" width="1.85546875" style="147" customWidth="1"/>
    <col min="19" max="19" width="13.140625" style="147" bestFit="1" customWidth="1"/>
    <col min="20" max="20" width="3.140625" style="179" bestFit="1" customWidth="1"/>
    <col min="21" max="16384" width="9.140625" style="147"/>
  </cols>
  <sheetData>
    <row r="1" spans="1:20">
      <c r="A1" s="146" t="s">
        <v>238</v>
      </c>
      <c r="B1" s="146"/>
      <c r="C1" s="146"/>
      <c r="D1" s="146"/>
      <c r="E1" s="146"/>
      <c r="F1" s="146"/>
      <c r="G1" s="146"/>
      <c r="H1" s="146"/>
      <c r="I1" s="178"/>
      <c r="J1" s="146" t="s">
        <v>238</v>
      </c>
      <c r="K1" s="146"/>
      <c r="L1" s="146"/>
      <c r="M1" s="146"/>
      <c r="N1" s="146"/>
      <c r="O1" s="146"/>
      <c r="P1" s="178"/>
      <c r="Q1" s="146"/>
      <c r="S1" s="146"/>
    </row>
    <row r="2" spans="1:20">
      <c r="A2" s="146" t="s">
        <v>239</v>
      </c>
      <c r="B2" s="146"/>
      <c r="C2" s="146"/>
      <c r="D2" s="146"/>
      <c r="E2" s="146"/>
      <c r="F2" s="146"/>
      <c r="G2" s="146"/>
      <c r="H2" s="146"/>
      <c r="I2" s="178"/>
      <c r="J2" s="146" t="s">
        <v>239</v>
      </c>
      <c r="K2" s="146"/>
      <c r="L2" s="146"/>
      <c r="M2" s="146"/>
      <c r="N2" s="146"/>
      <c r="O2" s="146"/>
      <c r="P2" s="178"/>
      <c r="Q2" s="177" t="s">
        <v>277</v>
      </c>
      <c r="S2" s="177" t="s">
        <v>277</v>
      </c>
    </row>
    <row r="3" spans="1:20">
      <c r="A3" s="148" t="s">
        <v>240</v>
      </c>
      <c r="B3" s="146"/>
      <c r="C3" s="146"/>
      <c r="D3" s="146"/>
      <c r="E3" s="146"/>
      <c r="F3" s="146"/>
      <c r="G3" s="146"/>
      <c r="H3" s="146"/>
      <c r="I3" s="178"/>
      <c r="J3" s="148" t="s">
        <v>240</v>
      </c>
      <c r="K3" s="146"/>
      <c r="L3" s="146"/>
      <c r="M3" s="146"/>
      <c r="N3" s="146"/>
      <c r="O3" s="146"/>
      <c r="P3" s="178"/>
      <c r="Q3" s="177" t="s">
        <v>241</v>
      </c>
      <c r="S3" s="177" t="s">
        <v>275</v>
      </c>
    </row>
    <row r="4" spans="1:20">
      <c r="A4" s="283" t="s">
        <v>242</v>
      </c>
      <c r="B4" s="283"/>
      <c r="C4" s="283"/>
      <c r="D4" s="283"/>
      <c r="E4" s="283"/>
      <c r="F4" s="283"/>
      <c r="G4" s="176"/>
      <c r="I4" s="178"/>
      <c r="J4" s="283" t="s">
        <v>286</v>
      </c>
      <c r="K4" s="283"/>
      <c r="L4" s="283"/>
      <c r="M4" s="283"/>
      <c r="N4" s="283"/>
      <c r="O4" s="283"/>
      <c r="P4" s="178"/>
      <c r="Q4" s="178" t="s">
        <v>243</v>
      </c>
      <c r="S4" s="178" t="s">
        <v>276</v>
      </c>
    </row>
    <row r="5" spans="1:20">
      <c r="C5" s="175"/>
      <c r="D5" s="150" t="s">
        <v>244</v>
      </c>
      <c r="E5" s="175"/>
      <c r="F5" s="190" t="s">
        <v>284</v>
      </c>
      <c r="G5" s="149"/>
      <c r="H5" s="151"/>
      <c r="I5" s="178"/>
      <c r="L5" s="175"/>
      <c r="M5" s="150" t="s">
        <v>244</v>
      </c>
      <c r="N5" s="175"/>
      <c r="P5" s="178"/>
      <c r="Q5" s="150" t="s">
        <v>244</v>
      </c>
      <c r="S5" s="150" t="s">
        <v>244</v>
      </c>
    </row>
    <row r="6" spans="1:20">
      <c r="D6" s="152" t="s">
        <v>245</v>
      </c>
      <c r="E6" s="152"/>
      <c r="F6" s="152" t="s">
        <v>32</v>
      </c>
      <c r="G6" s="149"/>
      <c r="I6" s="178"/>
      <c r="M6" s="152" t="s">
        <v>245</v>
      </c>
      <c r="N6" s="152"/>
      <c r="O6" s="152" t="s">
        <v>32</v>
      </c>
      <c r="P6" s="178"/>
      <c r="Q6" s="152" t="s">
        <v>245</v>
      </c>
      <c r="S6" s="152" t="s">
        <v>32</v>
      </c>
    </row>
    <row r="7" spans="1:20">
      <c r="D7" s="152" t="s">
        <v>246</v>
      </c>
      <c r="E7" s="152"/>
      <c r="F7" s="152" t="s">
        <v>247</v>
      </c>
      <c r="G7" s="149"/>
      <c r="I7" s="178"/>
      <c r="M7" s="152" t="s">
        <v>246</v>
      </c>
      <c r="N7" s="152"/>
      <c r="O7" s="152" t="s">
        <v>247</v>
      </c>
      <c r="P7" s="178"/>
      <c r="Q7" s="152" t="s">
        <v>246</v>
      </c>
      <c r="S7" s="152" t="s">
        <v>247</v>
      </c>
    </row>
    <row r="8" spans="1:20">
      <c r="D8" s="153" t="s">
        <v>248</v>
      </c>
      <c r="E8" s="153"/>
      <c r="F8" s="153" t="s">
        <v>249</v>
      </c>
      <c r="G8" s="154"/>
      <c r="I8" s="178"/>
      <c r="M8" s="153" t="s">
        <v>248</v>
      </c>
      <c r="N8" s="153"/>
      <c r="O8" s="153" t="s">
        <v>249</v>
      </c>
      <c r="P8" s="178"/>
      <c r="Q8" s="153" t="s">
        <v>248</v>
      </c>
      <c r="S8" s="153" t="s">
        <v>249</v>
      </c>
    </row>
    <row r="9" spans="1:20">
      <c r="A9" s="147" t="s">
        <v>250</v>
      </c>
      <c r="E9" s="155"/>
      <c r="F9" s="158">
        <v>0.65629999999999999</v>
      </c>
      <c r="G9" s="157"/>
      <c r="H9" s="158"/>
      <c r="I9" s="178"/>
      <c r="J9" s="147" t="s">
        <v>250</v>
      </c>
      <c r="N9" s="155"/>
      <c r="O9" s="158">
        <v>0.65629999999999999</v>
      </c>
      <c r="P9" s="178"/>
      <c r="S9" s="156">
        <v>0.65629999999999999</v>
      </c>
    </row>
    <row r="10" spans="1:20">
      <c r="G10" s="149"/>
      <c r="I10" s="178"/>
      <c r="P10" s="178"/>
    </row>
    <row r="11" spans="1:20">
      <c r="A11" s="147" t="s">
        <v>251</v>
      </c>
      <c r="D11" s="173">
        <f>'BR_10.4 PS Adj detail'!F91</f>
        <v>56677.973679408678</v>
      </c>
      <c r="E11" s="159"/>
      <c r="F11" s="159">
        <f>F$9*D11</f>
        <v>37197.754125795916</v>
      </c>
      <c r="G11" s="160"/>
      <c r="H11" s="159"/>
      <c r="I11" s="178"/>
      <c r="J11" s="147" t="s">
        <v>251</v>
      </c>
      <c r="M11" s="159">
        <v>57504</v>
      </c>
      <c r="N11" s="159"/>
      <c r="O11" s="159">
        <f>O$9*M11</f>
        <v>37739.875200000002</v>
      </c>
      <c r="P11" s="178"/>
      <c r="Q11" s="159">
        <f>D11-M11</f>
        <v>-826.02632059132156</v>
      </c>
      <c r="S11" s="159">
        <f>S$9*Q11</f>
        <v>-542.12107420408438</v>
      </c>
    </row>
    <row r="12" spans="1:20">
      <c r="A12" s="147" t="s">
        <v>252</v>
      </c>
      <c r="D12" s="161">
        <f>'BR_10.4 PS Adj detail'!F100</f>
        <v>466</v>
      </c>
      <c r="E12" s="161"/>
      <c r="F12" s="161">
        <f>F$9*D12</f>
        <v>305.83580000000001</v>
      </c>
      <c r="G12" s="162"/>
      <c r="H12" s="159"/>
      <c r="I12" s="178"/>
      <c r="J12" s="147" t="s">
        <v>252</v>
      </c>
      <c r="M12" s="161">
        <v>466</v>
      </c>
      <c r="N12" s="161"/>
      <c r="O12" s="161">
        <f>O$9*M12</f>
        <v>305.83580000000001</v>
      </c>
      <c r="P12" s="178"/>
      <c r="Q12" s="161"/>
      <c r="S12" s="161">
        <f>S$9*Q12</f>
        <v>0</v>
      </c>
    </row>
    <row r="13" spans="1:20">
      <c r="A13" s="147" t="s">
        <v>253</v>
      </c>
      <c r="D13" s="161">
        <v>0</v>
      </c>
      <c r="E13" s="161"/>
      <c r="F13" s="161">
        <f>F$9*D13</f>
        <v>0</v>
      </c>
      <c r="G13" s="162"/>
      <c r="H13" s="159"/>
      <c r="I13" s="178"/>
      <c r="J13" s="147" t="s">
        <v>253</v>
      </c>
      <c r="M13" s="161">
        <v>0</v>
      </c>
      <c r="N13" s="161"/>
      <c r="O13" s="161">
        <f>O$9*M13</f>
        <v>0</v>
      </c>
      <c r="P13" s="178"/>
      <c r="Q13" s="161"/>
      <c r="S13" s="161">
        <f>S$9*Q13</f>
        <v>0</v>
      </c>
    </row>
    <row r="14" spans="1:20">
      <c r="A14" s="147" t="s">
        <v>254</v>
      </c>
      <c r="C14" s="147" t="s">
        <v>248</v>
      </c>
      <c r="D14" s="174">
        <v>17822</v>
      </c>
      <c r="E14" s="161"/>
      <c r="F14" s="161">
        <f>F$9*D14</f>
        <v>11696.578600000001</v>
      </c>
      <c r="G14" s="162"/>
      <c r="H14" s="164"/>
      <c r="I14" s="178"/>
      <c r="J14" s="147" t="s">
        <v>254</v>
      </c>
      <c r="L14" s="147" t="s">
        <v>248</v>
      </c>
      <c r="M14" s="163">
        <f>16428-M15-M16</f>
        <v>16428</v>
      </c>
      <c r="N14" s="161"/>
      <c r="O14" s="161">
        <f>O$9*M14</f>
        <v>10781.696400000001</v>
      </c>
      <c r="P14" s="178"/>
      <c r="Q14" s="159">
        <f>D14-M14</f>
        <v>1394</v>
      </c>
      <c r="S14" s="161">
        <f>S$9*Q14</f>
        <v>914.88220000000001</v>
      </c>
      <c r="T14" s="188" t="s">
        <v>285</v>
      </c>
    </row>
    <row r="15" spans="1:20">
      <c r="A15" s="147" t="s">
        <v>254</v>
      </c>
      <c r="C15" s="147" t="s">
        <v>255</v>
      </c>
      <c r="D15" s="163">
        <v>0</v>
      </c>
      <c r="E15" s="161"/>
      <c r="F15" s="162">
        <f>D15</f>
        <v>0</v>
      </c>
      <c r="G15" s="162"/>
      <c r="H15" s="165"/>
      <c r="I15" s="178"/>
      <c r="J15" s="147" t="s">
        <v>254</v>
      </c>
      <c r="L15" s="147" t="s">
        <v>255</v>
      </c>
      <c r="M15" s="163">
        <v>0</v>
      </c>
      <c r="N15" s="161"/>
      <c r="O15" s="162">
        <f>M15</f>
        <v>0</v>
      </c>
      <c r="P15" s="178"/>
      <c r="Q15" s="163"/>
      <c r="S15" s="162">
        <f>Q15</f>
        <v>0</v>
      </c>
    </row>
    <row r="16" spans="1:20">
      <c r="A16" s="147" t="s">
        <v>254</v>
      </c>
      <c r="C16" s="147" t="s">
        <v>256</v>
      </c>
      <c r="D16" s="163">
        <v>0</v>
      </c>
      <c r="E16" s="161"/>
      <c r="F16" s="162">
        <v>0</v>
      </c>
      <c r="G16" s="162"/>
      <c r="H16" s="165"/>
      <c r="I16" s="178"/>
      <c r="J16" s="147" t="s">
        <v>254</v>
      </c>
      <c r="L16" s="147" t="s">
        <v>256</v>
      </c>
      <c r="M16" s="163">
        <v>0</v>
      </c>
      <c r="N16" s="161"/>
      <c r="O16" s="162">
        <v>0</v>
      </c>
      <c r="P16" s="178"/>
      <c r="Q16" s="163"/>
      <c r="S16" s="162">
        <v>0</v>
      </c>
    </row>
    <row r="17" spans="1:19">
      <c r="A17" s="147" t="s">
        <v>257</v>
      </c>
      <c r="D17" s="161">
        <v>0</v>
      </c>
      <c r="E17" s="161"/>
      <c r="F17" s="161">
        <f>F$9*D17</f>
        <v>0</v>
      </c>
      <c r="G17" s="162"/>
      <c r="H17" s="159"/>
      <c r="I17" s="178"/>
      <c r="J17" s="147" t="s">
        <v>257</v>
      </c>
      <c r="M17" s="161">
        <v>0</v>
      </c>
      <c r="N17" s="161"/>
      <c r="O17" s="161">
        <f>O$9*M17</f>
        <v>0</v>
      </c>
      <c r="P17" s="178"/>
      <c r="Q17" s="161"/>
      <c r="S17" s="161">
        <f>S$9*Q17</f>
        <v>0</v>
      </c>
    </row>
    <row r="18" spans="1:19">
      <c r="A18" s="147" t="s">
        <v>258</v>
      </c>
      <c r="D18" s="166">
        <v>0</v>
      </c>
      <c r="E18" s="162"/>
      <c r="F18" s="166">
        <f>D18</f>
        <v>0</v>
      </c>
      <c r="G18" s="162"/>
      <c r="H18" s="159"/>
      <c r="I18" s="178"/>
      <c r="J18" s="147" t="s">
        <v>258</v>
      </c>
      <c r="M18" s="166">
        <v>0</v>
      </c>
      <c r="N18" s="162"/>
      <c r="O18" s="166">
        <f>M18</f>
        <v>0</v>
      </c>
      <c r="P18" s="178"/>
      <c r="Q18" s="166"/>
      <c r="S18" s="166">
        <f>Q18</f>
        <v>0</v>
      </c>
    </row>
    <row r="19" spans="1:19">
      <c r="A19" s="147" t="s">
        <v>259</v>
      </c>
      <c r="D19" s="161">
        <f>SUM(D11:D18)</f>
        <v>74965.973679408678</v>
      </c>
      <c r="E19" s="162"/>
      <c r="F19" s="161">
        <f>SUM(F11:F18)</f>
        <v>49200.168525795918</v>
      </c>
      <c r="G19" s="162"/>
      <c r="H19" s="159"/>
      <c r="I19" s="178"/>
      <c r="J19" s="147" t="s">
        <v>259</v>
      </c>
      <c r="M19" s="161">
        <f>SUM(M11:M18)</f>
        <v>74398</v>
      </c>
      <c r="N19" s="162"/>
      <c r="O19" s="161">
        <f>SUM(O11:O18)</f>
        <v>48827.407400000004</v>
      </c>
      <c r="P19" s="178"/>
      <c r="Q19" s="161">
        <f>SUM(Q11:Q18)</f>
        <v>567.97367940867844</v>
      </c>
      <c r="S19" s="161">
        <f>SUM(S11:S18)</f>
        <v>372.76112579591563</v>
      </c>
    </row>
    <row r="20" spans="1:19">
      <c r="D20" s="161"/>
      <c r="E20" s="162"/>
      <c r="F20" s="161"/>
      <c r="G20" s="162"/>
      <c r="H20" s="159"/>
      <c r="I20" s="178"/>
      <c r="M20" s="161"/>
      <c r="N20" s="162"/>
      <c r="O20" s="161"/>
      <c r="P20" s="178"/>
      <c r="Q20" s="161"/>
      <c r="S20" s="161"/>
    </row>
    <row r="21" spans="1:19">
      <c r="D21" s="161"/>
      <c r="E21" s="162"/>
      <c r="F21" s="161"/>
      <c r="G21" s="162"/>
      <c r="H21" s="159"/>
      <c r="I21" s="178"/>
      <c r="M21" s="161"/>
      <c r="N21" s="162"/>
      <c r="O21" s="161"/>
      <c r="P21" s="178"/>
      <c r="Q21" s="161"/>
      <c r="S21" s="161"/>
    </row>
    <row r="22" spans="1:19">
      <c r="A22" s="147" t="s">
        <v>260</v>
      </c>
      <c r="D22" s="174">
        <f>'BR_10.4 PS Adj detail'!F44</f>
        <v>29206.16785859724</v>
      </c>
      <c r="E22" s="162"/>
      <c r="F22" s="161">
        <f t="shared" ref="F22:F30" si="0">F$9*D22</f>
        <v>19168.007965597368</v>
      </c>
      <c r="G22" s="162"/>
      <c r="H22" s="159"/>
      <c r="I22" s="178"/>
      <c r="J22" s="147" t="s">
        <v>260</v>
      </c>
      <c r="M22" s="161">
        <v>29225</v>
      </c>
      <c r="N22" s="162"/>
      <c r="O22" s="161">
        <f t="shared" ref="O22:O26" si="1">O$9*M22</f>
        <v>19180.3675</v>
      </c>
      <c r="P22" s="178"/>
      <c r="Q22" s="159">
        <f>D22-M22</f>
        <v>-18.832141402759589</v>
      </c>
      <c r="S22" s="161">
        <f t="shared" ref="S22:S26" si="2">S$9*Q22</f>
        <v>-12.359534402631118</v>
      </c>
    </row>
    <row r="23" spans="1:19">
      <c r="A23" s="147" t="s">
        <v>261</v>
      </c>
      <c r="D23" s="161">
        <v>0</v>
      </c>
      <c r="E23" s="162"/>
      <c r="F23" s="161">
        <f t="shared" si="0"/>
        <v>0</v>
      </c>
      <c r="G23" s="162"/>
      <c r="H23" s="159"/>
      <c r="I23" s="178"/>
      <c r="J23" s="147" t="s">
        <v>261</v>
      </c>
      <c r="M23" s="161">
        <v>0</v>
      </c>
      <c r="N23" s="162"/>
      <c r="O23" s="161">
        <f t="shared" si="1"/>
        <v>0</v>
      </c>
      <c r="P23" s="178"/>
      <c r="Q23" s="161"/>
      <c r="S23" s="161">
        <f t="shared" si="2"/>
        <v>0</v>
      </c>
    </row>
    <row r="24" spans="1:19">
      <c r="A24" s="147" t="s">
        <v>262</v>
      </c>
      <c r="D24" s="174">
        <f>'BR_10.4 PS Adj detail'!F58</f>
        <v>73065.534765441465</v>
      </c>
      <c r="E24" s="162"/>
      <c r="F24" s="161">
        <f t="shared" si="0"/>
        <v>47952.910466559231</v>
      </c>
      <c r="G24" s="162"/>
      <c r="H24" s="159"/>
      <c r="I24" s="178"/>
      <c r="J24" s="147" t="s">
        <v>262</v>
      </c>
      <c r="M24" s="161">
        <v>76583</v>
      </c>
      <c r="N24" s="162"/>
      <c r="O24" s="161">
        <f t="shared" si="1"/>
        <v>50261.422899999998</v>
      </c>
      <c r="P24" s="178"/>
      <c r="Q24" s="159">
        <f>D24-M24</f>
        <v>-3517.4652345585346</v>
      </c>
      <c r="S24" s="161">
        <f t="shared" si="2"/>
        <v>-2308.512433440766</v>
      </c>
    </row>
    <row r="25" spans="1:19">
      <c r="A25" s="147" t="s">
        <v>263</v>
      </c>
      <c r="D25" s="161">
        <f>'BR_10.4 PS Adj detail'!F76</f>
        <v>1029</v>
      </c>
      <c r="E25" s="162"/>
      <c r="F25" s="161">
        <f t="shared" si="0"/>
        <v>675.33270000000005</v>
      </c>
      <c r="G25" s="162"/>
      <c r="H25" s="159"/>
      <c r="I25" s="178"/>
      <c r="J25" s="147" t="s">
        <v>263</v>
      </c>
      <c r="M25" s="161">
        <v>1029</v>
      </c>
      <c r="N25" s="162"/>
      <c r="O25" s="161">
        <f t="shared" si="1"/>
        <v>675.33270000000005</v>
      </c>
      <c r="P25" s="178"/>
      <c r="Q25" s="161"/>
      <c r="S25" s="161">
        <f t="shared" si="2"/>
        <v>0</v>
      </c>
    </row>
    <row r="26" spans="1:19">
      <c r="A26" s="147" t="s">
        <v>264</v>
      </c>
      <c r="D26" s="174">
        <f>'BR_10.4 PS Adj detail'!F28</f>
        <v>113156.90562181579</v>
      </c>
      <c r="E26" s="162"/>
      <c r="F26" s="161">
        <f t="shared" si="0"/>
        <v>74264.877159597701</v>
      </c>
      <c r="G26" s="162"/>
      <c r="H26" s="159"/>
      <c r="I26" s="178"/>
      <c r="J26" s="147" t="s">
        <v>264</v>
      </c>
      <c r="M26" s="161">
        <v>109783</v>
      </c>
      <c r="N26" s="162"/>
      <c r="O26" s="161">
        <f t="shared" si="1"/>
        <v>72050.582899999994</v>
      </c>
      <c r="P26" s="178"/>
      <c r="Q26" s="159">
        <f>D26-M26</f>
        <v>3373.905621815793</v>
      </c>
      <c r="S26" s="161">
        <f t="shared" si="2"/>
        <v>2214.2942595977047</v>
      </c>
    </row>
    <row r="27" spans="1:19">
      <c r="A27" s="147" t="s">
        <v>265</v>
      </c>
      <c r="D27" s="161">
        <v>0</v>
      </c>
      <c r="E27" s="162"/>
      <c r="F27" s="163">
        <v>0</v>
      </c>
      <c r="G27" s="162"/>
      <c r="I27" s="178"/>
      <c r="J27" s="147" t="s">
        <v>265</v>
      </c>
      <c r="M27" s="161">
        <v>0</v>
      </c>
      <c r="N27" s="162"/>
      <c r="O27" s="163">
        <v>0</v>
      </c>
      <c r="P27" s="178"/>
      <c r="Q27" s="161"/>
      <c r="S27" s="163">
        <v>0</v>
      </c>
    </row>
    <row r="28" spans="1:19">
      <c r="A28" s="147" t="s">
        <v>266</v>
      </c>
      <c r="D28" s="161">
        <v>0</v>
      </c>
      <c r="E28" s="162"/>
      <c r="F28" s="161">
        <f t="shared" si="0"/>
        <v>0</v>
      </c>
      <c r="G28" s="162"/>
      <c r="H28" s="159"/>
      <c r="I28" s="178"/>
      <c r="J28" s="147" t="s">
        <v>266</v>
      </c>
      <c r="M28" s="161">
        <v>0</v>
      </c>
      <c r="N28" s="162"/>
      <c r="O28" s="161">
        <f t="shared" ref="O28:O30" si="3">O$9*M28</f>
        <v>0</v>
      </c>
      <c r="P28" s="178"/>
      <c r="Q28" s="161"/>
      <c r="S28" s="161">
        <f t="shared" ref="S28:S30" si="4">S$9*Q28</f>
        <v>0</v>
      </c>
    </row>
    <row r="29" spans="1:19">
      <c r="A29" s="147" t="s">
        <v>267</v>
      </c>
      <c r="D29" s="161">
        <v>0</v>
      </c>
      <c r="E29" s="162"/>
      <c r="F29" s="161">
        <f t="shared" si="0"/>
        <v>0</v>
      </c>
      <c r="G29" s="162"/>
      <c r="H29" s="159"/>
      <c r="I29" s="178"/>
      <c r="J29" s="147" t="s">
        <v>267</v>
      </c>
      <c r="M29" s="161">
        <v>0</v>
      </c>
      <c r="N29" s="162"/>
      <c r="O29" s="161">
        <f t="shared" si="3"/>
        <v>0</v>
      </c>
      <c r="P29" s="178"/>
      <c r="Q29" s="161"/>
      <c r="S29" s="161">
        <f t="shared" si="4"/>
        <v>0</v>
      </c>
    </row>
    <row r="30" spans="1:19">
      <c r="A30" s="147" t="s">
        <v>268</v>
      </c>
      <c r="D30" s="161">
        <f>'BR_10.4 PS Adj detail'!F37</f>
        <v>407</v>
      </c>
      <c r="E30" s="162"/>
      <c r="F30" s="161">
        <f t="shared" si="0"/>
        <v>267.11410000000001</v>
      </c>
      <c r="G30" s="162"/>
      <c r="H30" s="159"/>
      <c r="I30" s="178"/>
      <c r="J30" s="147" t="s">
        <v>268</v>
      </c>
      <c r="M30" s="161">
        <v>407</v>
      </c>
      <c r="N30" s="162"/>
      <c r="O30" s="161">
        <f t="shared" si="3"/>
        <v>267.11410000000001</v>
      </c>
      <c r="P30" s="178"/>
      <c r="Q30" s="161"/>
      <c r="S30" s="161">
        <f t="shared" si="4"/>
        <v>0</v>
      </c>
    </row>
    <row r="31" spans="1:19">
      <c r="A31" s="147" t="s">
        <v>269</v>
      </c>
      <c r="D31" s="161">
        <v>0</v>
      </c>
      <c r="E31" s="162"/>
      <c r="F31" s="163">
        <v>0</v>
      </c>
      <c r="G31" s="162"/>
      <c r="H31" s="167"/>
      <c r="I31" s="178"/>
      <c r="J31" s="147" t="s">
        <v>269</v>
      </c>
      <c r="M31" s="161">
        <v>0</v>
      </c>
      <c r="N31" s="162"/>
      <c r="O31" s="163">
        <v>0</v>
      </c>
      <c r="P31" s="178"/>
      <c r="Q31" s="161"/>
      <c r="S31" s="163">
        <v>0</v>
      </c>
    </row>
    <row r="32" spans="1:19">
      <c r="A32" s="147" t="s">
        <v>270</v>
      </c>
      <c r="D32" s="174">
        <f>'BR_10.4 PS Adj detail'!F73</f>
        <v>17596</v>
      </c>
      <c r="E32" s="162"/>
      <c r="F32" s="161">
        <f>F$9*D32</f>
        <v>11548.254800000001</v>
      </c>
      <c r="G32" s="162"/>
      <c r="H32" s="159"/>
      <c r="I32" s="178"/>
      <c r="J32" s="147" t="s">
        <v>270</v>
      </c>
      <c r="M32" s="161">
        <v>17766</v>
      </c>
      <c r="N32" s="162"/>
      <c r="O32" s="161">
        <f>O$9*M32</f>
        <v>11659.825800000001</v>
      </c>
      <c r="P32" s="178"/>
      <c r="Q32" s="159">
        <f>D32-M32</f>
        <v>-170</v>
      </c>
      <c r="S32" s="161">
        <f>S$9*Q32</f>
        <v>-111.571</v>
      </c>
    </row>
    <row r="33" spans="1:20">
      <c r="A33" s="147" t="s">
        <v>271</v>
      </c>
      <c r="D33" s="168">
        <f>SUM(D22:D32)</f>
        <v>234460.6082458545</v>
      </c>
      <c r="E33" s="162"/>
      <c r="F33" s="168">
        <f>SUM(F22:F32)</f>
        <v>153876.49719175429</v>
      </c>
      <c r="G33" s="162"/>
      <c r="H33" s="159"/>
      <c r="I33" s="178"/>
      <c r="J33" s="147" t="s">
        <v>271</v>
      </c>
      <c r="M33" s="168">
        <f>SUM(M22:M32)</f>
        <v>234793</v>
      </c>
      <c r="N33" s="162"/>
      <c r="O33" s="168">
        <f>SUM(O22:O32)</f>
        <v>154094.6459</v>
      </c>
      <c r="P33" s="178"/>
      <c r="Q33" s="168">
        <f>SUM(Q22:Q32)</f>
        <v>-332.39175414550118</v>
      </c>
      <c r="S33" s="168">
        <f>SUM(S22:S32)</f>
        <v>-218.14870824569252</v>
      </c>
    </row>
    <row r="34" spans="1:20">
      <c r="G34" s="149"/>
      <c r="H34" s="159"/>
      <c r="I34" s="178"/>
      <c r="P34" s="178"/>
    </row>
    <row r="35" spans="1:20">
      <c r="A35" s="147" t="s">
        <v>272</v>
      </c>
      <c r="D35" s="161">
        <f>D19-D33</f>
        <v>-159494.63456644583</v>
      </c>
      <c r="E35" s="161"/>
      <c r="F35" s="161">
        <f>F19-F33</f>
        <v>-104676.32866595837</v>
      </c>
      <c r="G35" s="162"/>
      <c r="H35" s="159"/>
      <c r="I35" s="178"/>
      <c r="J35" s="147" t="s">
        <v>272</v>
      </c>
      <c r="M35" s="161">
        <f>M19-M33</f>
        <v>-160395</v>
      </c>
      <c r="N35" s="161"/>
      <c r="O35" s="161">
        <f>O19-O33</f>
        <v>-105267.23850000001</v>
      </c>
      <c r="P35" s="178"/>
      <c r="Q35" s="161">
        <f>Q19-Q33</f>
        <v>900.36543355417962</v>
      </c>
      <c r="S35" s="159">
        <f>S19-S33</f>
        <v>590.90983404160818</v>
      </c>
      <c r="T35" s="188" t="s">
        <v>287</v>
      </c>
    </row>
    <row r="36" spans="1:20">
      <c r="E36" s="161"/>
      <c r="F36" s="161"/>
      <c r="G36" s="161"/>
      <c r="I36" s="178"/>
      <c r="N36" s="161"/>
      <c r="O36" s="161"/>
      <c r="P36" s="178"/>
      <c r="S36" s="159"/>
    </row>
    <row r="37" spans="1:20">
      <c r="A37" s="147" t="s">
        <v>273</v>
      </c>
      <c r="C37" s="169">
        <v>0.35</v>
      </c>
      <c r="E37" s="160"/>
      <c r="F37" s="166">
        <f>C37*F35</f>
        <v>-36636.715033085427</v>
      </c>
      <c r="G37" s="159"/>
      <c r="I37" s="178"/>
      <c r="J37" s="147" t="s">
        <v>273</v>
      </c>
      <c r="L37" s="169">
        <v>0.35</v>
      </c>
      <c r="N37" s="160"/>
      <c r="O37" s="166">
        <f>L37*O35</f>
        <v>-36843.533474999997</v>
      </c>
      <c r="P37" s="178"/>
      <c r="S37" s="189">
        <f>L37*S35</f>
        <v>206.81844191456284</v>
      </c>
    </row>
    <row r="38" spans="1:20">
      <c r="E38" s="160"/>
      <c r="F38" s="159"/>
      <c r="G38" s="159"/>
      <c r="I38" s="178"/>
      <c r="N38" s="160"/>
      <c r="O38" s="159"/>
      <c r="P38" s="178"/>
      <c r="S38" s="159"/>
    </row>
    <row r="39" spans="1:20">
      <c r="A39" s="179" t="s">
        <v>274</v>
      </c>
      <c r="E39" s="161"/>
      <c r="F39" s="159">
        <f>F35-F37</f>
        <v>-68039.613632872934</v>
      </c>
      <c r="G39" s="161"/>
      <c r="I39" s="178"/>
      <c r="J39" s="179" t="s">
        <v>274</v>
      </c>
      <c r="N39" s="161"/>
      <c r="O39" s="159">
        <f>O35-O37-1</f>
        <v>-68424.705025000003</v>
      </c>
      <c r="P39" s="178"/>
      <c r="S39" s="180">
        <f>S35-S37</f>
        <v>384.09139212704531</v>
      </c>
    </row>
    <row r="40" spans="1:20">
      <c r="E40" s="161"/>
      <c r="F40" s="161"/>
      <c r="G40" s="161"/>
      <c r="N40" s="161"/>
      <c r="O40" s="161"/>
      <c r="S40" s="161"/>
    </row>
    <row r="41" spans="1:20" ht="13.5" thickBot="1">
      <c r="A41" s="179" t="s">
        <v>278</v>
      </c>
      <c r="J41" s="170"/>
      <c r="S41" s="184">
        <f>S39/-0.61931</f>
        <v>-620.19245955506176</v>
      </c>
    </row>
    <row r="42" spans="1:20" ht="13.5" thickBot="1">
      <c r="A42" s="191" t="s">
        <v>279</v>
      </c>
      <c r="B42" s="178"/>
      <c r="C42" s="178"/>
      <c r="D42" s="178"/>
      <c r="E42" s="178"/>
      <c r="F42" s="178"/>
      <c r="G42" s="178"/>
      <c r="H42" s="178"/>
      <c r="I42" s="178"/>
      <c r="J42" s="192"/>
      <c r="K42" s="178"/>
      <c r="L42" s="178"/>
      <c r="M42" s="178"/>
      <c r="N42" s="178"/>
      <c r="O42" s="178"/>
      <c r="P42" s="178"/>
      <c r="Q42" s="178"/>
      <c r="R42" s="178"/>
      <c r="S42" s="193">
        <f>S41/1.015632</f>
        <v>-610.64682833453628</v>
      </c>
    </row>
    <row r="43" spans="1:20" s="171" customFormat="1">
      <c r="D43" s="163"/>
      <c r="E43" s="172"/>
      <c r="F43" s="163"/>
      <c r="G43" s="172"/>
      <c r="H43" s="167"/>
      <c r="M43" s="163"/>
      <c r="N43" s="172"/>
      <c r="O43" s="163"/>
      <c r="Q43" s="163"/>
      <c r="S43" s="163"/>
      <c r="T43" s="175"/>
    </row>
    <row r="44" spans="1:20" s="171" customFormat="1">
      <c r="A44" s="284" t="s">
        <v>290</v>
      </c>
      <c r="B44" s="284"/>
      <c r="C44" s="284"/>
      <c r="D44" s="284"/>
      <c r="E44" s="284"/>
      <c r="F44" s="284"/>
      <c r="G44" s="284"/>
      <c r="H44" s="284"/>
      <c r="I44" s="284"/>
      <c r="J44" s="284"/>
      <c r="K44" s="284"/>
      <c r="L44" s="284"/>
      <c r="M44" s="284"/>
      <c r="N44" s="284"/>
      <c r="O44" s="284"/>
      <c r="P44" s="284"/>
      <c r="Q44" s="284"/>
      <c r="R44" s="284"/>
      <c r="S44" s="284"/>
      <c r="T44" s="175"/>
    </row>
    <row r="45" spans="1:20" s="171" customFormat="1">
      <c r="A45" s="171" t="s">
        <v>288</v>
      </c>
      <c r="D45" s="163"/>
      <c r="E45" s="172"/>
      <c r="F45" s="163"/>
      <c r="G45" s="172"/>
      <c r="H45" s="167"/>
      <c r="M45" s="163"/>
      <c r="N45" s="172"/>
      <c r="O45" s="163"/>
      <c r="Q45" s="163"/>
      <c r="S45" s="163"/>
      <c r="T45" s="175"/>
    </row>
    <row r="46" spans="1:20" s="171" customFormat="1">
      <c r="A46" s="171" t="s">
        <v>289</v>
      </c>
      <c r="T46" s="175"/>
    </row>
  </sheetData>
  <mergeCells count="3">
    <mergeCell ref="A4:F4"/>
    <mergeCell ref="J4:O4"/>
    <mergeCell ref="A44:S44"/>
  </mergeCells>
  <pageMargins left="1.05" right="0.34" top="0.75" bottom="0.77" header="0.5" footer="0.52"/>
  <pageSetup scale="75" orientation="landscape" r:id="rId1"/>
  <headerFooter scaleWithDoc="0" alignWithMargins="0">
    <oddHeader>&amp;CAttachment C</oddHeader>
    <oddFooter>&amp;CNOVEMBER 2016 POWER SUPPLY UPDATE
&amp;RPage 1 of 2</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6"/>
  <sheetViews>
    <sheetView zoomScaleNormal="100" workbookViewId="0">
      <selection activeCell="R10" sqref="R10"/>
    </sheetView>
  </sheetViews>
  <sheetFormatPr defaultColWidth="11.42578125" defaultRowHeight="12.75"/>
  <cols>
    <col min="1" max="1" width="46.28515625" customWidth="1"/>
    <col min="2" max="2" width="2" hidden="1" customWidth="1"/>
    <col min="3" max="15" width="13.7109375" customWidth="1"/>
  </cols>
  <sheetData>
    <row r="1" spans="1:16" ht="18">
      <c r="A1" s="87" t="s">
        <v>31</v>
      </c>
      <c r="N1" t="s">
        <v>9</v>
      </c>
    </row>
    <row r="2" spans="1:16" ht="18">
      <c r="A2" s="87" t="s">
        <v>117</v>
      </c>
    </row>
    <row r="3" spans="1:16" ht="18">
      <c r="A3" s="87" t="s">
        <v>291</v>
      </c>
      <c r="I3" s="14"/>
    </row>
    <row r="4" spans="1:16" ht="18">
      <c r="A4" s="87"/>
      <c r="B4" s="54"/>
      <c r="I4" s="14"/>
    </row>
    <row r="6" spans="1:16">
      <c r="C6" s="37"/>
      <c r="D6" s="37">
        <v>744</v>
      </c>
      <c r="E6" s="37">
        <v>672</v>
      </c>
      <c r="F6" s="37">
        <v>743</v>
      </c>
      <c r="G6" s="37">
        <v>720</v>
      </c>
      <c r="H6" s="37">
        <v>744</v>
      </c>
      <c r="I6" s="37">
        <v>720</v>
      </c>
      <c r="J6" s="37">
        <v>744</v>
      </c>
      <c r="K6" s="37">
        <v>744</v>
      </c>
      <c r="L6" s="37">
        <v>720</v>
      </c>
      <c r="M6" s="37">
        <v>744</v>
      </c>
      <c r="N6" s="37">
        <v>721</v>
      </c>
      <c r="O6" s="37">
        <v>744</v>
      </c>
    </row>
    <row r="7" spans="1:16">
      <c r="C7" s="23" t="s">
        <v>32</v>
      </c>
      <c r="D7" s="129">
        <v>41274</v>
      </c>
      <c r="E7" s="129">
        <v>41305</v>
      </c>
      <c r="F7" s="129">
        <v>41333</v>
      </c>
      <c r="G7" s="129">
        <v>41364</v>
      </c>
      <c r="H7" s="129">
        <v>41394</v>
      </c>
      <c r="I7" s="129">
        <v>41425</v>
      </c>
      <c r="J7" s="129">
        <v>41455</v>
      </c>
      <c r="K7" s="129">
        <v>41486</v>
      </c>
      <c r="L7" s="129">
        <v>41517</v>
      </c>
      <c r="M7" s="129">
        <v>41547</v>
      </c>
      <c r="N7" s="129">
        <v>41578</v>
      </c>
      <c r="O7" s="129">
        <v>41608</v>
      </c>
    </row>
    <row r="8" spans="1:16">
      <c r="C8" s="50"/>
    </row>
    <row r="9" spans="1:16">
      <c r="A9" t="s">
        <v>106</v>
      </c>
      <c r="B9" s="5" t="s">
        <v>50</v>
      </c>
      <c r="C9" s="38">
        <f>SUM(D9:O9)</f>
        <v>-39339655.34965986</v>
      </c>
      <c r="D9" s="25">
        <f>Aurora!B33*1000</f>
        <v>-5500837.6831054604</v>
      </c>
      <c r="E9" s="25">
        <f>Aurora!C33*1000</f>
        <v>-4229790.65341949</v>
      </c>
      <c r="F9" s="25">
        <f>Aurora!D33*1000</f>
        <v>-3050725.1289129201</v>
      </c>
      <c r="G9" s="25">
        <f>Aurora!E33*1000</f>
        <v>-3975187.0182037302</v>
      </c>
      <c r="H9" s="25">
        <f>Aurora!F33*1000</f>
        <v>-3608121.0014343201</v>
      </c>
      <c r="I9" s="25">
        <f>Aurora!G33*1000</f>
        <v>-2216592.8236007597</v>
      </c>
      <c r="J9" s="25">
        <f>Aurora!H33*1000</f>
        <v>-2890904.5322418199</v>
      </c>
      <c r="K9" s="25">
        <f>Aurora!I33*1000</f>
        <v>-1667142.02017784</v>
      </c>
      <c r="L9" s="25">
        <f>Aurora!J33*1000</f>
        <v>-2771399.0316390898</v>
      </c>
      <c r="M9" s="25">
        <f>Aurora!K33*1000</f>
        <v>-1997572.15309143</v>
      </c>
      <c r="N9" s="25">
        <f>Aurora!L33*1000</f>
        <v>-3081041.5893554599</v>
      </c>
      <c r="O9" s="25">
        <f>Aurora!M33*1000</f>
        <v>-4350341.7144775307</v>
      </c>
      <c r="P9" s="25"/>
    </row>
    <row r="10" spans="1:16">
      <c r="A10" t="s">
        <v>107</v>
      </c>
      <c r="C10" s="26">
        <f>SUM(D10:O10)</f>
        <v>-1523263.6046794862</v>
      </c>
      <c r="D10" s="3">
        <f>Aurora!B29*1000</f>
        <v>-169718.434790039</v>
      </c>
      <c r="E10" s="3">
        <f>Aurora!C29*1000</f>
        <v>-137114.308312988</v>
      </c>
      <c r="F10" s="3">
        <f>Aurora!D29*1000</f>
        <v>-116167.48722228999</v>
      </c>
      <c r="G10" s="3">
        <f>Aurora!E29*1000</f>
        <v>-185933.76503906201</v>
      </c>
      <c r="H10" s="3">
        <f>Aurora!F29*1000</f>
        <v>-203754.04853515598</v>
      </c>
      <c r="I10" s="3">
        <f>Aurora!G29*1000</f>
        <v>-138497.277490234</v>
      </c>
      <c r="J10" s="3">
        <f>Aurora!H29*1000</f>
        <v>-110625.63964843701</v>
      </c>
      <c r="K10" s="3">
        <f>Aurora!I29*1000</f>
        <v>-54421.208802413908</v>
      </c>
      <c r="L10" s="3">
        <f>Aurora!J29*1000</f>
        <v>-93024.743676757789</v>
      </c>
      <c r="M10" s="3">
        <f>Aurora!K29*1000</f>
        <v>-74049.711962890593</v>
      </c>
      <c r="N10" s="3">
        <f>Aurora!L29*1000</f>
        <v>-104601.504003906</v>
      </c>
      <c r="O10" s="3">
        <f>Aurora!M29*1000</f>
        <v>-135355.475195312</v>
      </c>
    </row>
    <row r="11" spans="1:16" hidden="1">
      <c r="A11" t="s">
        <v>51</v>
      </c>
      <c r="C11" s="28">
        <f>C9/C10</f>
        <v>25.825901195832362</v>
      </c>
      <c r="D11" s="29">
        <f>D9/D10</f>
        <v>32.411550871952258</v>
      </c>
      <c r="E11" s="29">
        <f t="shared" ref="E11:O11" si="0">E9/E10</f>
        <v>30.848645232299422</v>
      </c>
      <c r="F11" s="29">
        <f t="shared" si="0"/>
        <v>26.261436843126905</v>
      </c>
      <c r="G11" s="29">
        <f t="shared" si="0"/>
        <v>21.379586528399511</v>
      </c>
      <c r="H11" s="29">
        <f t="shared" si="0"/>
        <v>17.708217467942831</v>
      </c>
      <c r="I11" s="29">
        <f t="shared" si="0"/>
        <v>16.004594918893339</v>
      </c>
      <c r="J11" s="29">
        <f t="shared" si="0"/>
        <v>26.132319247409338</v>
      </c>
      <c r="K11" s="29">
        <f t="shared" si="0"/>
        <v>30.634049791703493</v>
      </c>
      <c r="L11" s="29">
        <f t="shared" si="0"/>
        <v>29.792063080218121</v>
      </c>
      <c r="M11" s="29">
        <f t="shared" si="0"/>
        <v>26.976096194573948</v>
      </c>
      <c r="N11" s="29">
        <f t="shared" si="0"/>
        <v>29.455041002473621</v>
      </c>
      <c r="O11" s="29">
        <f t="shared" si="0"/>
        <v>32.140123686907963</v>
      </c>
    </row>
    <row r="12" spans="1:16">
      <c r="A12" t="s">
        <v>105</v>
      </c>
      <c r="C12" s="51">
        <f>C9/C10</f>
        <v>25.825901195832362</v>
      </c>
      <c r="D12" s="49">
        <f>D9/D10</f>
        <v>32.411550871952258</v>
      </c>
      <c r="E12" s="49">
        <f t="shared" ref="E12:O12" si="1">E9/E10</f>
        <v>30.848645232299422</v>
      </c>
      <c r="F12" s="49">
        <f t="shared" si="1"/>
        <v>26.261436843126905</v>
      </c>
      <c r="G12" s="49">
        <f t="shared" si="1"/>
        <v>21.379586528399511</v>
      </c>
      <c r="H12" s="49">
        <f t="shared" si="1"/>
        <v>17.708217467942831</v>
      </c>
      <c r="I12" s="49">
        <f t="shared" si="1"/>
        <v>16.004594918893339</v>
      </c>
      <c r="J12" s="49">
        <f t="shared" si="1"/>
        <v>26.132319247409338</v>
      </c>
      <c r="K12" s="49">
        <f t="shared" si="1"/>
        <v>30.634049791703493</v>
      </c>
      <c r="L12" s="49">
        <f t="shared" si="1"/>
        <v>29.792063080218121</v>
      </c>
      <c r="M12" s="49">
        <f t="shared" si="1"/>
        <v>26.976096194573948</v>
      </c>
      <c r="N12" s="49">
        <f t="shared" si="1"/>
        <v>29.455041002473621</v>
      </c>
      <c r="O12" s="49">
        <f t="shared" si="1"/>
        <v>32.140123686907963</v>
      </c>
    </row>
    <row r="13" spans="1:16">
      <c r="A13" t="s">
        <v>108</v>
      </c>
      <c r="B13" s="5" t="s">
        <v>50</v>
      </c>
      <c r="C13" s="38">
        <f>SUM(D13:O13)</f>
        <v>8035122.1034855489</v>
      </c>
      <c r="D13" s="25">
        <f>Aurora!B32*1000</f>
        <v>167916.42821431099</v>
      </c>
      <c r="E13" s="25">
        <f>Aurora!C32*1000</f>
        <v>186256.09850771702</v>
      </c>
      <c r="F13" s="25">
        <f>Aurora!D32*1000</f>
        <v>386602.97990925604</v>
      </c>
      <c r="G13" s="25">
        <f>Aurora!E32*1000</f>
        <v>138744.66988518799</v>
      </c>
      <c r="H13" s="25">
        <f>Aurora!F32*1000</f>
        <v>21923.518932424402</v>
      </c>
      <c r="I13" s="25">
        <f>Aurora!G32*1000</f>
        <v>448152.57007479604</v>
      </c>
      <c r="J13" s="25">
        <f>Aurora!H32*1000</f>
        <v>994662.84832954395</v>
      </c>
      <c r="K13" s="25">
        <f>Aurora!I32*1000</f>
        <v>2295339.81351852</v>
      </c>
      <c r="L13" s="25">
        <f>Aurora!J32*1000</f>
        <v>986610.35695783701</v>
      </c>
      <c r="M13" s="25">
        <f>Aurora!K32*1000</f>
        <v>957912.55381992005</v>
      </c>
      <c r="N13" s="25">
        <f>Aurora!L32*1000</f>
        <v>845349.97408389999</v>
      </c>
      <c r="O13" s="25">
        <f>Aurora!M32*1000</f>
        <v>605650.291252136</v>
      </c>
    </row>
    <row r="14" spans="1:16" s="3" customFormat="1">
      <c r="A14" s="3" t="s">
        <v>112</v>
      </c>
      <c r="C14" s="27">
        <f>SUM(D14:O14)</f>
        <v>319648.61363147153</v>
      </c>
      <c r="D14" s="3">
        <f>Aurora!B28*1000</f>
        <v>8047.2940965592807</v>
      </c>
      <c r="E14" s="3">
        <f>Aurora!C28*1000</f>
        <v>10584.6717518687</v>
      </c>
      <c r="F14" s="3">
        <f>Aurora!D28*1000</f>
        <v>24452.425939369201</v>
      </c>
      <c r="G14" s="3">
        <f>Aurora!E28*1000</f>
        <v>10840.5349044382</v>
      </c>
      <c r="H14" s="3">
        <f>Aurora!F28*1000</f>
        <v>4696.78297908902</v>
      </c>
      <c r="I14" s="3">
        <f>Aurora!G28*1000</f>
        <v>24259.501980590801</v>
      </c>
      <c r="J14" s="3">
        <f>Aurora!H28*1000</f>
        <v>34562.5219413757</v>
      </c>
      <c r="K14" s="3">
        <f>Aurora!I28*1000</f>
        <v>81245.994149780206</v>
      </c>
      <c r="L14" s="3">
        <f>Aurora!J28*1000</f>
        <v>34283.893836665098</v>
      </c>
      <c r="M14" s="3">
        <f>Aurora!K28*1000</f>
        <v>35390.925575676498</v>
      </c>
      <c r="N14" s="3">
        <f>Aurora!L28*1000</f>
        <v>29767.114376830999</v>
      </c>
      <c r="O14" s="3">
        <f>Aurora!M28*1000</f>
        <v>21516.952099227899</v>
      </c>
    </row>
    <row r="15" spans="1:16" hidden="1">
      <c r="A15" s="3" t="s">
        <v>52</v>
      </c>
      <c r="C15" s="28">
        <f>C13/C14</f>
        <v>25.137359465445332</v>
      </c>
      <c r="D15" s="29">
        <f>D13/D14</f>
        <v>20.866197531677848</v>
      </c>
      <c r="E15" s="29">
        <f t="shared" ref="E15:O15" si="2">E13/E14</f>
        <v>17.596776062028937</v>
      </c>
      <c r="F15" s="29">
        <f t="shared" si="2"/>
        <v>15.810414102382074</v>
      </c>
      <c r="G15" s="29">
        <f t="shared" si="2"/>
        <v>12.798692233201965</v>
      </c>
      <c r="H15" s="29">
        <f t="shared" si="2"/>
        <v>4.667773458989295</v>
      </c>
      <c r="I15" s="29">
        <f t="shared" si="2"/>
        <v>18.473279889807614</v>
      </c>
      <c r="J15" s="29">
        <f t="shared" si="2"/>
        <v>28.778653653129606</v>
      </c>
      <c r="K15" s="29">
        <f t="shared" si="2"/>
        <v>28.251729054936174</v>
      </c>
      <c r="L15" s="29">
        <f t="shared" si="2"/>
        <v>28.777663402477963</v>
      </c>
      <c r="M15" s="29">
        <f t="shared" si="2"/>
        <v>27.066614908717586</v>
      </c>
      <c r="N15" s="29">
        <f t="shared" si="2"/>
        <v>28.398788118403292</v>
      </c>
      <c r="O15" s="29">
        <f t="shared" si="2"/>
        <v>28.14758746773753</v>
      </c>
    </row>
    <row r="16" spans="1:16">
      <c r="A16" s="3" t="s">
        <v>110</v>
      </c>
      <c r="C16" s="51">
        <f>C13/C14</f>
        <v>25.137359465445332</v>
      </c>
      <c r="D16" s="49">
        <f>D13/D14</f>
        <v>20.866197531677848</v>
      </c>
      <c r="E16" s="49">
        <f t="shared" ref="E16:O16" si="3">E13/E14</f>
        <v>17.596776062028937</v>
      </c>
      <c r="F16" s="49">
        <f t="shared" si="3"/>
        <v>15.810414102382074</v>
      </c>
      <c r="G16" s="49">
        <f t="shared" si="3"/>
        <v>12.798692233201965</v>
      </c>
      <c r="H16" s="49">
        <f t="shared" si="3"/>
        <v>4.667773458989295</v>
      </c>
      <c r="I16" s="49"/>
      <c r="J16" s="49">
        <f t="shared" si="3"/>
        <v>28.778653653129606</v>
      </c>
      <c r="K16" s="49">
        <f t="shared" si="3"/>
        <v>28.251729054936174</v>
      </c>
      <c r="L16" s="49">
        <f t="shared" si="3"/>
        <v>28.777663402477963</v>
      </c>
      <c r="M16" s="49">
        <f t="shared" si="3"/>
        <v>27.066614908717586</v>
      </c>
      <c r="N16" s="49">
        <f t="shared" si="3"/>
        <v>28.398788118403292</v>
      </c>
      <c r="O16" s="49">
        <f t="shared" si="3"/>
        <v>28.14758746773753</v>
      </c>
    </row>
    <row r="17" spans="1:17">
      <c r="A17" t="s">
        <v>109</v>
      </c>
      <c r="C17" s="27">
        <f>C14+C10</f>
        <v>-1203614.9910480147</v>
      </c>
      <c r="D17" s="19">
        <f>D14+D10</f>
        <v>-161671.14069347971</v>
      </c>
      <c r="E17" s="19">
        <f>E14+E10</f>
        <v>-126529.63656111929</v>
      </c>
      <c r="F17" s="19">
        <f t="shared" ref="F17:O17" si="4">F14+F10</f>
        <v>-91715.061282920782</v>
      </c>
      <c r="G17" s="19">
        <f t="shared" si="4"/>
        <v>-175093.23013462382</v>
      </c>
      <c r="H17" s="19">
        <f t="shared" si="4"/>
        <v>-199057.26555606697</v>
      </c>
      <c r="I17" s="19">
        <f t="shared" si="4"/>
        <v>-114237.77550964319</v>
      </c>
      <c r="J17" s="19">
        <f t="shared" si="4"/>
        <v>-76063.117707061305</v>
      </c>
      <c r="K17" s="19">
        <f t="shared" si="4"/>
        <v>26824.785347366298</v>
      </c>
      <c r="L17" s="19">
        <f t="shared" si="4"/>
        <v>-58740.849840092691</v>
      </c>
      <c r="M17" s="19">
        <f t="shared" si="4"/>
        <v>-38658.786387214095</v>
      </c>
      <c r="N17" s="19">
        <f t="shared" si="4"/>
        <v>-74834.389627074997</v>
      </c>
      <c r="O17" s="19">
        <f t="shared" si="4"/>
        <v>-113838.5230960841</v>
      </c>
    </row>
    <row r="18" spans="1:17">
      <c r="A18" t="s">
        <v>111</v>
      </c>
      <c r="C18" s="114">
        <f>C17/8760</f>
        <v>-137.3989715808236</v>
      </c>
      <c r="D18" s="3">
        <f>D17/D6</f>
        <v>-217.29992028693511</v>
      </c>
      <c r="E18" s="3">
        <f t="shared" ref="E18:O18" si="5">E17/E6</f>
        <v>-188.28814964452275</v>
      </c>
      <c r="F18" s="3">
        <f t="shared" si="5"/>
        <v>-123.43884425695933</v>
      </c>
      <c r="G18" s="3">
        <f t="shared" si="5"/>
        <v>-243.18504185364421</v>
      </c>
      <c r="H18" s="3">
        <f t="shared" si="5"/>
        <v>-267.55008811299325</v>
      </c>
      <c r="I18" s="3">
        <f t="shared" si="5"/>
        <v>-158.66357709672667</v>
      </c>
      <c r="J18" s="3">
        <f t="shared" si="5"/>
        <v>-102.23537326217917</v>
      </c>
      <c r="K18" s="3">
        <f t="shared" si="5"/>
        <v>36.054819015277282</v>
      </c>
      <c r="L18" s="3">
        <f t="shared" si="5"/>
        <v>-81.584513666795402</v>
      </c>
      <c r="M18" s="3">
        <f t="shared" si="5"/>
        <v>-51.960734391416793</v>
      </c>
      <c r="N18" s="3">
        <f t="shared" si="5"/>
        <v>-103.79249601536061</v>
      </c>
      <c r="O18" s="3">
        <f t="shared" si="5"/>
        <v>-153.00876760226359</v>
      </c>
    </row>
    <row r="19" spans="1:17">
      <c r="A19" t="s">
        <v>113</v>
      </c>
      <c r="C19" s="78">
        <f>(-C9+C13)/(-C10+C14)</f>
        <v>25.706475317942559</v>
      </c>
      <c r="D19" s="29">
        <f>(-D9+D13)/(-D10+D14)</f>
        <v>31.888903146995379</v>
      </c>
      <c r="E19" s="29">
        <f>(-E9+E13)/(-E10+E14)</f>
        <v>29.898965788308484</v>
      </c>
      <c r="F19" s="29">
        <f t="shared" ref="F19:O19" si="6">(-F9+F13)/(-F10+F14)</f>
        <v>24.444106325613799</v>
      </c>
      <c r="G19" s="29">
        <f t="shared" si="6"/>
        <v>20.906854651599073</v>
      </c>
      <c r="H19" s="29">
        <f t="shared" si="6"/>
        <v>17.414392132653482</v>
      </c>
      <c r="I19" s="29">
        <f t="shared" si="6"/>
        <v>16.372561575250561</v>
      </c>
      <c r="J19" s="29">
        <f t="shared" si="6"/>
        <v>26.762287902982848</v>
      </c>
      <c r="K19" s="29">
        <f t="shared" si="6"/>
        <v>29.207367347970195</v>
      </c>
      <c r="L19" s="29">
        <f t="shared" si="6"/>
        <v>29.518887814667707</v>
      </c>
      <c r="M19" s="29">
        <f t="shared" si="6"/>
        <v>27.005368146451371</v>
      </c>
      <c r="N19" s="29">
        <f t="shared" si="6"/>
        <v>29.22104588672503</v>
      </c>
      <c r="O19" s="29">
        <f t="shared" si="6"/>
        <v>31.592499021032008</v>
      </c>
    </row>
    <row r="20" spans="1:17">
      <c r="C20" s="28"/>
      <c r="D20" s="56"/>
      <c r="E20" s="56"/>
      <c r="F20" s="56"/>
      <c r="G20" s="56"/>
      <c r="H20" s="56"/>
      <c r="I20" s="56"/>
      <c r="J20" s="56"/>
      <c r="K20" s="56"/>
      <c r="L20" s="56"/>
      <c r="M20" s="56"/>
      <c r="N20" s="56"/>
      <c r="O20" s="56"/>
    </row>
    <row r="21" spans="1:17" s="3" customFormat="1">
      <c r="A21" s="3" t="s">
        <v>33</v>
      </c>
      <c r="C21" s="27">
        <f>SUM(D21:O21)</f>
        <v>1569579.0389404288</v>
      </c>
      <c r="D21" s="3">
        <f>Aurora!B6*1000</f>
        <v>144646.8160644531</v>
      </c>
      <c r="E21" s="3">
        <f>Aurora!C6*1000</f>
        <v>129707.34999999987</v>
      </c>
      <c r="F21" s="3">
        <f>Aurora!D6*1000</f>
        <v>140064.30612792959</v>
      </c>
      <c r="G21" s="3">
        <f>Aurora!E6*1000</f>
        <v>118808.83684082021</v>
      </c>
      <c r="H21" s="3">
        <f>Aurora!F6*1000</f>
        <v>98796.509130859311</v>
      </c>
      <c r="I21" s="3">
        <f>Aurora!G6*1000</f>
        <v>88363.530346679603</v>
      </c>
      <c r="J21" s="3">
        <f>Aurora!H6*1000</f>
        <v>134887.81440429681</v>
      </c>
      <c r="K21" s="3">
        <f>Aurora!I6*1000</f>
        <v>142491.76855468738</v>
      </c>
      <c r="L21" s="3">
        <f>Aurora!J6*1000</f>
        <v>141302.91245117178</v>
      </c>
      <c r="M21" s="3">
        <f>Aurora!K6*1000</f>
        <v>145137.30224609369</v>
      </c>
      <c r="N21" s="3">
        <f>Aurora!L6*1000</f>
        <v>140481.81191406242</v>
      </c>
      <c r="O21" s="3">
        <f>Aurora!M6*1000</f>
        <v>144890.08085937501</v>
      </c>
      <c r="P21" s="3">
        <f>C21/8784</f>
        <v>178.68613831289034</v>
      </c>
      <c r="Q21" s="113">
        <f>P21/230</f>
        <v>0.7768962535343058</v>
      </c>
    </row>
    <row r="22" spans="1:17">
      <c r="A22" s="3" t="s">
        <v>101</v>
      </c>
      <c r="C22" s="73">
        <f>C23/C21</f>
        <v>14.914558834802094</v>
      </c>
      <c r="D22" s="76">
        <f>D23/D21</f>
        <v>14.342007412482181</v>
      </c>
      <c r="E22" s="76">
        <f t="shared" ref="E22:O22" si="7">E23/E21</f>
        <v>14.926769335095186</v>
      </c>
      <c r="F22" s="76">
        <f t="shared" si="7"/>
        <v>14.544684636971395</v>
      </c>
      <c r="G22" s="76">
        <f t="shared" si="7"/>
        <v>15.54202866642482</v>
      </c>
      <c r="H22" s="76">
        <f t="shared" si="7"/>
        <v>16.851313898338468</v>
      </c>
      <c r="I22" s="76">
        <f t="shared" si="7"/>
        <v>17.758169769355078</v>
      </c>
      <c r="J22" s="76">
        <f t="shared" si="7"/>
        <v>14.766736174819927</v>
      </c>
      <c r="K22" s="76">
        <f t="shared" si="7"/>
        <v>14.428474979251165</v>
      </c>
      <c r="L22" s="76">
        <f t="shared" si="7"/>
        <v>14.452926101311418</v>
      </c>
      <c r="M22" s="76">
        <f t="shared" si="7"/>
        <v>14.321994854089647</v>
      </c>
      <c r="N22" s="76">
        <f t="shared" si="7"/>
        <v>14.489128634876153</v>
      </c>
      <c r="O22" s="76">
        <f t="shared" si="7"/>
        <v>14.335332411033352</v>
      </c>
    </row>
    <row r="23" spans="1:17">
      <c r="A23" t="s">
        <v>34</v>
      </c>
      <c r="C23" s="30">
        <f>SUM(D23:O23)</f>
        <v>23409578.922149152</v>
      </c>
      <c r="D23" s="31">
        <f>Aurora!B18*1000</f>
        <v>2074525.7081883329</v>
      </c>
      <c r="E23" s="31">
        <f>Aurora!C18*1000</f>
        <v>1936111.6945164567</v>
      </c>
      <c r="F23" s="31">
        <f>Aurora!D18*1000</f>
        <v>2037191.1615269559</v>
      </c>
      <c r="G23" s="31">
        <f>Aurora!E18*1000</f>
        <v>1846530.3480046168</v>
      </c>
      <c r="H23" s="31">
        <f>Aurora!F18*1000</f>
        <v>1664850.9874241727</v>
      </c>
      <c r="I23" s="31">
        <f>Aurora!G18*1000</f>
        <v>1569174.5733158956</v>
      </c>
      <c r="J23" s="31">
        <f>Aurora!H18*1000</f>
        <v>1991852.768506326</v>
      </c>
      <c r="K23" s="31">
        <f>Aurora!I18*1000</f>
        <v>2055938.9173405548</v>
      </c>
      <c r="L23" s="31">
        <f>Aurora!J18*1000</f>
        <v>2042240.5515568627</v>
      </c>
      <c r="M23" s="31">
        <f>Aurora!K18*1000</f>
        <v>2078655.6959050077</v>
      </c>
      <c r="N23" s="31">
        <f>Aurora!L18*1000</f>
        <v>2035459.0436833277</v>
      </c>
      <c r="O23" s="31">
        <f>Aurora!M18*1000</f>
        <v>2077047.4721806417</v>
      </c>
    </row>
    <row r="24" spans="1:17">
      <c r="C24" s="28"/>
    </row>
    <row r="25" spans="1:17" s="3" customFormat="1">
      <c r="A25" s="3" t="s">
        <v>35</v>
      </c>
      <c r="C25" s="27">
        <f>SUM(D25:O25)</f>
        <v>295847.91393661464</v>
      </c>
      <c r="D25" s="3">
        <f>Aurora!B8*1000</f>
        <v>31460.887866210898</v>
      </c>
      <c r="E25" s="3">
        <f>Aurora!C8*1000</f>
        <v>27633.674462890602</v>
      </c>
      <c r="F25" s="3">
        <f>Aurora!D8*1000</f>
        <v>25441.701599120999</v>
      </c>
      <c r="G25" s="3">
        <f>Aurora!E8*1000</f>
        <v>20197.527978515602</v>
      </c>
      <c r="H25" s="3">
        <f>Aurora!F8*1000</f>
        <v>14243.636462402299</v>
      </c>
      <c r="I25" s="3">
        <f>Aurora!G8*1000</f>
        <v>815.50888290405203</v>
      </c>
      <c r="J25" s="3">
        <f>Aurora!H8*1000</f>
        <v>22678.094653320299</v>
      </c>
      <c r="K25" s="3">
        <f>Aurora!I8*1000</f>
        <v>29656.227709960902</v>
      </c>
      <c r="L25" s="3">
        <f>Aurora!J8*1000</f>
        <v>30914.686718749999</v>
      </c>
      <c r="M25" s="3">
        <f>Aurora!K8*1000</f>
        <v>30794.468359375001</v>
      </c>
      <c r="N25" s="3">
        <f>Aurora!L8*1000</f>
        <v>29987.345361328102</v>
      </c>
      <c r="O25" s="3">
        <f>Aurora!M8*1000</f>
        <v>32024.1538818359</v>
      </c>
      <c r="P25" s="3">
        <f>C25/8760</f>
        <v>33.772592915138659</v>
      </c>
    </row>
    <row r="26" spans="1:17">
      <c r="A26" s="3" t="s">
        <v>100</v>
      </c>
      <c r="C26" s="73">
        <f t="shared" ref="C26:O26" si="8">C27/C25</f>
        <v>18.771769800742778</v>
      </c>
      <c r="D26" s="76">
        <f>D27/D25</f>
        <v>18.624807637690846</v>
      </c>
      <c r="E26" s="76">
        <f t="shared" si="8"/>
        <v>18.68126800312049</v>
      </c>
      <c r="F26" s="76">
        <f t="shared" si="8"/>
        <v>18.846172012042377</v>
      </c>
      <c r="G26" s="76">
        <f t="shared" si="8"/>
        <v>19.42571832879236</v>
      </c>
      <c r="H26" s="76">
        <f t="shared" si="8"/>
        <v>19.610821653936252</v>
      </c>
      <c r="I26" s="76"/>
      <c r="J26" s="76">
        <f t="shared" si="8"/>
        <v>18.816106244315897</v>
      </c>
      <c r="K26" s="76">
        <f t="shared" si="8"/>
        <v>18.662748790638705</v>
      </c>
      <c r="L26" s="76">
        <f t="shared" si="8"/>
        <v>18.613703864744878</v>
      </c>
      <c r="M26" s="76">
        <f t="shared" si="8"/>
        <v>18.650409129332587</v>
      </c>
      <c r="N26" s="76">
        <f t="shared" si="8"/>
        <v>18.627424221644304</v>
      </c>
      <c r="O26" s="76">
        <f t="shared" si="8"/>
        <v>18.609929863860096</v>
      </c>
    </row>
    <row r="27" spans="1:17">
      <c r="A27" t="s">
        <v>36</v>
      </c>
      <c r="C27" s="30">
        <f>SUM(D27:O27)</f>
        <v>5553588.9364480907</v>
      </c>
      <c r="D27" s="32">
        <f>Aurora!B20*1000</f>
        <v>585952.98461914004</v>
      </c>
      <c r="E27" s="32">
        <f>Aurora!C20*1000</f>
        <v>516232.07855224598</v>
      </c>
      <c r="F27" s="32">
        <f>Aurora!D20*1000</f>
        <v>479478.68461608799</v>
      </c>
      <c r="G27" s="32">
        <f>Aurora!E20*1000</f>
        <v>392351.48944854701</v>
      </c>
      <c r="H27" s="32">
        <f>Aurora!F20*1000</f>
        <v>279329.41436767497</v>
      </c>
      <c r="I27" s="32">
        <f>Aurora!G20*1000</f>
        <v>15743.600106239301</v>
      </c>
      <c r="J27" s="32">
        <f>Aurora!H20*1000</f>
        <v>426713.43841552699</v>
      </c>
      <c r="K27" s="32">
        <f>Aurora!I20*1000</f>
        <v>553466.72782897891</v>
      </c>
      <c r="L27" s="32">
        <f>Aurora!J20*1000</f>
        <v>575436.82365417399</v>
      </c>
      <c r="M27" s="32">
        <f>Aurora!K20*1000</f>
        <v>574329.43382263102</v>
      </c>
      <c r="N27" s="32">
        <f>Aurora!L20*1000</f>
        <v>558587.00332641602</v>
      </c>
      <c r="O27" s="32">
        <f>Aurora!M20*1000</f>
        <v>595967.25769042911</v>
      </c>
    </row>
    <row r="28" spans="1:17">
      <c r="C28" s="78"/>
      <c r="D28" s="33"/>
      <c r="E28" s="33"/>
      <c r="F28" s="33"/>
      <c r="G28" s="33"/>
      <c r="H28" s="33"/>
      <c r="I28" s="33"/>
      <c r="J28" s="33"/>
      <c r="K28" s="33"/>
      <c r="L28" s="33"/>
      <c r="M28" s="33"/>
      <c r="N28" s="33"/>
      <c r="O28" s="33"/>
    </row>
    <row r="29" spans="1:17">
      <c r="A29" t="s">
        <v>89</v>
      </c>
      <c r="C29" s="27">
        <f>SUM(D29:O29)</f>
        <v>1678166.5184425307</v>
      </c>
      <c r="D29" s="3">
        <f>Aurora!B7*1000</f>
        <v>195520.91103515602</v>
      </c>
      <c r="E29" s="3">
        <f>Aurora!C7*1000</f>
        <v>163715.33345947199</v>
      </c>
      <c r="F29" s="3">
        <f>Aurora!D7*1000</f>
        <v>151531.78034667901</v>
      </c>
      <c r="G29" s="3">
        <f>Aurora!E7*1000</f>
        <v>98083.157514953593</v>
      </c>
      <c r="H29" s="3">
        <f>Aurora!F7*1000</f>
        <v>57400.8074851989</v>
      </c>
      <c r="I29" s="3">
        <f>Aurora!G7*1000</f>
        <v>38640.079107666003</v>
      </c>
      <c r="J29" s="3">
        <f>Aurora!H7*1000</f>
        <v>114328.961492919</v>
      </c>
      <c r="K29" s="3">
        <f>Aurora!I7*1000</f>
        <v>156176.916845703</v>
      </c>
      <c r="L29" s="3">
        <f>Aurora!J7*1000</f>
        <v>169710.064318847</v>
      </c>
      <c r="M29" s="3">
        <f>Aurora!K7*1000</f>
        <v>170826.03457031201</v>
      </c>
      <c r="N29" s="3">
        <f>Aurora!L7*1000</f>
        <v>168205.209570312</v>
      </c>
      <c r="O29" s="3">
        <f>Aurora!M7*1000</f>
        <v>194027.26269531201</v>
      </c>
      <c r="P29" s="3">
        <f>C29/8784</f>
        <v>191.04810091558863</v>
      </c>
    </row>
    <row r="30" spans="1:17">
      <c r="A30" t="s">
        <v>98</v>
      </c>
      <c r="C30" s="73">
        <f>C31/C29</f>
        <v>21.148226939702177</v>
      </c>
      <c r="D30" s="76">
        <f>D31/D29</f>
        <v>22.969118094786239</v>
      </c>
      <c r="E30" s="76">
        <f t="shared" ref="E30:O30" si="9">E31/E29</f>
        <v>22.830120912489605</v>
      </c>
      <c r="F30" s="76">
        <f t="shared" si="9"/>
        <v>21.476601909438688</v>
      </c>
      <c r="G30" s="76">
        <f t="shared" si="9"/>
        <v>19.393497164189544</v>
      </c>
      <c r="H30" s="76">
        <f t="shared" si="9"/>
        <v>19.279619379402742</v>
      </c>
      <c r="I30" s="76">
        <f t="shared" si="9"/>
        <v>19.521105289928066</v>
      </c>
      <c r="J30" s="76">
        <f t="shared" si="9"/>
        <v>20.113793565058085</v>
      </c>
      <c r="K30" s="76">
        <f t="shared" si="9"/>
        <v>20.223563473426921</v>
      </c>
      <c r="L30" s="76">
        <f t="shared" si="9"/>
        <v>20.047824870996354</v>
      </c>
      <c r="M30" s="76">
        <f t="shared" si="9"/>
        <v>20.060061526739695</v>
      </c>
      <c r="N30" s="76">
        <f t="shared" si="9"/>
        <v>21.462861395935345</v>
      </c>
      <c r="O30" s="76">
        <f t="shared" si="9"/>
        <v>22.403193216930443</v>
      </c>
    </row>
    <row r="31" spans="1:17">
      <c r="A31" t="s">
        <v>87</v>
      </c>
      <c r="C31" s="30">
        <f>SUM(D31:O31)</f>
        <v>35490246.374632537</v>
      </c>
      <c r="D31" s="25">
        <f>Aurora!B19*1000</f>
        <v>4490942.8955666926</v>
      </c>
      <c r="E31" s="25">
        <f>Aurora!C19*1000</f>
        <v>3737640.8581083007</v>
      </c>
      <c r="F31" s="25">
        <f>Aurora!D19*1000</f>
        <v>3254387.7231341302</v>
      </c>
      <c r="G31" s="25">
        <f>Aurora!E19*1000</f>
        <v>1902175.4371210088</v>
      </c>
      <c r="H31" s="25">
        <f>Aurora!F19*1000</f>
        <v>1106665.7203850066</v>
      </c>
      <c r="I31" s="25">
        <f>Aurora!G19*1000</f>
        <v>754297.05267189781</v>
      </c>
      <c r="J31" s="25">
        <f>Aurora!H19*1000</f>
        <v>2299589.1299760477</v>
      </c>
      <c r="K31" s="25">
        <f>Aurora!I19*1000</f>
        <v>3158453.790913193</v>
      </c>
      <c r="L31" s="25">
        <f>Aurora!J19*1000</f>
        <v>3402317.6483097719</v>
      </c>
      <c r="M31" s="25">
        <f>Aurora!K19*1000</f>
        <v>3426780.7638494209</v>
      </c>
      <c r="N31" s="25">
        <f>Aurora!L19*1000</f>
        <v>3610165.0990818636</v>
      </c>
      <c r="O31" s="25">
        <f>Aurora!M19*1000</f>
        <v>4346830.2555151954</v>
      </c>
    </row>
    <row r="32" spans="1:17">
      <c r="C32" s="24"/>
      <c r="D32" s="25"/>
      <c r="E32" s="25"/>
      <c r="F32" s="25"/>
      <c r="G32" s="25"/>
      <c r="H32" s="25"/>
      <c r="I32" s="25"/>
      <c r="J32" s="25"/>
      <c r="K32" s="25"/>
      <c r="L32" s="25"/>
      <c r="M32" s="25"/>
      <c r="N32" s="25"/>
      <c r="O32" s="25"/>
    </row>
    <row r="33" spans="1:17">
      <c r="A33" t="s">
        <v>166</v>
      </c>
      <c r="C33" s="27">
        <f>SUM(D33:O33)</f>
        <v>1502580.362440868</v>
      </c>
      <c r="D33" s="3">
        <f>Aurora!B10*1000</f>
        <v>176315.98385009699</v>
      </c>
      <c r="E33" s="3">
        <f>Aurora!C10*1000</f>
        <v>146111.724243164</v>
      </c>
      <c r="F33" s="3">
        <f>Aurora!D10*1000</f>
        <v>140950.544105529</v>
      </c>
      <c r="G33" s="3">
        <f>Aurora!E10*1000</f>
        <v>92367.72317085258</v>
      </c>
      <c r="H33" s="3">
        <f>Aurora!F10*1000</f>
        <v>50794.362654113698</v>
      </c>
      <c r="I33" s="3">
        <f>Aurora!G10*1000</f>
        <v>39641.4875030517</v>
      </c>
      <c r="J33" s="3">
        <f>Aurora!H10*1000</f>
        <v>96693.079309081993</v>
      </c>
      <c r="K33" s="3">
        <f>Aurora!I10*1000</f>
        <v>131325.83395996</v>
      </c>
      <c r="L33" s="3">
        <f>Aurora!J10*1000</f>
        <v>143283.11026611301</v>
      </c>
      <c r="M33" s="3">
        <f>Aurora!K10*1000</f>
        <v>155851.076757812</v>
      </c>
      <c r="N33" s="3">
        <f>Aurora!L10*1000</f>
        <v>154211.45400390599</v>
      </c>
      <c r="O33" s="3">
        <f>Aurora!M10*1000</f>
        <v>175033.98261718699</v>
      </c>
      <c r="P33" s="3">
        <f>C33/8784</f>
        <v>171.05878443088207</v>
      </c>
    </row>
    <row r="34" spans="1:17">
      <c r="A34" t="s">
        <v>167</v>
      </c>
      <c r="C34" s="73">
        <f>C35/C33</f>
        <v>21.837822998821121</v>
      </c>
      <c r="D34" s="76">
        <f>D35/D33</f>
        <v>23.564117919180823</v>
      </c>
      <c r="E34" s="76">
        <f t="shared" ref="E34:O34" si="10">E35/E33</f>
        <v>23.455479954552288</v>
      </c>
      <c r="F34" s="76">
        <f t="shared" si="10"/>
        <v>22.104078794180438</v>
      </c>
      <c r="G34" s="76">
        <f t="shared" si="10"/>
        <v>20.085921170160862</v>
      </c>
      <c r="H34" s="76">
        <f t="shared" si="10"/>
        <v>20.146424533379399</v>
      </c>
      <c r="I34" s="76">
        <f t="shared" si="10"/>
        <v>20.507027364497329</v>
      </c>
      <c r="J34" s="76">
        <f t="shared" si="10"/>
        <v>20.943700802955018</v>
      </c>
      <c r="K34" s="76">
        <f t="shared" si="10"/>
        <v>21.032697586915351</v>
      </c>
      <c r="L34" s="76">
        <f t="shared" si="10"/>
        <v>20.794086995559713</v>
      </c>
      <c r="M34" s="76">
        <f t="shared" si="10"/>
        <v>20.735001998459975</v>
      </c>
      <c r="N34" s="76">
        <f t="shared" si="10"/>
        <v>22.056641835315943</v>
      </c>
      <c r="O34" s="76">
        <f t="shared" si="10"/>
        <v>22.992438102368737</v>
      </c>
    </row>
    <row r="35" spans="1:17">
      <c r="A35" t="s">
        <v>168</v>
      </c>
      <c r="C35" s="30">
        <f>SUM(D35:O35)</f>
        <v>32813083.996488161</v>
      </c>
      <c r="D35" s="25">
        <f>Aurora!B22*1000</f>
        <v>4154730.6344800671</v>
      </c>
      <c r="E35" s="25">
        <f>Aurora!C22*1000</f>
        <v>3427120.6191106047</v>
      </c>
      <c r="F35" s="25">
        <f>Aurora!D22*1000</f>
        <v>3115581.9329912183</v>
      </c>
      <c r="G35" s="25">
        <f>Aurora!E22*1000</f>
        <v>1855290.8062769857</v>
      </c>
      <c r="H35" s="25">
        <f>Aurora!F22*1000</f>
        <v>1023324.7939322065</v>
      </c>
      <c r="I35" s="25">
        <f>Aurora!G22*1000</f>
        <v>812929.06899446016</v>
      </c>
      <c r="J35" s="25">
        <f>Aurora!H22*1000</f>
        <v>2025110.9227658138</v>
      </c>
      <c r="K35" s="25">
        <f>Aurora!I22*1000</f>
        <v>2762136.5510292966</v>
      </c>
      <c r="L35" s="25">
        <f>Aurora!J22*1000</f>
        <v>2979441.4598679291</v>
      </c>
      <c r="M35" s="25">
        <f>Aurora!K22*1000</f>
        <v>3231572.3880353705</v>
      </c>
      <c r="N35" s="25">
        <f>Aurora!L22*1000</f>
        <v>3401386.8078674534</v>
      </c>
      <c r="O35" s="25">
        <f>Aurora!M22*1000</f>
        <v>4024458.0111367572</v>
      </c>
    </row>
    <row r="36" spans="1:17">
      <c r="C36" s="24"/>
      <c r="D36" s="25"/>
      <c r="E36" s="25"/>
      <c r="F36" s="25"/>
      <c r="G36" s="25"/>
      <c r="H36" s="25"/>
      <c r="I36" s="25"/>
      <c r="J36" s="25"/>
      <c r="K36" s="25"/>
      <c r="L36" s="25"/>
      <c r="M36" s="25"/>
      <c r="N36" s="25"/>
      <c r="O36" s="25"/>
    </row>
    <row r="37" spans="1:17">
      <c r="A37" t="s">
        <v>54</v>
      </c>
      <c r="C37" s="27">
        <f>SUM(D37:O37)</f>
        <v>28964.062254387096</v>
      </c>
      <c r="D37" s="3">
        <f>Aurora!B5*1000</f>
        <v>3576.6636661529501</v>
      </c>
      <c r="E37" s="3">
        <f>Aurora!C5*1000</f>
        <v>2574.5693450927702</v>
      </c>
      <c r="F37" s="3">
        <f>Aurora!D5*1000</f>
        <v>877.66887583732603</v>
      </c>
      <c r="G37" s="3">
        <f>Aurora!E5*1000</f>
        <v>539.84587565064396</v>
      </c>
      <c r="H37" s="3">
        <f>Aurora!F5*1000</f>
        <v>192.16335411071699</v>
      </c>
      <c r="I37" s="3">
        <f>Aurora!G5*1000</f>
        <v>641.32983665466304</v>
      </c>
      <c r="J37" s="3">
        <f>Aurora!H5*1000</f>
        <v>3905.2155029296796</v>
      </c>
      <c r="K37" s="3">
        <f>Aurora!I5*1000</f>
        <v>4859.3917388915997</v>
      </c>
      <c r="L37" s="3">
        <f>Aurora!J5*1000</f>
        <v>3700.1277732849098</v>
      </c>
      <c r="M37" s="3">
        <f>Aurora!K5*1000</f>
        <v>1763.1938180923398</v>
      </c>
      <c r="N37" s="3">
        <f>Aurora!L5*1000</f>
        <v>2782.5390447616501</v>
      </c>
      <c r="O37" s="3">
        <f>Aurora!M5*1000</f>
        <v>3551.3534229278498</v>
      </c>
      <c r="P37" s="3">
        <f>C37/8760</f>
        <v>3.3063998007291207</v>
      </c>
      <c r="Q37" s="85">
        <f>SUM(P37:P49)</f>
        <v>9.522763359270396</v>
      </c>
    </row>
    <row r="38" spans="1:17">
      <c r="A38" t="s">
        <v>99</v>
      </c>
      <c r="C38" s="73">
        <f>C39/C37</f>
        <v>28.200496968400444</v>
      </c>
      <c r="D38" s="76">
        <f>IF(D37&gt;0,D39/D37,"")</f>
        <v>30.901043854468391</v>
      </c>
      <c r="E38" s="76">
        <f t="shared" ref="E38:O38" si="11">IF(E37&gt;0,E39/E37,"")</f>
        <v>30.6702247988549</v>
      </c>
      <c r="F38" s="76">
        <f t="shared" si="11"/>
        <v>28.685419559620762</v>
      </c>
      <c r="G38" s="76">
        <f t="shared" si="11"/>
        <v>25.879267728379162</v>
      </c>
      <c r="H38" s="76">
        <f t="shared" si="11"/>
        <v>25.500505540489581</v>
      </c>
      <c r="I38" s="76">
        <f t="shared" si="11"/>
        <v>25.883684293404535</v>
      </c>
      <c r="J38" s="76">
        <f t="shared" si="11"/>
        <v>26.610139615970702</v>
      </c>
      <c r="K38" s="76">
        <f t="shared" si="11"/>
        <v>26.802627133735683</v>
      </c>
      <c r="L38" s="76">
        <f t="shared" si="11"/>
        <v>26.675602536658253</v>
      </c>
      <c r="M38" s="76">
        <f t="shared" si="11"/>
        <v>26.817025921285826</v>
      </c>
      <c r="N38" s="76">
        <f t="shared" si="11"/>
        <v>28.619691756130091</v>
      </c>
      <c r="O38" s="76">
        <f t="shared" si="11"/>
        <v>30.096518587401228</v>
      </c>
    </row>
    <row r="39" spans="1:17">
      <c r="A39" t="s">
        <v>53</v>
      </c>
      <c r="C39" s="30">
        <f>SUM(D39:O39)</f>
        <v>816800.94979740505</v>
      </c>
      <c r="D39" s="25">
        <f>Aurora!B17*1000</f>
        <v>110522.640800476</v>
      </c>
      <c r="E39" s="25">
        <f>Aurora!C17*1000</f>
        <v>78962.620574235902</v>
      </c>
      <c r="F39" s="25">
        <f>Aurora!D17*1000</f>
        <v>25176.299937814398</v>
      </c>
      <c r="G39" s="25">
        <f>Aurora!E17*1000</f>
        <v>13970.815948024301</v>
      </c>
      <c r="H39" s="25">
        <f>Aurora!F17*1000</f>
        <v>4900.2626761793999</v>
      </c>
      <c r="I39" s="25">
        <f>Aurora!G17*1000</f>
        <v>16599.979019909999</v>
      </c>
      <c r="J39" s="25">
        <f>Aurora!H17*1000</f>
        <v>103918.32976341201</v>
      </c>
      <c r="K39" s="25">
        <f>Aurora!I17*1000</f>
        <v>130244.46487426701</v>
      </c>
      <c r="L39" s="25">
        <f>Aurora!J17*1000</f>
        <v>98703.137814998598</v>
      </c>
      <c r="M39" s="25">
        <f>Aurora!K17*1000</f>
        <v>47283.614324033202</v>
      </c>
      <c r="N39" s="25">
        <f>Aurora!L17*1000</f>
        <v>79635.4097604751</v>
      </c>
      <c r="O39" s="25">
        <f>Aurora!M17*1000</f>
        <v>106883.37430357901</v>
      </c>
    </row>
    <row r="40" spans="1:17">
      <c r="C40" s="24"/>
      <c r="D40" s="25"/>
      <c r="E40" s="25"/>
      <c r="F40" s="25"/>
      <c r="G40" s="25"/>
      <c r="H40" s="25"/>
      <c r="I40" s="25"/>
      <c r="J40" s="25"/>
      <c r="K40" s="25"/>
      <c r="L40" s="25"/>
      <c r="M40" s="25"/>
      <c r="N40" s="25"/>
      <c r="O40" s="25"/>
    </row>
    <row r="41" spans="1:17">
      <c r="A41" t="s">
        <v>56</v>
      </c>
      <c r="C41" s="27">
        <f>SUM(D41:O41)</f>
        <v>8519.4176581144166</v>
      </c>
      <c r="D41" s="3">
        <f>Aurora!B9*1000</f>
        <v>803.178857970237</v>
      </c>
      <c r="E41" s="3">
        <f>Aurora!C9*1000</f>
        <v>639.15392098426798</v>
      </c>
      <c r="F41" s="3">
        <f>Aurora!D9*1000</f>
        <v>36.783893287181797</v>
      </c>
      <c r="G41" s="3">
        <f>Aurora!E9*1000</f>
        <v>25.000630259513798</v>
      </c>
      <c r="H41" s="3">
        <f>Aurora!F9*1000</f>
        <v>31.525524592399602</v>
      </c>
      <c r="I41" s="3">
        <f>Aurora!G9*1000</f>
        <v>238.99093594550999</v>
      </c>
      <c r="J41" s="3">
        <f>Aurora!H9*1000</f>
        <v>1165.9572258114799</v>
      </c>
      <c r="K41" s="3">
        <f>Aurora!I9*1000</f>
        <v>1905.4168881416299</v>
      </c>
      <c r="L41" s="3">
        <f>Aurora!J9*1000</f>
        <v>1338.97056159973</v>
      </c>
      <c r="M41" s="3">
        <f>Aurora!K9*1000</f>
        <v>547.96849160194301</v>
      </c>
      <c r="N41" s="3">
        <f>Aurora!L9*1000</f>
        <v>732.31621971130301</v>
      </c>
      <c r="O41" s="3">
        <f>Aurora!M9*1000</f>
        <v>1054.15450820922</v>
      </c>
      <c r="P41" s="3">
        <f>C41/8760</f>
        <v>0.97253626234182833</v>
      </c>
    </row>
    <row r="42" spans="1:17">
      <c r="A42" t="s">
        <v>102</v>
      </c>
      <c r="C42" s="73">
        <f>C43/C41</f>
        <v>27.11444341312707</v>
      </c>
      <c r="D42" s="76">
        <f t="shared" ref="D42:O42" si="12">IF(D41&gt;0,D43/D41,"")</f>
        <v>29.913466190962058</v>
      </c>
      <c r="E42" s="76">
        <f t="shared" si="12"/>
        <v>29.90538339185542</v>
      </c>
      <c r="F42" s="76">
        <f t="shared" si="12"/>
        <v>27.82928986898952</v>
      </c>
      <c r="G42" s="76">
        <f t="shared" si="12"/>
        <v>25.028983972426623</v>
      </c>
      <c r="H42" s="76">
        <f t="shared" si="12"/>
        <v>24.798562555094229</v>
      </c>
      <c r="I42" s="76">
        <f t="shared" si="12"/>
        <v>25.081913042949807</v>
      </c>
      <c r="J42" s="76">
        <f t="shared" si="12"/>
        <v>25.77696946035152</v>
      </c>
      <c r="K42" s="76">
        <f t="shared" si="12"/>
        <v>25.97957417659406</v>
      </c>
      <c r="L42" s="76">
        <f t="shared" si="12"/>
        <v>25.839415117705435</v>
      </c>
      <c r="M42" s="76">
        <f t="shared" si="12"/>
        <v>25.965005466431915</v>
      </c>
      <c r="N42" s="76">
        <f t="shared" si="12"/>
        <v>27.7558419982857</v>
      </c>
      <c r="O42" s="76">
        <f t="shared" si="12"/>
        <v>29.14627410374155</v>
      </c>
    </row>
    <row r="43" spans="1:17">
      <c r="A43" t="s">
        <v>55</v>
      </c>
      <c r="C43" s="30">
        <f>SUM(D43:O43)</f>
        <v>230999.26800373889</v>
      </c>
      <c r="D43" s="25">
        <f>Aurora!B21*1000</f>
        <v>24025.863613188201</v>
      </c>
      <c r="E43" s="25">
        <f>Aurora!C21*1000</f>
        <v>19114.1430534422</v>
      </c>
      <c r="F43" s="25">
        <f>Aurora!D21*1000</f>
        <v>1023.6696287989599</v>
      </c>
      <c r="G43" s="25">
        <f>Aurora!E21*1000</f>
        <v>625.74037406593493</v>
      </c>
      <c r="H43" s="25">
        <f>Aurora!F21*1000</f>
        <v>781.78769368678297</v>
      </c>
      <c r="I43" s="25">
        <f>Aurora!G21*1000</f>
        <v>5994.3498734384693</v>
      </c>
      <c r="J43" s="25">
        <f>Aurora!H21*1000</f>
        <v>30054.843801818697</v>
      </c>
      <c r="K43" s="25">
        <f>Aurora!I21*1000</f>
        <v>49501.919382810498</v>
      </c>
      <c r="L43" s="25">
        <f>Aurora!J21*1000</f>
        <v>34598.216171562599</v>
      </c>
      <c r="M43" s="25">
        <f>Aurora!K21*1000</f>
        <v>14228.0048798769</v>
      </c>
      <c r="N43" s="25">
        <f>Aurora!L21*1000</f>
        <v>20326.053287088802</v>
      </c>
      <c r="O43" s="25">
        <f>Aurora!M21*1000</f>
        <v>30724.676243960799</v>
      </c>
    </row>
    <row r="44" spans="1:17">
      <c r="C44" s="24"/>
      <c r="D44" s="25"/>
      <c r="E44" s="25"/>
      <c r="F44" s="25"/>
      <c r="G44" s="25"/>
      <c r="H44" s="25"/>
      <c r="I44" s="25"/>
      <c r="J44" s="25"/>
      <c r="K44" s="25"/>
      <c r="L44" s="25"/>
      <c r="M44" s="25"/>
      <c r="N44" s="25"/>
      <c r="O44" s="25"/>
    </row>
    <row r="45" spans="1:17">
      <c r="A45" t="s">
        <v>37</v>
      </c>
      <c r="C45" s="27">
        <f>SUM(D45:O45)</f>
        <v>44044.232922291681</v>
      </c>
      <c r="D45" s="3">
        <f>Aurora!B12*1000</f>
        <v>4892.01906585692</v>
      </c>
      <c r="E45" s="3">
        <f>Aurora!C12*1000</f>
        <v>3898.2824607848997</v>
      </c>
      <c r="F45" s="3">
        <f>Aurora!D12*1000</f>
        <v>10.686259460449211</v>
      </c>
      <c r="G45" s="3">
        <f>Aurora!E12*1000</f>
        <v>0</v>
      </c>
      <c r="H45" s="3">
        <f>Aurora!F12*1000</f>
        <v>5.3743164062500002</v>
      </c>
      <c r="I45" s="3">
        <f>Aurora!G12*1000</f>
        <v>1162.0868857145301</v>
      </c>
      <c r="J45" s="3">
        <f>Aurora!H12*1000</f>
        <v>6894.3696249961804</v>
      </c>
      <c r="K45" s="3">
        <f>Aurora!I12*1000</f>
        <v>12592.210516357409</v>
      </c>
      <c r="L45" s="3">
        <f>Aurora!J12*1000</f>
        <v>5999.9909780502203</v>
      </c>
      <c r="M45" s="3">
        <f>Aurora!K12*1000</f>
        <v>1297.689393711089</v>
      </c>
      <c r="N45" s="3">
        <f>Aurora!L12*1000</f>
        <v>2689.6733514308899</v>
      </c>
      <c r="O45" s="3">
        <f>Aurora!M12*1000</f>
        <v>4601.8500695228504</v>
      </c>
      <c r="P45" s="3">
        <f>C45/8760</f>
        <v>5.0278804705812421</v>
      </c>
    </row>
    <row r="46" spans="1:17">
      <c r="A46" t="s">
        <v>96</v>
      </c>
      <c r="C46" s="73">
        <f>C47/C45</f>
        <v>36.830883955803493</v>
      </c>
      <c r="D46" s="76">
        <f t="shared" ref="D46:O46" si="13">IF(D45&gt;0,D47/D45,"")</f>
        <v>39.026716983810488</v>
      </c>
      <c r="E46" s="76">
        <f t="shared" si="13"/>
        <v>38.984481224070905</v>
      </c>
      <c r="F46" s="76">
        <f t="shared" si="13"/>
        <v>37.479672067869757</v>
      </c>
      <c r="G46" s="76" t="str">
        <f t="shared" si="13"/>
        <v/>
      </c>
      <c r="H46" s="76">
        <f t="shared" si="13"/>
        <v>34.591900364042921</v>
      </c>
      <c r="I46" s="76">
        <f t="shared" si="13"/>
        <v>33.808449133747111</v>
      </c>
      <c r="J46" s="76">
        <f t="shared" si="13"/>
        <v>35.26459979738101</v>
      </c>
      <c r="K46" s="76">
        <f t="shared" si="13"/>
        <v>35.489346531315405</v>
      </c>
      <c r="L46" s="76">
        <f t="shared" si="13"/>
        <v>35.66667247572417</v>
      </c>
      <c r="M46" s="76">
        <f t="shared" si="13"/>
        <v>37.313938645260187</v>
      </c>
      <c r="N46" s="76">
        <f t="shared" si="13"/>
        <v>38.85445669430726</v>
      </c>
      <c r="O46" s="76">
        <f t="shared" si="13"/>
        <v>39.65304491624623</v>
      </c>
    </row>
    <row r="47" spans="1:17">
      <c r="A47" t="s">
        <v>38</v>
      </c>
      <c r="C47" s="30">
        <f>SUM(D47:O47)</f>
        <v>1622188.0316833048</v>
      </c>
      <c r="D47" s="25">
        <f>Aurora!B24*1000</f>
        <v>190919.44356260297</v>
      </c>
      <c r="E47" s="25">
        <f>Aurora!C24*1000</f>
        <v>151972.51939859384</v>
      </c>
      <c r="F47" s="25">
        <f>Aurora!D24*1000</f>
        <v>400.51750020980722</v>
      </c>
      <c r="G47" s="25">
        <f>Aurora!E24*1000</f>
        <v>0</v>
      </c>
      <c r="H47" s="25">
        <f>Aurora!F24*1000</f>
        <v>185.90781764984121</v>
      </c>
      <c r="I47" s="25">
        <f>Aurora!G24*1000</f>
        <v>39288.355364674288</v>
      </c>
      <c r="J47" s="25">
        <f>Aurora!H24*1000</f>
        <v>243127.18568071007</v>
      </c>
      <c r="K47" s="25">
        <f>Aurora!I24*1000</f>
        <v>446889.32261028216</v>
      </c>
      <c r="L47" s="25">
        <f>Aurora!J24*1000</f>
        <v>213999.71307141715</v>
      </c>
      <c r="M47" s="25">
        <f>Aurora!K24*1000</f>
        <v>48421.902417540463</v>
      </c>
      <c r="N47" s="25">
        <f>Aurora!L24*1000</f>
        <v>104505.79675500379</v>
      </c>
      <c r="O47" s="25">
        <f>Aurora!M24*1000</f>
        <v>182477.36750462043</v>
      </c>
    </row>
    <row r="48" spans="1:17">
      <c r="C48" s="38"/>
      <c r="D48" s="25"/>
      <c r="E48" s="25"/>
      <c r="F48" s="25"/>
      <c r="G48" s="25"/>
      <c r="H48" s="25"/>
      <c r="I48" s="25"/>
      <c r="J48" s="25"/>
      <c r="K48" s="25"/>
      <c r="L48" s="25"/>
      <c r="M48" s="25"/>
      <c r="N48" s="25"/>
      <c r="O48" s="25"/>
    </row>
    <row r="49" spans="1:16">
      <c r="A49" t="s">
        <v>42</v>
      </c>
      <c r="C49" s="27">
        <f>SUM(D49:O49)</f>
        <v>1891.6941924154705</v>
      </c>
      <c r="D49" s="3">
        <f>Aurora!B11*1000</f>
        <v>341.773267745971</v>
      </c>
      <c r="E49" s="3">
        <f>Aurora!C11*1000</f>
        <v>201.435668754576</v>
      </c>
      <c r="F49" s="3">
        <f>Aurora!D11*1000</f>
        <v>0</v>
      </c>
      <c r="G49" s="3">
        <f>Aurora!E11*1000</f>
        <v>0</v>
      </c>
      <c r="H49" s="3">
        <f>Aurora!F11*1000</f>
        <v>0</v>
      </c>
      <c r="I49" s="3">
        <f>Aurora!G11*1000</f>
        <v>93.009304046630803</v>
      </c>
      <c r="J49" s="3">
        <f>Aurora!H11*1000</f>
        <v>279.45982862114801</v>
      </c>
      <c r="K49" s="3">
        <f>Aurora!I11*1000</f>
        <v>567.51423816680904</v>
      </c>
      <c r="L49" s="3">
        <f>Aurora!J11*1000</f>
        <v>231.22784180641</v>
      </c>
      <c r="M49" s="3">
        <f>Aurora!K11*1000</f>
        <v>20.922572350501902</v>
      </c>
      <c r="N49" s="3">
        <f>Aurora!L11*1000</f>
        <v>44.179652976989701</v>
      </c>
      <c r="O49" s="3">
        <f>Aurora!M11*1000</f>
        <v>112.1718179464339</v>
      </c>
      <c r="P49" s="3">
        <f>C49/8760</f>
        <v>0.21594682561820439</v>
      </c>
    </row>
    <row r="50" spans="1:16">
      <c r="A50" t="s">
        <v>97</v>
      </c>
      <c r="C50" s="73">
        <f>C51/C49</f>
        <v>40.289886780802689</v>
      </c>
      <c r="D50" s="76">
        <f t="shared" ref="D50:O50" si="14">IF(D49&gt;0,D51/D49,"")</f>
        <v>44.298269627138318</v>
      </c>
      <c r="E50" s="76">
        <f t="shared" si="14"/>
        <v>43.72006475212914</v>
      </c>
      <c r="F50" s="76" t="str">
        <f t="shared" si="14"/>
        <v/>
      </c>
      <c r="G50" s="76" t="str">
        <f t="shared" si="14"/>
        <v/>
      </c>
      <c r="H50" s="76" t="str">
        <f t="shared" si="14"/>
        <v/>
      </c>
      <c r="I50" s="76">
        <f t="shared" si="14"/>
        <v>37.165499896213639</v>
      </c>
      <c r="J50" s="76">
        <f t="shared" si="14"/>
        <v>38.223736374597898</v>
      </c>
      <c r="K50" s="76">
        <f t="shared" si="14"/>
        <v>38.41694038179093</v>
      </c>
      <c r="L50" s="76">
        <f t="shared" si="14"/>
        <v>38.199722477884883</v>
      </c>
      <c r="M50" s="76">
        <f t="shared" si="14"/>
        <v>38.342709945527119</v>
      </c>
      <c r="N50" s="76">
        <f t="shared" si="14"/>
        <v>41.261498797672346</v>
      </c>
      <c r="O50" s="76">
        <f t="shared" si="14"/>
        <v>43.420148848566122</v>
      </c>
    </row>
    <row r="51" spans="1:16">
      <c r="A51" t="s">
        <v>43</v>
      </c>
      <c r="C51" s="30">
        <f>SUM(D51:O51)</f>
        <v>76216.144836321284</v>
      </c>
      <c r="D51" s="25">
        <f>Aurora!B23*1000</f>
        <v>15139.964365959158</v>
      </c>
      <c r="E51" s="25">
        <f>Aurora!C23*1000</f>
        <v>8806.7804813384992</v>
      </c>
      <c r="F51" s="25">
        <f>Aurora!D23*1000</f>
        <v>0</v>
      </c>
      <c r="G51" s="25">
        <f>Aurora!E23*1000</f>
        <v>0</v>
      </c>
      <c r="H51" s="25">
        <f>Aurora!F23*1000</f>
        <v>0</v>
      </c>
      <c r="I51" s="25">
        <f>Aurora!G23*1000</f>
        <v>3456.7372798919596</v>
      </c>
      <c r="J51" s="25">
        <f>Aurora!H23*1000</f>
        <v>10681.998816505069</v>
      </c>
      <c r="K51" s="25">
        <f>Aurora!I23*1000</f>
        <v>21802.160653471801</v>
      </c>
      <c r="L51" s="25">
        <f>Aurora!J23*1000</f>
        <v>8832.8393861651293</v>
      </c>
      <c r="M51" s="25">
        <f>Aurora!K23*1000</f>
        <v>802.22812294959999</v>
      </c>
      <c r="N51" s="25">
        <f>Aurora!L23*1000</f>
        <v>1822.9186981916419</v>
      </c>
      <c r="O51" s="25">
        <f>Aurora!M23*1000</f>
        <v>4870.5170318484206</v>
      </c>
    </row>
    <row r="52" spans="1:16">
      <c r="C52" s="24"/>
      <c r="D52" s="25"/>
      <c r="E52" s="25"/>
      <c r="F52" s="25"/>
      <c r="G52" s="25"/>
      <c r="H52" s="25"/>
      <c r="I52" s="25"/>
      <c r="J52" s="25"/>
      <c r="K52" s="25"/>
      <c r="L52" s="25"/>
      <c r="M52" s="25"/>
      <c r="N52" s="25"/>
      <c r="O52" s="25"/>
    </row>
    <row r="53" spans="1:16">
      <c r="A53" t="s">
        <v>39</v>
      </c>
      <c r="C53" s="52">
        <f>SUM(D53:O53)</f>
        <v>100012702.62403871</v>
      </c>
      <c r="D53" s="32">
        <f t="shared" ref="D53:J53" si="15">D23+D27+D31+D35+D39+D43+D47+D51</f>
        <v>11646760.135196459</v>
      </c>
      <c r="E53" s="32">
        <f t="shared" si="15"/>
        <v>9875961.3137952182</v>
      </c>
      <c r="F53" s="32">
        <f t="shared" si="15"/>
        <v>8913239.9893352166</v>
      </c>
      <c r="G53" s="32">
        <f t="shared" si="15"/>
        <v>6010944.6371732485</v>
      </c>
      <c r="H53" s="32">
        <f t="shared" si="15"/>
        <v>4080038.8742965767</v>
      </c>
      <c r="I53" s="32">
        <f t="shared" si="15"/>
        <v>3217483.7166264076</v>
      </c>
      <c r="J53" s="32">
        <f t="shared" si="15"/>
        <v>7131048.6177261602</v>
      </c>
      <c r="K53" s="32">
        <f>K23+K27+K31+K35+K39+K43+K47+K51</f>
        <v>9178433.8546328545</v>
      </c>
      <c r="L53" s="32">
        <f>L23+L27+L31+L35+L39+L43+L47+L51</f>
        <v>9355570.3898328803</v>
      </c>
      <c r="M53" s="32">
        <f>M23+M27+M31+M35+M39+M43+M47+M51</f>
        <v>9422074.0313568301</v>
      </c>
      <c r="N53" s="32">
        <f>N23+N27+N31+N35+N39+N43+N47+N51</f>
        <v>9811888.1324598212</v>
      </c>
      <c r="O53" s="32">
        <f>O23+O27+O31+O35+O39+O43+O47+O51</f>
        <v>11369258.931607032</v>
      </c>
    </row>
    <row r="54" spans="1:16">
      <c r="C54" s="25"/>
      <c r="D54" s="25"/>
      <c r="E54" s="25"/>
      <c r="F54" s="25"/>
      <c r="G54" s="25"/>
      <c r="H54" s="25"/>
      <c r="I54" s="25"/>
    </row>
    <row r="55" spans="1:16" s="12" customFormat="1">
      <c r="A55" s="34" t="s">
        <v>88</v>
      </c>
      <c r="B55" s="35"/>
      <c r="C55" s="71">
        <f>C53+C13+C9</f>
        <v>68708169.377864406</v>
      </c>
    </row>
    <row r="56" spans="1:16" s="12" customFormat="1">
      <c r="A56" s="9"/>
      <c r="C56" s="36"/>
      <c r="D56" s="36"/>
      <c r="E56" s="36"/>
      <c r="F56" s="36"/>
      <c r="G56" s="36"/>
      <c r="H56" s="36"/>
      <c r="I56" s="36"/>
    </row>
  </sheetData>
  <phoneticPr fontId="6" type="noConversion"/>
  <pageMargins left="0.75" right="0.75" top="1" bottom="1" header="0.5" footer="0.5"/>
  <pageSetup scale="55" orientation="landscape" r:id="rId1"/>
  <headerFooter alignWithMargins="0">
    <oddFooter>&amp;R&amp;"Geneva,Bold"&amp;12Exhibit No. (WGJ-4) ___
Docket No. UE-14-___
W. Johnson, Avista p.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O58"/>
  <sheetViews>
    <sheetView workbookViewId="0">
      <selection activeCell="D34" sqref="D34"/>
    </sheetView>
  </sheetViews>
  <sheetFormatPr defaultRowHeight="12.75"/>
  <cols>
    <col min="1" max="1" width="6.85546875" customWidth="1"/>
    <col min="2" max="2" width="36.85546875" customWidth="1"/>
    <col min="3" max="3" width="13.7109375" customWidth="1"/>
    <col min="4" max="10" width="10.7109375" customWidth="1"/>
    <col min="11" max="11" width="11.85546875" customWidth="1"/>
    <col min="12" max="15" width="10.7109375" customWidth="1"/>
  </cols>
  <sheetData>
    <row r="3" spans="1:15">
      <c r="D3" s="2" t="s">
        <v>211</v>
      </c>
    </row>
    <row r="6" spans="1:15">
      <c r="C6" s="37">
        <f>SUM(D6:O6)</f>
        <v>8760</v>
      </c>
      <c r="D6" s="46">
        <f>'WGJ-4'!D6</f>
        <v>744</v>
      </c>
      <c r="E6" s="46">
        <v>672</v>
      </c>
      <c r="F6" s="46">
        <v>743</v>
      </c>
      <c r="G6" s="46">
        <v>720</v>
      </c>
      <c r="H6" s="46">
        <f>'WGJ-4'!H6</f>
        <v>744</v>
      </c>
      <c r="I6" s="46">
        <f>'WGJ-4'!I6</f>
        <v>720</v>
      </c>
      <c r="J6" s="46">
        <f>'WGJ-4'!J6</f>
        <v>744</v>
      </c>
      <c r="K6" s="46">
        <f>'WGJ-4'!K6</f>
        <v>744</v>
      </c>
      <c r="L6" s="46">
        <f>'WGJ-4'!L6</f>
        <v>720</v>
      </c>
      <c r="M6" s="46">
        <v>744</v>
      </c>
      <c r="N6" s="46">
        <v>721</v>
      </c>
      <c r="O6" s="46">
        <f>'WGJ-4'!O6</f>
        <v>744</v>
      </c>
    </row>
    <row r="7" spans="1:15">
      <c r="C7" s="86" t="s">
        <v>32</v>
      </c>
      <c r="D7" s="47">
        <v>41274</v>
      </c>
      <c r="E7" s="47">
        <v>41305</v>
      </c>
      <c r="F7" s="47">
        <v>41333</v>
      </c>
      <c r="G7" s="47">
        <v>41364</v>
      </c>
      <c r="H7" s="47">
        <v>41394</v>
      </c>
      <c r="I7" s="47">
        <v>41425</v>
      </c>
      <c r="J7" s="47">
        <v>41455</v>
      </c>
      <c r="K7" s="47">
        <v>41486</v>
      </c>
      <c r="L7" s="47">
        <v>41517</v>
      </c>
      <c r="M7" s="47">
        <v>41547</v>
      </c>
      <c r="N7" s="47">
        <v>41578</v>
      </c>
      <c r="O7" s="47">
        <v>41608</v>
      </c>
    </row>
    <row r="8" spans="1:15">
      <c r="C8" s="12"/>
      <c r="D8" s="48"/>
      <c r="E8" s="48"/>
      <c r="F8" s="48"/>
      <c r="G8" s="48"/>
      <c r="H8" s="48"/>
      <c r="I8" s="48"/>
      <c r="J8" s="48"/>
      <c r="K8" s="48"/>
      <c r="L8" s="48"/>
      <c r="M8" s="48"/>
      <c r="N8" s="48"/>
      <c r="O8" s="48"/>
    </row>
    <row r="9" spans="1:15">
      <c r="A9" s="2" t="s">
        <v>212</v>
      </c>
      <c r="C9" s="123">
        <f>AVERAGE(D9:O9)</f>
        <v>28.048413628339745</v>
      </c>
      <c r="D9" s="97">
        <v>32.837792563438398</v>
      </c>
      <c r="E9" s="97">
        <v>31.067890775203683</v>
      </c>
      <c r="F9" s="97">
        <v>25.379822933673836</v>
      </c>
      <c r="G9" s="97">
        <v>21.101006609201402</v>
      </c>
      <c r="H9" s="97">
        <v>19.512000960111592</v>
      </c>
      <c r="I9" s="97">
        <v>20.754938840866064</v>
      </c>
      <c r="J9" s="97">
        <v>30.79186975955961</v>
      </c>
      <c r="K9" s="97">
        <v>32.650845193862899</v>
      </c>
      <c r="L9" s="97">
        <v>30.873680448532081</v>
      </c>
      <c r="M9" s="97">
        <v>27.700013828277566</v>
      </c>
      <c r="N9" s="97">
        <v>30.886390161514264</v>
      </c>
      <c r="O9" s="97">
        <v>33.024711465835551</v>
      </c>
    </row>
    <row r="10" spans="1:15">
      <c r="A10" s="2" t="s">
        <v>213</v>
      </c>
      <c r="C10" s="123">
        <f>AVERAGE(D10:O10)</f>
        <v>21.444379713386272</v>
      </c>
      <c r="D10" s="97">
        <v>27.91576088666914</v>
      </c>
      <c r="E10" s="97">
        <v>26.411385458707787</v>
      </c>
      <c r="F10" s="97">
        <v>22.039248283579916</v>
      </c>
      <c r="G10" s="97">
        <v>15.285832844674553</v>
      </c>
      <c r="H10" s="97">
        <v>11.072650252655125</v>
      </c>
      <c r="I10" s="97">
        <v>10.515662948042131</v>
      </c>
      <c r="J10" s="97">
        <v>19.555524015426606</v>
      </c>
      <c r="K10" s="97">
        <v>23.464992487430546</v>
      </c>
      <c r="L10" s="97">
        <v>25.104135632514932</v>
      </c>
      <c r="M10" s="97">
        <v>24.367736983299238</v>
      </c>
      <c r="N10" s="97">
        <v>24.835627913475015</v>
      </c>
      <c r="O10" s="97">
        <v>26.763998854160281</v>
      </c>
    </row>
    <row r="11" spans="1:15">
      <c r="A11" s="2" t="s">
        <v>225</v>
      </c>
      <c r="C11" s="123">
        <f>AVERAGE(D11:O11)</f>
        <v>25.211824769029992</v>
      </c>
      <c r="D11" s="97">
        <v>30.667864513397198</v>
      </c>
      <c r="E11" s="97">
        <v>29.07224567532537</v>
      </c>
      <c r="F11" s="97">
        <v>23.978936785459489</v>
      </c>
      <c r="G11" s="97">
        <v>18.51648488938806</v>
      </c>
      <c r="H11" s="97">
        <v>15.972918385267221</v>
      </c>
      <c r="I11" s="97">
        <v>16.431689023971522</v>
      </c>
      <c r="J11" s="97">
        <v>25.838212060928321</v>
      </c>
      <c r="K11" s="97">
        <v>28.798713397979718</v>
      </c>
      <c r="L11" s="97">
        <v>28.437650489807112</v>
      </c>
      <c r="M11" s="97">
        <v>26.230945634841895</v>
      </c>
      <c r="N11" s="97">
        <v>28.331623935699433</v>
      </c>
      <c r="O11" s="97">
        <v>30.264612436294534</v>
      </c>
    </row>
    <row r="12" spans="1:15">
      <c r="C12" s="12"/>
      <c r="D12" s="48"/>
      <c r="E12" s="48"/>
      <c r="F12" s="48"/>
      <c r="G12" s="48"/>
      <c r="H12" s="48"/>
      <c r="I12" s="48"/>
      <c r="J12" s="48"/>
      <c r="K12" s="48"/>
      <c r="L12" s="48"/>
      <c r="M12" s="48"/>
      <c r="N12" s="48"/>
      <c r="O12" s="48"/>
    </row>
    <row r="13" spans="1:15">
      <c r="A13" s="2" t="s">
        <v>41</v>
      </c>
      <c r="C13" s="12"/>
      <c r="D13">
        <v>-5.766</v>
      </c>
      <c r="E13">
        <v>-5.2080000000000002</v>
      </c>
      <c r="F13">
        <v>-5.766</v>
      </c>
      <c r="G13">
        <v>-5.58</v>
      </c>
      <c r="H13">
        <v>-5.766</v>
      </c>
      <c r="I13">
        <v>-5.58</v>
      </c>
      <c r="J13">
        <v>-5.766</v>
      </c>
      <c r="K13">
        <v>-5.766</v>
      </c>
      <c r="L13">
        <v>-5.58</v>
      </c>
      <c r="M13">
        <v>-5.766</v>
      </c>
      <c r="N13">
        <v>-5.58</v>
      </c>
      <c r="O13">
        <v>-5.766</v>
      </c>
    </row>
    <row r="14" spans="1:15">
      <c r="B14" t="s">
        <v>40</v>
      </c>
      <c r="C14" s="12"/>
    </row>
    <row r="15" spans="1:15">
      <c r="B15" t="s">
        <v>92</v>
      </c>
      <c r="C15" s="121">
        <f>SUM(D15:O15)</f>
        <v>59130</v>
      </c>
      <c r="D15" s="3">
        <f>-D13*1000-D6</f>
        <v>5022</v>
      </c>
      <c r="E15" s="3">
        <f t="shared" ref="E15:O15" si="0">-E13*1000-E6</f>
        <v>4536</v>
      </c>
      <c r="F15" s="3">
        <f t="shared" si="0"/>
        <v>5023</v>
      </c>
      <c r="G15" s="3">
        <f t="shared" si="0"/>
        <v>4860</v>
      </c>
      <c r="H15" s="3">
        <f t="shared" si="0"/>
        <v>5022</v>
      </c>
      <c r="I15" s="3">
        <f t="shared" si="0"/>
        <v>4860</v>
      </c>
      <c r="J15" s="3">
        <f t="shared" si="0"/>
        <v>5022</v>
      </c>
      <c r="K15" s="3">
        <f t="shared" si="0"/>
        <v>5022</v>
      </c>
      <c r="L15" s="3">
        <f t="shared" si="0"/>
        <v>4860</v>
      </c>
      <c r="M15" s="3">
        <f t="shared" si="0"/>
        <v>5022</v>
      </c>
      <c r="N15" s="3">
        <f t="shared" si="0"/>
        <v>4859</v>
      </c>
      <c r="O15" s="3">
        <f t="shared" si="0"/>
        <v>5022</v>
      </c>
    </row>
    <row r="16" spans="1:15">
      <c r="B16" t="s">
        <v>104</v>
      </c>
      <c r="C16" s="101">
        <f>SUM(D16:O16)</f>
        <v>1362480.7752916478</v>
      </c>
      <c r="D16" s="25">
        <f>((D9*0.57+D10*0.43)-2.16)*D15</f>
        <v>143434.94372887147</v>
      </c>
      <c r="E16" s="25">
        <f t="shared" ref="E16:O16" si="1">((E9*0.57+E10*0.43)-2.16)*E15</f>
        <v>122043.77206660497</v>
      </c>
      <c r="F16" s="25">
        <f t="shared" si="1"/>
        <v>109417.89681485231</v>
      </c>
      <c r="G16" s="25">
        <f t="shared" si="1"/>
        <v>79900.7419876106</v>
      </c>
      <c r="H16" s="25">
        <f t="shared" si="1"/>
        <v>68917.308542956467</v>
      </c>
      <c r="I16" s="25">
        <f t="shared" si="1"/>
        <v>68973.36400578561</v>
      </c>
      <c r="J16" s="25">
        <f t="shared" si="1"/>
        <v>119524.81075188291</v>
      </c>
      <c r="K16" s="25">
        <f t="shared" si="1"/>
        <v>133288.54307814708</v>
      </c>
      <c r="L16" s="25">
        <f t="shared" si="1"/>
        <v>127491.29222335327</v>
      </c>
      <c r="M16" s="25">
        <f t="shared" si="1"/>
        <v>121066.03088995304</v>
      </c>
      <c r="N16" s="25">
        <f t="shared" si="1"/>
        <v>126939.24867661203</v>
      </c>
      <c r="O16" s="25">
        <f t="shared" si="1"/>
        <v>141482.82252501784</v>
      </c>
    </row>
    <row r="17" spans="1:15">
      <c r="C17" s="12"/>
    </row>
    <row r="18" spans="1:15">
      <c r="B18" t="s">
        <v>227</v>
      </c>
      <c r="C18" s="12"/>
      <c r="D18">
        <v>-37.200000000000003</v>
      </c>
      <c r="E18">
        <v>-33.6</v>
      </c>
      <c r="F18">
        <v>-37.200000000000003</v>
      </c>
      <c r="G18">
        <v>-36</v>
      </c>
      <c r="H18">
        <v>-37.200000000000003</v>
      </c>
      <c r="I18">
        <v>-36</v>
      </c>
      <c r="J18">
        <v>-37.200000000000003</v>
      </c>
      <c r="K18">
        <v>-37.200000000000003</v>
      </c>
      <c r="L18">
        <v>-36</v>
      </c>
      <c r="M18">
        <v>-37.200000000000003</v>
      </c>
      <c r="N18">
        <v>-36</v>
      </c>
      <c r="O18">
        <v>-37.200000000000003</v>
      </c>
    </row>
    <row r="19" spans="1:15">
      <c r="B19" t="s">
        <v>92</v>
      </c>
      <c r="C19" s="121">
        <f>SUM(D19:O19)</f>
        <v>438000</v>
      </c>
      <c r="D19" s="144">
        <f>-D18*1000</f>
        <v>37200</v>
      </c>
      <c r="E19" s="144">
        <f t="shared" ref="E19:O19" si="2">-E18*1000</f>
        <v>33600</v>
      </c>
      <c r="F19" s="144">
        <f t="shared" si="2"/>
        <v>37200</v>
      </c>
      <c r="G19" s="144">
        <f t="shared" si="2"/>
        <v>36000</v>
      </c>
      <c r="H19" s="144">
        <f t="shared" si="2"/>
        <v>37200</v>
      </c>
      <c r="I19" s="144">
        <f t="shared" si="2"/>
        <v>36000</v>
      </c>
      <c r="J19" s="144">
        <f t="shared" si="2"/>
        <v>37200</v>
      </c>
      <c r="K19" s="144">
        <f t="shared" si="2"/>
        <v>37200</v>
      </c>
      <c r="L19" s="144">
        <f t="shared" si="2"/>
        <v>36000</v>
      </c>
      <c r="M19" s="144">
        <f t="shared" si="2"/>
        <v>37200</v>
      </c>
      <c r="N19" s="144">
        <f t="shared" si="2"/>
        <v>36000</v>
      </c>
      <c r="O19" s="144">
        <f t="shared" si="2"/>
        <v>37200</v>
      </c>
    </row>
    <row r="20" spans="1:15">
      <c r="B20" t="s">
        <v>226</v>
      </c>
      <c r="D20" s="29">
        <f>D11+3</f>
        <v>33.667864513397198</v>
      </c>
      <c r="E20" s="29">
        <f t="shared" ref="E20:O20" si="3">E11+3</f>
        <v>32.07224567532537</v>
      </c>
      <c r="F20" s="29">
        <f t="shared" si="3"/>
        <v>26.978936785459489</v>
      </c>
      <c r="G20" s="29">
        <f t="shared" si="3"/>
        <v>21.51648488938806</v>
      </c>
      <c r="H20" s="29">
        <f t="shared" si="3"/>
        <v>18.972918385267221</v>
      </c>
      <c r="I20" s="29">
        <f t="shared" si="3"/>
        <v>19.431689023971522</v>
      </c>
      <c r="J20" s="29">
        <f t="shared" si="3"/>
        <v>28.838212060928321</v>
      </c>
      <c r="K20" s="29">
        <f t="shared" si="3"/>
        <v>31.798713397979718</v>
      </c>
      <c r="L20" s="29">
        <f t="shared" si="3"/>
        <v>31.437650489807112</v>
      </c>
      <c r="M20" s="29">
        <f t="shared" si="3"/>
        <v>29.230945634841895</v>
      </c>
      <c r="N20" s="29">
        <f t="shared" si="3"/>
        <v>31.331623935699433</v>
      </c>
      <c r="O20" s="29">
        <f t="shared" si="3"/>
        <v>33.264612436294534</v>
      </c>
    </row>
    <row r="21" spans="1:15">
      <c r="B21" t="s">
        <v>104</v>
      </c>
      <c r="C21" s="101">
        <f>SUM(D21:O21)</f>
        <v>12353837.554457175</v>
      </c>
      <c r="D21" s="25">
        <f>D19*D20</f>
        <v>1252444.5598983758</v>
      </c>
      <c r="E21" s="25">
        <f t="shared" ref="E21:O21" si="4">E19*E20</f>
        <v>1077627.4546909325</v>
      </c>
      <c r="F21" s="25">
        <f t="shared" si="4"/>
        <v>1003616.4484190929</v>
      </c>
      <c r="G21" s="25">
        <f t="shared" si="4"/>
        <v>774593.45601797022</v>
      </c>
      <c r="H21" s="25">
        <f t="shared" si="4"/>
        <v>705792.56393194059</v>
      </c>
      <c r="I21" s="25">
        <f t="shared" si="4"/>
        <v>699540.80486297479</v>
      </c>
      <c r="J21" s="25">
        <f t="shared" si="4"/>
        <v>1072781.4886665335</v>
      </c>
      <c r="K21" s="25">
        <f t="shared" si="4"/>
        <v>1182912.1384048455</v>
      </c>
      <c r="L21" s="25">
        <f t="shared" si="4"/>
        <v>1131755.4176330559</v>
      </c>
      <c r="M21" s="25">
        <f t="shared" si="4"/>
        <v>1087391.1776161185</v>
      </c>
      <c r="N21" s="25">
        <f t="shared" si="4"/>
        <v>1127938.4616851795</v>
      </c>
      <c r="O21" s="25">
        <f t="shared" si="4"/>
        <v>1237443.5826301568</v>
      </c>
    </row>
    <row r="22" spans="1:15">
      <c r="C22" s="107"/>
      <c r="K22" s="29"/>
      <c r="L22" s="29"/>
      <c r="M22" s="25"/>
    </row>
    <row r="23" spans="1:15">
      <c r="A23" s="2" t="s">
        <v>148</v>
      </c>
      <c r="C23" s="107"/>
      <c r="K23" s="29"/>
      <c r="L23" s="29"/>
      <c r="M23" s="25"/>
    </row>
    <row r="24" spans="1:15">
      <c r="C24" s="122" t="s">
        <v>32</v>
      </c>
      <c r="D24" s="111">
        <f>D7</f>
        <v>41274</v>
      </c>
      <c r="E24" s="111">
        <f t="shared" ref="E24:O24" si="5">E7</f>
        <v>41305</v>
      </c>
      <c r="F24" s="111">
        <f t="shared" si="5"/>
        <v>41333</v>
      </c>
      <c r="G24" s="111">
        <f t="shared" si="5"/>
        <v>41364</v>
      </c>
      <c r="H24" s="111">
        <f t="shared" si="5"/>
        <v>41394</v>
      </c>
      <c r="I24" s="111">
        <f t="shared" si="5"/>
        <v>41425</v>
      </c>
      <c r="J24" s="111">
        <f t="shared" si="5"/>
        <v>41455</v>
      </c>
      <c r="K24" s="111">
        <f t="shared" si="5"/>
        <v>41486</v>
      </c>
      <c r="L24" s="111">
        <f t="shared" si="5"/>
        <v>41517</v>
      </c>
      <c r="M24" s="111">
        <f t="shared" si="5"/>
        <v>41547</v>
      </c>
      <c r="N24" s="111">
        <f t="shared" si="5"/>
        <v>41578</v>
      </c>
      <c r="O24" s="111">
        <f t="shared" si="5"/>
        <v>41608</v>
      </c>
    </row>
    <row r="25" spans="1:15">
      <c r="A25" s="2"/>
      <c r="C25" s="107"/>
      <c r="K25" s="29"/>
      <c r="L25" s="29"/>
      <c r="M25" s="25"/>
    </row>
    <row r="26" spans="1:15">
      <c r="B26" t="s">
        <v>214</v>
      </c>
      <c r="C26" s="107"/>
      <c r="D26" s="97">
        <f>0.65*D9+0.35*D10+5</f>
        <v>36.115081476569159</v>
      </c>
      <c r="E26" s="97">
        <f t="shared" ref="E26:O26" si="6">0.65*E9+0.35*E10+5</f>
        <v>34.438113914430119</v>
      </c>
      <c r="F26" s="97">
        <f t="shared" si="6"/>
        <v>29.210621806140963</v>
      </c>
      <c r="G26" s="97">
        <f t="shared" si="6"/>
        <v>24.065695791617003</v>
      </c>
      <c r="H26" s="97">
        <f t="shared" si="6"/>
        <v>21.558228212501831</v>
      </c>
      <c r="I26" s="97">
        <f t="shared" si="6"/>
        <v>22.171192278377688</v>
      </c>
      <c r="J26" s="97">
        <f t="shared" si="6"/>
        <v>31.859148749113057</v>
      </c>
      <c r="K26" s="97">
        <f t="shared" si="6"/>
        <v>34.435796746611572</v>
      </c>
      <c r="L26" s="97">
        <f t="shared" si="6"/>
        <v>33.854339762926081</v>
      </c>
      <c r="M26" s="97">
        <f t="shared" si="6"/>
        <v>31.53371693253515</v>
      </c>
      <c r="N26" s="97">
        <f t="shared" si="6"/>
        <v>33.768623374700525</v>
      </c>
      <c r="O26" s="97">
        <f t="shared" si="6"/>
        <v>35.833462051749208</v>
      </c>
    </row>
    <row r="27" spans="1:15">
      <c r="C27" s="11"/>
      <c r="K27" s="29"/>
      <c r="L27" s="29"/>
      <c r="M27" s="25"/>
    </row>
    <row r="28" spans="1:15">
      <c r="B28" t="s">
        <v>160</v>
      </c>
      <c r="C28" s="121">
        <f>SUM(D28:O28)</f>
        <v>170920.48250122069</v>
      </c>
      <c r="D28" s="127">
        <v>16082.035986328097</v>
      </c>
      <c r="E28" s="127">
        <v>13675.3127502441</v>
      </c>
      <c r="F28" s="127">
        <v>13712.052185058601</v>
      </c>
      <c r="G28" s="127">
        <v>14590.818084716801</v>
      </c>
      <c r="H28" s="127">
        <v>17601.611364746099</v>
      </c>
      <c r="I28" s="127">
        <v>16754.994854736298</v>
      </c>
      <c r="J28" s="127">
        <v>15677.038232421901</v>
      </c>
      <c r="K28" s="127">
        <v>13024.965344238301</v>
      </c>
      <c r="L28" s="127">
        <v>10412.902880859399</v>
      </c>
      <c r="M28" s="127">
        <v>10606.779675293001</v>
      </c>
      <c r="N28" s="127">
        <v>13477.5066040039</v>
      </c>
      <c r="O28" s="127">
        <v>15304.464538574201</v>
      </c>
    </row>
    <row r="29" spans="1:15">
      <c r="B29" t="s">
        <v>161</v>
      </c>
      <c r="C29" s="121">
        <f>SUM(D29:O29)</f>
        <v>162340.86307373052</v>
      </c>
      <c r="D29" s="127">
        <v>15001.8740661621</v>
      </c>
      <c r="E29" s="127">
        <v>12583.879370117198</v>
      </c>
      <c r="F29" s="127">
        <v>12650.914453125</v>
      </c>
      <c r="G29" s="127">
        <v>14341.7871520996</v>
      </c>
      <c r="H29" s="127">
        <v>17510.654772949201</v>
      </c>
      <c r="I29" s="127">
        <v>16850.928302002001</v>
      </c>
      <c r="J29" s="127">
        <v>15723.584777831999</v>
      </c>
      <c r="K29" s="127">
        <v>13607.529205322302</v>
      </c>
      <c r="L29" s="127">
        <v>8998.70536499023</v>
      </c>
      <c r="M29" s="127">
        <v>8996.8272583007802</v>
      </c>
      <c r="N29" s="127">
        <v>12098.888397216801</v>
      </c>
      <c r="O29" s="127">
        <v>13975.289953613299</v>
      </c>
    </row>
    <row r="30" spans="1:15">
      <c r="B30" t="s">
        <v>134</v>
      </c>
      <c r="C30" s="100"/>
      <c r="D30" s="100">
        <v>3.3000000000000002E-2</v>
      </c>
      <c r="E30" s="100">
        <v>3.3000000000000002E-2</v>
      </c>
      <c r="F30" s="100">
        <v>3.3000000000000002E-2</v>
      </c>
      <c r="G30" s="100">
        <v>3.3000000000000002E-2</v>
      </c>
      <c r="H30" s="100">
        <v>3.3000000000000002E-2</v>
      </c>
      <c r="I30" s="100">
        <v>3.3000000000000002E-2</v>
      </c>
      <c r="J30" s="100">
        <v>3.3000000000000002E-2</v>
      </c>
      <c r="K30" s="100">
        <v>3.3000000000000002E-2</v>
      </c>
      <c r="L30" s="100">
        <v>3.3000000000000002E-2</v>
      </c>
      <c r="M30" s="100">
        <v>3.3000000000000002E-2</v>
      </c>
      <c r="N30" s="100">
        <v>3.3000000000000002E-2</v>
      </c>
      <c r="O30" s="100">
        <v>3.3000000000000002E-2</v>
      </c>
    </row>
    <row r="31" spans="1:15">
      <c r="B31" t="s">
        <v>159</v>
      </c>
      <c r="D31" s="118">
        <v>0</v>
      </c>
      <c r="E31" s="118">
        <v>0</v>
      </c>
      <c r="F31" s="118">
        <v>0</v>
      </c>
      <c r="G31" s="118">
        <v>0</v>
      </c>
      <c r="H31" s="118">
        <v>0</v>
      </c>
      <c r="I31" s="118">
        <v>0</v>
      </c>
      <c r="J31" s="118">
        <v>0</v>
      </c>
      <c r="K31" s="118">
        <v>0</v>
      </c>
      <c r="L31" s="118">
        <v>0</v>
      </c>
      <c r="M31" s="118">
        <v>0</v>
      </c>
      <c r="N31" s="118">
        <v>0</v>
      </c>
      <c r="O31" s="118">
        <v>0</v>
      </c>
    </row>
    <row r="32" spans="1:15">
      <c r="B32" t="s">
        <v>135</v>
      </c>
      <c r="C32" s="100"/>
      <c r="D32" s="100">
        <v>4.8999999999999998E-3</v>
      </c>
      <c r="E32" s="100">
        <v>4.8999999999999998E-3</v>
      </c>
      <c r="F32" s="100">
        <v>4.8999999999999998E-3</v>
      </c>
      <c r="G32" s="100">
        <v>4.8999999999999998E-3</v>
      </c>
      <c r="H32" s="100">
        <v>4.8999999999999998E-3</v>
      </c>
      <c r="I32" s="100">
        <v>4.8999999999999998E-3</v>
      </c>
      <c r="J32" s="100">
        <v>4.8999999999999998E-3</v>
      </c>
      <c r="K32" s="100">
        <v>4.8999999999999998E-3</v>
      </c>
      <c r="L32" s="100">
        <v>4.8999999999999998E-3</v>
      </c>
      <c r="M32" s="100">
        <v>4.8999999999999998E-3</v>
      </c>
      <c r="N32" s="100">
        <v>4.8999999999999998E-3</v>
      </c>
      <c r="O32" s="100">
        <v>4.8999999999999998E-3</v>
      </c>
    </row>
    <row r="33" spans="2:15">
      <c r="B33" t="s">
        <v>138</v>
      </c>
      <c r="C33" s="100"/>
      <c r="D33" s="100">
        <f>D30+D31+D32</f>
        <v>3.7900000000000003E-2</v>
      </c>
      <c r="E33" s="100">
        <f t="shared" ref="E33:O33" si="7">E30+E31+E32</f>
        <v>3.7900000000000003E-2</v>
      </c>
      <c r="F33" s="100">
        <f t="shared" si="7"/>
        <v>3.7900000000000003E-2</v>
      </c>
      <c r="G33" s="100">
        <f t="shared" si="7"/>
        <v>3.7900000000000003E-2</v>
      </c>
      <c r="H33" s="100">
        <f t="shared" si="7"/>
        <v>3.7900000000000003E-2</v>
      </c>
      <c r="I33" s="100">
        <f t="shared" si="7"/>
        <v>3.7900000000000003E-2</v>
      </c>
      <c r="J33" s="100">
        <f t="shared" si="7"/>
        <v>3.7900000000000003E-2</v>
      </c>
      <c r="K33" s="100">
        <f t="shared" si="7"/>
        <v>3.7900000000000003E-2</v>
      </c>
      <c r="L33" s="100">
        <f t="shared" si="7"/>
        <v>3.7900000000000003E-2</v>
      </c>
      <c r="M33" s="100">
        <f t="shared" si="7"/>
        <v>3.7900000000000003E-2</v>
      </c>
      <c r="N33" s="100">
        <f t="shared" si="7"/>
        <v>3.7900000000000003E-2</v>
      </c>
      <c r="O33" s="100">
        <f t="shared" si="7"/>
        <v>3.7900000000000003E-2</v>
      </c>
    </row>
    <row r="34" spans="2:15">
      <c r="B34" t="s">
        <v>146</v>
      </c>
      <c r="C34" s="100"/>
      <c r="D34" s="108">
        <f>132.5/((C56/8760)*0.3)</f>
        <v>0.4400003239110174</v>
      </c>
      <c r="E34" s="108">
        <f>D34</f>
        <v>0.4400003239110174</v>
      </c>
      <c r="F34" s="108">
        <f t="shared" ref="F34:O34" si="8">E34</f>
        <v>0.4400003239110174</v>
      </c>
      <c r="G34" s="108">
        <f t="shared" si="8"/>
        <v>0.4400003239110174</v>
      </c>
      <c r="H34" s="108">
        <f t="shared" si="8"/>
        <v>0.4400003239110174</v>
      </c>
      <c r="I34" s="108">
        <f t="shared" si="8"/>
        <v>0.4400003239110174</v>
      </c>
      <c r="J34" s="108">
        <f t="shared" si="8"/>
        <v>0.4400003239110174</v>
      </c>
      <c r="K34" s="108">
        <f t="shared" si="8"/>
        <v>0.4400003239110174</v>
      </c>
      <c r="L34" s="108">
        <f t="shared" si="8"/>
        <v>0.4400003239110174</v>
      </c>
      <c r="M34" s="108">
        <f t="shared" si="8"/>
        <v>0.4400003239110174</v>
      </c>
      <c r="N34" s="108">
        <f t="shared" si="8"/>
        <v>0.4400003239110174</v>
      </c>
      <c r="O34" s="108">
        <f t="shared" si="8"/>
        <v>0.4400003239110174</v>
      </c>
    </row>
    <row r="35" spans="2:15">
      <c r="C35" s="99"/>
    </row>
    <row r="36" spans="2:15">
      <c r="B36" t="s">
        <v>128</v>
      </c>
      <c r="C36" s="99">
        <f>SUM(D36:O36)</f>
        <v>290174.78638452216</v>
      </c>
      <c r="D36" s="3">
        <f>(D28+D29)*(D30/D33)</f>
        <v>27065.145955994099</v>
      </c>
      <c r="E36" s="3">
        <f t="shared" ref="E36:O36" si="9">(E28+E29)*(E30/E33)</f>
        <v>22864.204220895059</v>
      </c>
      <c r="F36" s="3">
        <f t="shared" si="9"/>
        <v>22954.561980476483</v>
      </c>
      <c r="G36" s="3">
        <f t="shared" si="9"/>
        <v>25191.978174536707</v>
      </c>
      <c r="H36" s="3">
        <f t="shared" si="9"/>
        <v>30572.685555249209</v>
      </c>
      <c r="I36" s="3">
        <f t="shared" si="9"/>
        <v>29261.094041487169</v>
      </c>
      <c r="J36" s="3">
        <f t="shared" si="9"/>
        <v>27340.911855893894</v>
      </c>
      <c r="K36" s="3">
        <f t="shared" si="9"/>
        <v>23189.243275343</v>
      </c>
      <c r="L36" s="3">
        <f t="shared" si="9"/>
        <v>16901.928024090706</v>
      </c>
      <c r="M36" s="3">
        <f t="shared" si="9"/>
        <v>17069.103662495902</v>
      </c>
      <c r="N36" s="3">
        <f t="shared" si="9"/>
        <v>22269.684301854431</v>
      </c>
      <c r="O36" s="3">
        <f t="shared" si="9"/>
        <v>25494.245336205477</v>
      </c>
    </row>
    <row r="37" spans="2:15">
      <c r="B37" t="s">
        <v>129</v>
      </c>
      <c r="C37" s="98">
        <f>SUM(D37:O37)</f>
        <v>8795103.6050191335</v>
      </c>
      <c r="D37" s="25">
        <f>D36*D26</f>
        <v>977459.95137596317</v>
      </c>
      <c r="E37" s="25">
        <f t="shared" ref="E37:O37" si="10">E36*E26</f>
        <v>787400.06952197803</v>
      </c>
      <c r="F37" s="25">
        <f t="shared" si="10"/>
        <v>670517.02873732068</v>
      </c>
      <c r="G37" s="25">
        <f t="shared" si="10"/>
        <v>606262.48313745542</v>
      </c>
      <c r="H37" s="25">
        <f t="shared" si="10"/>
        <v>659092.93226912071</v>
      </c>
      <c r="I37" s="25">
        <f t="shared" si="10"/>
        <v>648753.34226950374</v>
      </c>
      <c r="J37" s="25">
        <f t="shared" si="10"/>
        <v>871058.17775331228</v>
      </c>
      <c r="K37" s="25">
        <f t="shared" si="10"/>
        <v>798540.06813744083</v>
      </c>
      <c r="L37" s="25">
        <f t="shared" si="10"/>
        <v>572203.6139760887</v>
      </c>
      <c r="M37" s="25">
        <f t="shared" si="10"/>
        <v>538252.28318524477</v>
      </c>
      <c r="N37" s="25">
        <f t="shared" si="10"/>
        <v>752016.58186280285</v>
      </c>
      <c r="O37" s="25">
        <f t="shared" si="10"/>
        <v>913547.07279290317</v>
      </c>
    </row>
    <row r="38" spans="2:15">
      <c r="D38" s="25"/>
    </row>
    <row r="39" spans="2:15">
      <c r="B39" t="s">
        <v>130</v>
      </c>
      <c r="C39" s="98">
        <f>SUM(D39:O39)</f>
        <v>1646478.9249498239</v>
      </c>
      <c r="D39" s="25">
        <f>((D36*10.66/11.03)*(D26-$C58))*(1-D34)</f>
        <v>238608.0568305309</v>
      </c>
      <c r="E39" s="25">
        <f t="shared" ref="E39:O39" si="11">((E36*10.66/11.03)*(E26-$C58))*(1-E34)</f>
        <v>180820.75126969843</v>
      </c>
      <c r="F39" s="25">
        <f t="shared" si="11"/>
        <v>116592.41462026146</v>
      </c>
      <c r="G39" s="25">
        <f t="shared" si="11"/>
        <v>57809.569164503919</v>
      </c>
      <c r="H39" s="25">
        <f t="shared" si="11"/>
        <v>28667.489165891446</v>
      </c>
      <c r="I39" s="25">
        <f t="shared" si="11"/>
        <v>37144.855850635904</v>
      </c>
      <c r="J39" s="25">
        <f t="shared" si="11"/>
        <v>178062.91559516039</v>
      </c>
      <c r="K39" s="25">
        <f t="shared" si="11"/>
        <v>183362.2298668864</v>
      </c>
      <c r="L39" s="25">
        <f t="shared" si="11"/>
        <v>128328.1860180887</v>
      </c>
      <c r="M39" s="25">
        <f t="shared" si="11"/>
        <v>108159.44640330461</v>
      </c>
      <c r="N39" s="25">
        <f t="shared" si="11"/>
        <v>168049.8580704832</v>
      </c>
      <c r="O39" s="25">
        <f t="shared" si="11"/>
        <v>220873.15209437849</v>
      </c>
    </row>
    <row r="41" spans="2:15">
      <c r="B41" t="s">
        <v>131</v>
      </c>
      <c r="C41" s="124">
        <f>SUM(D41:O41)</f>
        <v>7148624.6800693097</v>
      </c>
      <c r="D41" s="25">
        <f>D37-D39</f>
        <v>738851.8945454323</v>
      </c>
      <c r="E41" s="25">
        <f t="shared" ref="E41:O41" si="12">E37-E39</f>
        <v>606579.31825227966</v>
      </c>
      <c r="F41" s="25">
        <f t="shared" si="12"/>
        <v>553924.61411705916</v>
      </c>
      <c r="G41" s="25">
        <f t="shared" si="12"/>
        <v>548452.91397295147</v>
      </c>
      <c r="H41" s="25">
        <f t="shared" si="12"/>
        <v>630425.44310322928</v>
      </c>
      <c r="I41" s="25">
        <f t="shared" si="12"/>
        <v>611608.48641886783</v>
      </c>
      <c r="J41" s="25">
        <f t="shared" si="12"/>
        <v>692995.26215815195</v>
      </c>
      <c r="K41" s="25">
        <f t="shared" si="12"/>
        <v>615177.83827055444</v>
      </c>
      <c r="L41" s="25">
        <f t="shared" si="12"/>
        <v>443875.42795799999</v>
      </c>
      <c r="M41" s="25">
        <f t="shared" si="12"/>
        <v>430092.83678194019</v>
      </c>
      <c r="N41" s="25">
        <f t="shared" si="12"/>
        <v>583966.72379231965</v>
      </c>
      <c r="O41" s="25">
        <f t="shared" si="12"/>
        <v>692673.92069852469</v>
      </c>
    </row>
    <row r="42" spans="2:15">
      <c r="B42" t="s">
        <v>132</v>
      </c>
      <c r="C42" s="112">
        <f t="shared" ref="C42:O42" si="13">C41/C36</f>
        <v>24.635581778619397</v>
      </c>
      <c r="D42" s="29">
        <f t="shared" si="13"/>
        <v>27.29901755367402</v>
      </c>
      <c r="E42" s="29">
        <f t="shared" si="13"/>
        <v>26.529649245257399</v>
      </c>
      <c r="F42" s="29">
        <f t="shared" si="13"/>
        <v>24.131351954708961</v>
      </c>
      <c r="G42" s="29">
        <f t="shared" si="13"/>
        <v>21.770934786189642</v>
      </c>
      <c r="H42" s="29">
        <f t="shared" si="13"/>
        <v>20.620545158323122</v>
      </c>
      <c r="I42" s="29">
        <f t="shared" si="13"/>
        <v>20.901764149751639</v>
      </c>
      <c r="J42" s="29">
        <f t="shared" si="13"/>
        <v>25.346457565524194</v>
      </c>
      <c r="K42" s="29">
        <f t="shared" si="13"/>
        <v>26.528586162389775</v>
      </c>
      <c r="L42" s="29">
        <f t="shared" si="13"/>
        <v>26.26182216166902</v>
      </c>
      <c r="M42" s="29">
        <f t="shared" si="13"/>
        <v>25.197154184899393</v>
      </c>
      <c r="N42" s="29">
        <f t="shared" si="13"/>
        <v>26.222496730395584</v>
      </c>
      <c r="O42" s="29">
        <f t="shared" si="13"/>
        <v>27.169814660676721</v>
      </c>
    </row>
    <row r="44" spans="2:15">
      <c r="B44" t="s">
        <v>162</v>
      </c>
      <c r="C44" s="99">
        <f>SUM(D44:O44)</f>
        <v>0</v>
      </c>
      <c r="D44" s="3">
        <f>(D28+D29)*(D31/D33)</f>
        <v>0</v>
      </c>
      <c r="E44" s="3">
        <f t="shared" ref="E44:O44" si="14">(E28+E29)*(E31/E33)</f>
        <v>0</v>
      </c>
      <c r="F44" s="3">
        <f t="shared" si="14"/>
        <v>0</v>
      </c>
      <c r="G44" s="3">
        <f t="shared" si="14"/>
        <v>0</v>
      </c>
      <c r="H44" s="3">
        <f t="shared" si="14"/>
        <v>0</v>
      </c>
      <c r="I44" s="3">
        <f t="shared" si="14"/>
        <v>0</v>
      </c>
      <c r="J44" s="3">
        <f t="shared" si="14"/>
        <v>0</v>
      </c>
      <c r="K44" s="3">
        <f t="shared" si="14"/>
        <v>0</v>
      </c>
      <c r="L44" s="3">
        <f t="shared" si="14"/>
        <v>0</v>
      </c>
      <c r="M44" s="3">
        <f t="shared" si="14"/>
        <v>0</v>
      </c>
      <c r="N44" s="3">
        <f t="shared" si="14"/>
        <v>0</v>
      </c>
      <c r="O44" s="3">
        <f t="shared" si="14"/>
        <v>0</v>
      </c>
    </row>
    <row r="45" spans="2:15">
      <c r="B45" t="s">
        <v>147</v>
      </c>
      <c r="D45" s="110">
        <f>$C58</f>
        <v>19.825674930890067</v>
      </c>
      <c r="E45" s="110">
        <f t="shared" ref="E45:O45" si="15">$C58</f>
        <v>19.825674930890067</v>
      </c>
      <c r="F45" s="110">
        <f t="shared" si="15"/>
        <v>19.825674930890067</v>
      </c>
      <c r="G45" s="110">
        <f t="shared" si="15"/>
        <v>19.825674930890067</v>
      </c>
      <c r="H45" s="110">
        <f t="shared" si="15"/>
        <v>19.825674930890067</v>
      </c>
      <c r="I45" s="110">
        <f t="shared" si="15"/>
        <v>19.825674930890067</v>
      </c>
      <c r="J45" s="110">
        <f t="shared" si="15"/>
        <v>19.825674930890067</v>
      </c>
      <c r="K45" s="110">
        <f t="shared" si="15"/>
        <v>19.825674930890067</v>
      </c>
      <c r="L45" s="110">
        <f t="shared" si="15"/>
        <v>19.825674930890067</v>
      </c>
      <c r="M45" s="110">
        <f t="shared" si="15"/>
        <v>19.825674930890067</v>
      </c>
      <c r="N45" s="110">
        <f t="shared" si="15"/>
        <v>19.825674930890067</v>
      </c>
      <c r="O45" s="110">
        <f t="shared" si="15"/>
        <v>19.825674930890067</v>
      </c>
    </row>
    <row r="46" spans="2:15">
      <c r="B46" t="s">
        <v>163</v>
      </c>
      <c r="C46" s="125">
        <f>SUM(D46:O46)</f>
        <v>0</v>
      </c>
      <c r="D46" s="25">
        <f>D44*D45</f>
        <v>0</v>
      </c>
      <c r="E46" s="25">
        <f t="shared" ref="E46:O46" si="16">E44*E45</f>
        <v>0</v>
      </c>
      <c r="F46" s="25">
        <f t="shared" si="16"/>
        <v>0</v>
      </c>
      <c r="G46" s="25">
        <f t="shared" si="16"/>
        <v>0</v>
      </c>
      <c r="H46" s="25">
        <f t="shared" si="16"/>
        <v>0</v>
      </c>
      <c r="I46" s="25">
        <f t="shared" si="16"/>
        <v>0</v>
      </c>
      <c r="J46" s="25">
        <f t="shared" si="16"/>
        <v>0</v>
      </c>
      <c r="K46" s="25">
        <f t="shared" si="16"/>
        <v>0</v>
      </c>
      <c r="L46" s="25">
        <f t="shared" si="16"/>
        <v>0</v>
      </c>
      <c r="M46" s="25">
        <f t="shared" si="16"/>
        <v>0</v>
      </c>
      <c r="N46" s="25">
        <f t="shared" si="16"/>
        <v>0</v>
      </c>
      <c r="O46" s="25">
        <f t="shared" si="16"/>
        <v>0</v>
      </c>
    </row>
    <row r="47" spans="2:15">
      <c r="C47" s="112"/>
      <c r="D47" s="25"/>
    </row>
    <row r="48" spans="2:15">
      <c r="B48" t="s">
        <v>137</v>
      </c>
      <c r="C48" s="99">
        <f>SUM(D48:O48)</f>
        <v>43086.559190429049</v>
      </c>
      <c r="D48" s="3">
        <f>(D28+D29)*(D32/D33)</f>
        <v>4018.7640964960938</v>
      </c>
      <c r="E48" s="3">
        <f t="shared" ref="E48:O48" si="17">(E28+E29)*(E32/E33)</f>
        <v>3394.9878994662363</v>
      </c>
      <c r="F48" s="3">
        <f t="shared" si="17"/>
        <v>3408.4046577071144</v>
      </c>
      <c r="G48" s="3">
        <f t="shared" si="17"/>
        <v>3740.6270622796928</v>
      </c>
      <c r="H48" s="3">
        <f t="shared" si="17"/>
        <v>4539.580582446094</v>
      </c>
      <c r="I48" s="3">
        <f t="shared" si="17"/>
        <v>4344.8291152511247</v>
      </c>
      <c r="J48" s="3">
        <f t="shared" si="17"/>
        <v>4059.7111543600022</v>
      </c>
      <c r="K48" s="3">
        <f t="shared" si="17"/>
        <v>3443.2512742175973</v>
      </c>
      <c r="L48" s="3">
        <f t="shared" si="17"/>
        <v>2509.6802217589229</v>
      </c>
      <c r="M48" s="3">
        <f t="shared" si="17"/>
        <v>2534.5032710978762</v>
      </c>
      <c r="N48" s="3">
        <f t="shared" si="17"/>
        <v>3306.7106993662642</v>
      </c>
      <c r="O48" s="3">
        <f t="shared" si="17"/>
        <v>3785.5091559820248</v>
      </c>
    </row>
    <row r="49" spans="2:15">
      <c r="B49" t="s">
        <v>147</v>
      </c>
      <c r="D49" s="110">
        <f>$C58</f>
        <v>19.825674930890067</v>
      </c>
      <c r="E49" s="110">
        <f t="shared" ref="E49:O49" si="18">$C58</f>
        <v>19.825674930890067</v>
      </c>
      <c r="F49" s="110">
        <f t="shared" si="18"/>
        <v>19.825674930890067</v>
      </c>
      <c r="G49" s="110">
        <f t="shared" si="18"/>
        <v>19.825674930890067</v>
      </c>
      <c r="H49" s="110">
        <f t="shared" si="18"/>
        <v>19.825674930890067</v>
      </c>
      <c r="I49" s="110">
        <f t="shared" si="18"/>
        <v>19.825674930890067</v>
      </c>
      <c r="J49" s="110">
        <f t="shared" si="18"/>
        <v>19.825674930890067</v>
      </c>
      <c r="K49" s="110">
        <f t="shared" si="18"/>
        <v>19.825674930890067</v>
      </c>
      <c r="L49" s="110">
        <f t="shared" si="18"/>
        <v>19.825674930890067</v>
      </c>
      <c r="M49" s="110">
        <f t="shared" si="18"/>
        <v>19.825674930890067</v>
      </c>
      <c r="N49" s="110">
        <f t="shared" si="18"/>
        <v>19.825674930890067</v>
      </c>
      <c r="O49" s="110">
        <f t="shared" si="18"/>
        <v>19.825674930890067</v>
      </c>
    </row>
    <row r="50" spans="2:15">
      <c r="B50" t="s">
        <v>136</v>
      </c>
      <c r="C50" s="125">
        <f>SUM(D50:O50)</f>
        <v>854220.11640000017</v>
      </c>
      <c r="D50" s="25">
        <f>D48*D49</f>
        <v>79674.710601063678</v>
      </c>
      <c r="E50" s="25">
        <f t="shared" ref="E50:O50" si="19">E48*E49</f>
        <v>67307.926489122881</v>
      </c>
      <c r="F50" s="25">
        <f t="shared" si="19"/>
        <v>67573.922776632884</v>
      </c>
      <c r="G50" s="25">
        <f t="shared" si="19"/>
        <v>74160.456174447463</v>
      </c>
      <c r="H50" s="25">
        <f t="shared" si="19"/>
        <v>90000.248950156849</v>
      </c>
      <c r="I50" s="25">
        <f t="shared" si="19"/>
        <v>86139.169669235489</v>
      </c>
      <c r="J50" s="25">
        <f t="shared" si="19"/>
        <v>80486.513659649863</v>
      </c>
      <c r="K50" s="25">
        <f t="shared" si="19"/>
        <v>68264.7804680111</v>
      </c>
      <c r="L50" s="25">
        <f t="shared" si="19"/>
        <v>49756.104257076498</v>
      </c>
      <c r="M50" s="25">
        <f t="shared" si="19"/>
        <v>50248.237964064036</v>
      </c>
      <c r="N50" s="25">
        <f t="shared" si="19"/>
        <v>65557.771416131698</v>
      </c>
      <c r="O50" s="25">
        <f t="shared" si="19"/>
        <v>75050.273974407639</v>
      </c>
    </row>
    <row r="51" spans="2:15">
      <c r="B51" t="s">
        <v>149</v>
      </c>
      <c r="C51" s="112">
        <f>C50/C48</f>
        <v>19.825674930890067</v>
      </c>
      <c r="D51" s="25"/>
      <c r="E51" s="25"/>
      <c r="F51" s="25"/>
      <c r="G51" s="25"/>
      <c r="H51" s="25"/>
      <c r="I51" s="25"/>
      <c r="J51" s="25"/>
      <c r="K51" s="25"/>
      <c r="L51" s="25"/>
      <c r="M51" s="25"/>
      <c r="N51" s="25"/>
      <c r="O51" s="25"/>
    </row>
    <row r="52" spans="2:15">
      <c r="D52" s="25"/>
      <c r="E52" s="25"/>
      <c r="F52" s="25"/>
      <c r="G52" s="25"/>
      <c r="H52" s="25"/>
      <c r="I52" s="25"/>
      <c r="J52" s="25"/>
      <c r="K52" s="25"/>
      <c r="L52" s="25"/>
      <c r="M52" s="25"/>
      <c r="N52" s="25"/>
      <c r="O52" s="25"/>
    </row>
    <row r="53" spans="2:15">
      <c r="B53" t="s">
        <v>150</v>
      </c>
      <c r="C53" s="125">
        <f>SUM(D53:O53)</f>
        <v>8002844.7964693122</v>
      </c>
      <c r="D53" s="25">
        <f>D41+D46+D50</f>
        <v>818526.60514649597</v>
      </c>
      <c r="E53" s="25">
        <f t="shared" ref="E53:O53" si="20">E41+E46+E50</f>
        <v>673887.24474140257</v>
      </c>
      <c r="F53" s="25">
        <f t="shared" si="20"/>
        <v>621498.5368936921</v>
      </c>
      <c r="G53" s="25">
        <f t="shared" si="20"/>
        <v>622613.37014739891</v>
      </c>
      <c r="H53" s="25">
        <f t="shared" si="20"/>
        <v>720425.69205338613</v>
      </c>
      <c r="I53" s="25">
        <f t="shared" si="20"/>
        <v>697747.65608810331</v>
      </c>
      <c r="J53" s="25">
        <f t="shared" si="20"/>
        <v>773481.77581780183</v>
      </c>
      <c r="K53" s="25">
        <f t="shared" si="20"/>
        <v>683442.61873856559</v>
      </c>
      <c r="L53" s="25">
        <f t="shared" si="20"/>
        <v>493631.5322150765</v>
      </c>
      <c r="M53" s="25">
        <f t="shared" si="20"/>
        <v>480341.07474600425</v>
      </c>
      <c r="N53" s="25">
        <f t="shared" si="20"/>
        <v>649524.49520845129</v>
      </c>
      <c r="O53" s="25">
        <f t="shared" si="20"/>
        <v>767724.19467293238</v>
      </c>
    </row>
    <row r="54" spans="2:15">
      <c r="B54" t="s">
        <v>151</v>
      </c>
      <c r="C54" s="112">
        <f>C53/(C28+C29)</f>
        <v>24.013720471129332</v>
      </c>
    </row>
    <row r="56" spans="2:15">
      <c r="B56" t="s">
        <v>188</v>
      </c>
      <c r="C56" s="107">
        <f>SUM(D56:O56)</f>
        <v>8793175.3449855186</v>
      </c>
      <c r="D56" s="56">
        <f>(D28+D29)/D33</f>
        <v>820155.9380604272</v>
      </c>
      <c r="E56" s="56">
        <f>(E28+E29)/E33</f>
        <v>692854.67336045636</v>
      </c>
      <c r="F56" s="56">
        <f t="shared" ref="F56:O56" si="21">(F28+F29)/F33</f>
        <v>695592.78728716611</v>
      </c>
      <c r="G56" s="56">
        <f t="shared" si="21"/>
        <v>763393.27801626385</v>
      </c>
      <c r="H56" s="56">
        <f t="shared" si="21"/>
        <v>926445.01682573359</v>
      </c>
      <c r="I56" s="56">
        <f t="shared" si="21"/>
        <v>886699.81943900511</v>
      </c>
      <c r="J56" s="56">
        <f t="shared" si="21"/>
        <v>828512.4804816331</v>
      </c>
      <c r="K56" s="56">
        <f t="shared" si="21"/>
        <v>702704.3416770607</v>
      </c>
      <c r="L56" s="56">
        <f t="shared" si="21"/>
        <v>512179.63709365774</v>
      </c>
      <c r="M56" s="56">
        <f t="shared" si="21"/>
        <v>517245.56553017884</v>
      </c>
      <c r="N56" s="56">
        <f t="shared" si="21"/>
        <v>674838.91823801305</v>
      </c>
      <c r="O56" s="56">
        <f t="shared" si="21"/>
        <v>772552.88897592342</v>
      </c>
    </row>
    <row r="57" spans="2:15">
      <c r="B57" t="s">
        <v>150</v>
      </c>
      <c r="C57" s="109">
        <v>174330636</v>
      </c>
    </row>
    <row r="58" spans="2:15">
      <c r="B58" t="s">
        <v>190</v>
      </c>
      <c r="C58" s="29">
        <f>C57/C56</f>
        <v>19.825674930890067</v>
      </c>
    </row>
  </sheetData>
  <phoneticPr fontId="6" type="noConversion"/>
  <pageMargins left="0.75" right="0.75" top="1" bottom="1" header="0.5" footer="0.5"/>
  <pageSetup scale="6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6"/>
  <sheetViews>
    <sheetView workbookViewId="0">
      <pane xSplit="4470" ySplit="825" activePane="bottomRight"/>
      <selection activeCell="B2" sqref="B2"/>
      <selection pane="topRight" activeCell="K1" sqref="K1"/>
      <selection pane="bottomLeft" activeCell="A26" sqref="A26:XFD26"/>
      <selection pane="bottomRight" activeCell="B28" sqref="B28:M29"/>
    </sheetView>
  </sheetViews>
  <sheetFormatPr defaultColWidth="9.140625" defaultRowHeight="12.75"/>
  <cols>
    <col min="1" max="1" width="20.140625" style="60" customWidth="1"/>
    <col min="2" max="13" width="9.140625" style="60"/>
    <col min="14" max="14" width="10.28515625" style="62" customWidth="1"/>
    <col min="15" max="15" width="9.28515625" style="60" customWidth="1"/>
    <col min="16" max="16384" width="9.140625" style="60"/>
  </cols>
  <sheetData>
    <row r="1" spans="1:16" ht="16.5" thickBot="1">
      <c r="A1" s="57" t="s">
        <v>62</v>
      </c>
      <c r="B1" s="58"/>
      <c r="C1" s="58"/>
      <c r="D1" s="58"/>
      <c r="E1" s="58"/>
      <c r="F1" s="58"/>
      <c r="G1" s="58"/>
      <c r="H1" s="58"/>
      <c r="I1" s="58"/>
      <c r="J1" s="58"/>
      <c r="K1" s="58"/>
      <c r="L1" s="58"/>
      <c r="M1" s="58"/>
      <c r="N1" s="59"/>
      <c r="O1" s="58"/>
    </row>
    <row r="2" spans="1:16">
      <c r="A2" s="61"/>
      <c r="B2" s="70" t="s">
        <v>75</v>
      </c>
      <c r="C2" s="70" t="s">
        <v>76</v>
      </c>
      <c r="D2" s="70" t="s">
        <v>77</v>
      </c>
      <c r="E2" s="70" t="s">
        <v>78</v>
      </c>
      <c r="F2" s="70" t="s">
        <v>79</v>
      </c>
      <c r="G2" s="70" t="s">
        <v>80</v>
      </c>
      <c r="H2" s="70" t="s">
        <v>81</v>
      </c>
      <c r="I2" s="70" t="s">
        <v>82</v>
      </c>
      <c r="J2" s="70" t="s">
        <v>83</v>
      </c>
      <c r="K2" s="70" t="s">
        <v>84</v>
      </c>
      <c r="L2" s="70" t="s">
        <v>85</v>
      </c>
      <c r="M2" s="70" t="s">
        <v>86</v>
      </c>
    </row>
    <row r="3" spans="1:16">
      <c r="B3" s="63">
        <v>1</v>
      </c>
      <c r="C3" s="63">
        <v>2</v>
      </c>
      <c r="D3" s="63">
        <v>3</v>
      </c>
      <c r="E3" s="63">
        <v>4</v>
      </c>
      <c r="F3" s="63">
        <v>5</v>
      </c>
      <c r="G3" s="63">
        <v>6</v>
      </c>
      <c r="H3" s="63">
        <v>7</v>
      </c>
      <c r="I3" s="63">
        <v>8</v>
      </c>
      <c r="J3" s="63">
        <v>9</v>
      </c>
      <c r="K3" s="63">
        <v>10</v>
      </c>
      <c r="L3" s="63">
        <v>11</v>
      </c>
      <c r="M3" s="63">
        <v>12</v>
      </c>
      <c r="N3" s="64" t="s">
        <v>63</v>
      </c>
    </row>
    <row r="4" spans="1:16">
      <c r="A4" s="74" t="s">
        <v>64</v>
      </c>
      <c r="N4" s="75" t="s">
        <v>90</v>
      </c>
    </row>
    <row r="5" spans="1:16">
      <c r="A5" s="65" t="s">
        <v>65</v>
      </c>
      <c r="B5" s="66">
        <v>3.5766636661529501</v>
      </c>
      <c r="C5" s="66">
        <v>2.5745693450927702</v>
      </c>
      <c r="D5" s="66">
        <v>0.877668875837326</v>
      </c>
      <c r="E5" s="66">
        <v>0.53984587565064401</v>
      </c>
      <c r="F5" s="66">
        <v>0.192163354110717</v>
      </c>
      <c r="G5" s="66">
        <v>0.64132983665466303</v>
      </c>
      <c r="H5" s="66">
        <v>3.9052155029296798</v>
      </c>
      <c r="I5" s="66">
        <v>4.8593917388915999</v>
      </c>
      <c r="J5" s="66">
        <v>3.70012777328491</v>
      </c>
      <c r="K5" s="66">
        <v>1.7631938180923399</v>
      </c>
      <c r="L5" s="66">
        <v>2.7825390447616503</v>
      </c>
      <c r="M5" s="66">
        <v>3.5513534229278498</v>
      </c>
      <c r="N5" s="62">
        <f>SUM(B5:M5)</f>
        <v>28.964062254387098</v>
      </c>
      <c r="O5" s="60">
        <f>N5/8760*1000</f>
        <v>3.3063998007291207</v>
      </c>
    </row>
    <row r="6" spans="1:16">
      <c r="A6" s="65" t="s">
        <v>23</v>
      </c>
      <c r="B6" s="66">
        <v>144.64681606445311</v>
      </c>
      <c r="C6" s="66">
        <v>129.70734999999988</v>
      </c>
      <c r="D6" s="66">
        <v>140.0643061279296</v>
      </c>
      <c r="E6" s="66">
        <v>118.80883684082021</v>
      </c>
      <c r="F6" s="66">
        <v>98.796509130859306</v>
      </c>
      <c r="G6" s="66">
        <v>88.363530346679596</v>
      </c>
      <c r="H6" s="66">
        <v>134.88781440429682</v>
      </c>
      <c r="I6" s="66">
        <v>142.49176855468738</v>
      </c>
      <c r="J6" s="66">
        <v>141.30291245117178</v>
      </c>
      <c r="K6" s="66">
        <v>145.1373022460937</v>
      </c>
      <c r="L6" s="66">
        <v>140.4818119140624</v>
      </c>
      <c r="M6" s="66">
        <v>144.89008085937502</v>
      </c>
      <c r="N6" s="62">
        <f t="shared" ref="N6:N12" si="0">SUM(B6:M6)</f>
        <v>1569.579038940429</v>
      </c>
      <c r="O6" s="60">
        <f t="shared" ref="O6:O13" si="1">N6/8760*1000</f>
        <v>179.17568937676128</v>
      </c>
    </row>
    <row r="7" spans="1:16">
      <c r="A7" s="65" t="s">
        <v>66</v>
      </c>
      <c r="B7" s="66">
        <v>195.52091103515602</v>
      </c>
      <c r="C7" s="66">
        <v>163.71533345947199</v>
      </c>
      <c r="D7" s="66">
        <v>151.531780346679</v>
      </c>
      <c r="E7" s="66">
        <v>98.083157514953598</v>
      </c>
      <c r="F7" s="66">
        <v>57.400807485198904</v>
      </c>
      <c r="G7" s="66">
        <v>38.640079107666004</v>
      </c>
      <c r="H7" s="66">
        <v>114.32896149291899</v>
      </c>
      <c r="I7" s="66">
        <v>156.176916845703</v>
      </c>
      <c r="J7" s="66">
        <v>169.710064318847</v>
      </c>
      <c r="K7" s="66">
        <v>170.826034570312</v>
      </c>
      <c r="L7" s="66">
        <v>168.20520957031201</v>
      </c>
      <c r="M7" s="66">
        <v>194.027262695312</v>
      </c>
      <c r="N7" s="62">
        <f t="shared" si="0"/>
        <v>1678.1665184425306</v>
      </c>
      <c r="O7" s="60">
        <f t="shared" si="1"/>
        <v>191.57152037015189</v>
      </c>
      <c r="P7" s="60">
        <f>SUM(B7:M7)</f>
        <v>1678.1665184425306</v>
      </c>
    </row>
    <row r="8" spans="1:16">
      <c r="A8" s="65" t="s">
        <v>21</v>
      </c>
      <c r="B8" s="66">
        <v>31.4608878662109</v>
      </c>
      <c r="C8" s="66">
        <v>27.633674462890603</v>
      </c>
      <c r="D8" s="66">
        <v>25.441701599121</v>
      </c>
      <c r="E8" s="66">
        <v>20.197527978515602</v>
      </c>
      <c r="F8" s="66">
        <v>14.243636462402298</v>
      </c>
      <c r="G8" s="66">
        <v>0.81550888290405199</v>
      </c>
      <c r="H8" s="66">
        <v>22.678094653320297</v>
      </c>
      <c r="I8" s="66">
        <v>29.656227709960902</v>
      </c>
      <c r="J8" s="66">
        <v>30.914686718749998</v>
      </c>
      <c r="K8" s="66">
        <v>30.794468359375003</v>
      </c>
      <c r="L8" s="66">
        <v>29.987345361328103</v>
      </c>
      <c r="M8" s="66">
        <v>32.0241538818359</v>
      </c>
      <c r="N8" s="62">
        <f t="shared" si="0"/>
        <v>295.8479139366147</v>
      </c>
      <c r="O8" s="60">
        <f t="shared" si="1"/>
        <v>33.772592915138667</v>
      </c>
    </row>
    <row r="9" spans="1:16">
      <c r="A9" s="65" t="s">
        <v>67</v>
      </c>
      <c r="B9" s="66">
        <v>0.80317885797023703</v>
      </c>
      <c r="C9" s="66">
        <v>0.63915392098426793</v>
      </c>
      <c r="D9" s="66">
        <v>3.6783893287181797E-2</v>
      </c>
      <c r="E9" s="66">
        <v>2.5000630259513799E-2</v>
      </c>
      <c r="F9" s="66">
        <v>3.1525524592399601E-2</v>
      </c>
      <c r="G9" s="66">
        <v>0.23899093594550999</v>
      </c>
      <c r="H9" s="66">
        <v>1.1659572258114799</v>
      </c>
      <c r="I9" s="66">
        <v>1.9054168881416298</v>
      </c>
      <c r="J9" s="66">
        <v>1.33897056159973</v>
      </c>
      <c r="K9" s="66">
        <v>0.54796849160194305</v>
      </c>
      <c r="L9" s="66">
        <v>0.73231621971130301</v>
      </c>
      <c r="M9" s="66">
        <v>1.0541545082092201</v>
      </c>
      <c r="N9" s="62">
        <f t="shared" si="0"/>
        <v>8.519417658114417</v>
      </c>
      <c r="O9" s="60">
        <f t="shared" si="1"/>
        <v>0.97253626234182844</v>
      </c>
    </row>
    <row r="10" spans="1:16">
      <c r="A10" s="65" t="s">
        <v>165</v>
      </c>
      <c r="B10" s="66">
        <v>176.31598385009698</v>
      </c>
      <c r="C10" s="66">
        <v>146.11172424316399</v>
      </c>
      <c r="D10" s="66">
        <v>140.95054410552899</v>
      </c>
      <c r="E10" s="66">
        <v>92.367723170852585</v>
      </c>
      <c r="F10" s="66">
        <v>50.794362654113698</v>
      </c>
      <c r="G10" s="66">
        <v>39.6414875030517</v>
      </c>
      <c r="H10" s="66">
        <v>96.693079309081995</v>
      </c>
      <c r="I10" s="66">
        <v>131.32583395995999</v>
      </c>
      <c r="J10" s="66">
        <v>143.28311026611303</v>
      </c>
      <c r="K10" s="66">
        <v>155.851076757812</v>
      </c>
      <c r="L10" s="66">
        <v>154.211454003906</v>
      </c>
      <c r="M10" s="66">
        <v>175.03398261718701</v>
      </c>
    </row>
    <row r="11" spans="1:16">
      <c r="A11" s="65" t="s">
        <v>68</v>
      </c>
      <c r="B11" s="66">
        <v>0.341773267745971</v>
      </c>
      <c r="C11" s="66">
        <v>0.201435668754576</v>
      </c>
      <c r="D11" s="66">
        <v>0</v>
      </c>
      <c r="E11" s="66">
        <v>0</v>
      </c>
      <c r="F11" s="66">
        <v>0</v>
      </c>
      <c r="G11" s="66">
        <v>9.3009304046630797E-2</v>
      </c>
      <c r="H11" s="66">
        <v>0.27945982862114799</v>
      </c>
      <c r="I11" s="66">
        <v>0.56751423816680902</v>
      </c>
      <c r="J11" s="66">
        <v>0.23122784180641001</v>
      </c>
      <c r="K11" s="66">
        <v>2.0922572350501902E-2</v>
      </c>
      <c r="L11" s="66">
        <v>4.4179652976989697E-2</v>
      </c>
      <c r="M11" s="66">
        <v>0.11217181794643391</v>
      </c>
      <c r="N11" s="62">
        <f t="shared" si="0"/>
        <v>1.8916941924154704</v>
      </c>
      <c r="O11" s="60">
        <f t="shared" si="1"/>
        <v>0.21594682561820441</v>
      </c>
    </row>
    <row r="12" spans="1:16">
      <c r="A12" s="65" t="s">
        <v>69</v>
      </c>
      <c r="B12" s="66">
        <v>4.8920190658569203</v>
      </c>
      <c r="C12" s="66">
        <v>3.8982824607848996</v>
      </c>
      <c r="D12" s="66">
        <v>1.0686259460449212E-2</v>
      </c>
      <c r="E12" s="66">
        <v>0</v>
      </c>
      <c r="F12" s="66">
        <v>5.3743164062500003E-3</v>
      </c>
      <c r="G12" s="66">
        <v>1.1620868857145301</v>
      </c>
      <c r="H12" s="66">
        <v>6.8943696249961803</v>
      </c>
      <c r="I12" s="66">
        <v>12.592210516357408</v>
      </c>
      <c r="J12" s="66">
        <v>5.9999909780502199</v>
      </c>
      <c r="K12" s="66">
        <v>1.2976893937110889</v>
      </c>
      <c r="L12" s="66">
        <v>2.6896733514308897</v>
      </c>
      <c r="M12" s="66">
        <v>4.6018500695228504</v>
      </c>
      <c r="N12" s="62">
        <f t="shared" si="0"/>
        <v>44.044232922291684</v>
      </c>
      <c r="O12" s="60">
        <f t="shared" si="1"/>
        <v>5.027880470581243</v>
      </c>
    </row>
    <row r="13" spans="1:16">
      <c r="A13" s="65" t="s">
        <v>224</v>
      </c>
      <c r="B13" s="67">
        <v>-1.9340625E-2</v>
      </c>
      <c r="C13" s="67">
        <v>-1.9293749999999998E-2</v>
      </c>
      <c r="D13" s="67">
        <v>-2.1434374999999999E-2</v>
      </c>
      <c r="E13" s="67">
        <v>-2.1628125000000002E-2</v>
      </c>
      <c r="F13" s="67">
        <v>-1.9846875E-2</v>
      </c>
      <c r="G13" s="67">
        <v>-1.6562500000000001E-2</v>
      </c>
      <c r="H13" s="67">
        <v>-1.9324999999999998E-2</v>
      </c>
      <c r="I13" s="67">
        <v>-2.2096875000000002E-2</v>
      </c>
      <c r="J13" s="67">
        <v>-2.1825000000000001E-2</v>
      </c>
      <c r="K13" s="67">
        <v>-2.2421875000000001E-2</v>
      </c>
      <c r="L13" s="67">
        <v>-2.1618749999999999E-2</v>
      </c>
      <c r="M13" s="67">
        <v>-2.2762499999999998E-2</v>
      </c>
      <c r="N13" s="68">
        <f>SUM(N5:N12)</f>
        <v>3627.0128783467826</v>
      </c>
      <c r="O13" s="60">
        <f t="shared" si="1"/>
        <v>414.04256602132222</v>
      </c>
    </row>
    <row r="14" spans="1:16">
      <c r="A14" s="65"/>
      <c r="B14" s="67"/>
      <c r="C14" s="67"/>
      <c r="D14" s="67"/>
      <c r="E14" s="67"/>
      <c r="F14" s="67"/>
      <c r="G14" s="67"/>
      <c r="H14" s="67"/>
      <c r="I14" s="67"/>
      <c r="J14" s="67"/>
      <c r="K14" s="67"/>
      <c r="L14" s="67"/>
      <c r="M14" s="67"/>
      <c r="N14" s="68"/>
    </row>
    <row r="15" spans="1:16">
      <c r="A15" s="65"/>
      <c r="B15" s="67"/>
      <c r="C15" s="67"/>
      <c r="D15" s="67"/>
      <c r="E15" s="67"/>
      <c r="F15" s="67"/>
      <c r="G15" s="67"/>
      <c r="H15" s="67"/>
      <c r="I15" s="67"/>
      <c r="J15" s="67"/>
      <c r="K15" s="67"/>
      <c r="L15" s="67"/>
      <c r="M15" s="67"/>
      <c r="N15" s="68" t="e">
        <f>SUM(#REF!)</f>
        <v>#REF!</v>
      </c>
    </row>
    <row r="16" spans="1:16">
      <c r="A16" s="74" t="s">
        <v>70</v>
      </c>
      <c r="B16" s="66"/>
      <c r="C16" s="66"/>
      <c r="D16" s="66"/>
      <c r="E16" s="66"/>
      <c r="F16" s="66"/>
      <c r="G16" s="66"/>
      <c r="H16" s="66"/>
      <c r="I16" s="66"/>
      <c r="J16" s="66"/>
      <c r="K16" s="66"/>
      <c r="L16" s="66"/>
      <c r="M16" s="66"/>
      <c r="N16" s="67"/>
    </row>
    <row r="17" spans="1:15">
      <c r="A17" s="65" t="s">
        <v>65</v>
      </c>
      <c r="B17" s="66">
        <v>110.522640800476</v>
      </c>
      <c r="C17" s="66">
        <v>78.962620574235899</v>
      </c>
      <c r="D17" s="66">
        <v>25.176299937814399</v>
      </c>
      <c r="E17" s="66">
        <v>13.970815948024301</v>
      </c>
      <c r="F17" s="66">
        <v>4.9002626761794001</v>
      </c>
      <c r="G17" s="66">
        <v>16.599979019909998</v>
      </c>
      <c r="H17" s="66">
        <v>103.918329763412</v>
      </c>
      <c r="I17" s="66">
        <v>130.24446487426701</v>
      </c>
      <c r="J17" s="66">
        <v>98.703137814998598</v>
      </c>
      <c r="K17" s="66">
        <v>47.283614324033202</v>
      </c>
      <c r="L17" s="66">
        <v>79.635409760475099</v>
      </c>
      <c r="M17" s="66">
        <v>106.883374303579</v>
      </c>
      <c r="N17" s="67">
        <f>SUM(B17:M17)</f>
        <v>816.800949797405</v>
      </c>
    </row>
    <row r="18" spans="1:15">
      <c r="A18" s="65" t="s">
        <v>23</v>
      </c>
      <c r="B18" s="66">
        <v>2074.5257081883328</v>
      </c>
      <c r="C18" s="66">
        <v>1936.1116945164567</v>
      </c>
      <c r="D18" s="66">
        <v>2037.191161526956</v>
      </c>
      <c r="E18" s="66">
        <v>1846.5303480046168</v>
      </c>
      <c r="F18" s="66">
        <v>1664.8509874241727</v>
      </c>
      <c r="G18" s="66">
        <v>1569.1745733158957</v>
      </c>
      <c r="H18" s="66">
        <v>1991.8527685063259</v>
      </c>
      <c r="I18" s="66">
        <v>2055.9389173405548</v>
      </c>
      <c r="J18" s="66">
        <v>2042.2405515568626</v>
      </c>
      <c r="K18" s="66">
        <v>2078.6556959050076</v>
      </c>
      <c r="L18" s="66">
        <v>2035.4590436833278</v>
      </c>
      <c r="M18" s="66">
        <v>2077.0474721806418</v>
      </c>
      <c r="N18" s="67">
        <f t="shared" ref="N18:N24" si="2">SUM(B18:M18)</f>
        <v>23409.57892214915</v>
      </c>
    </row>
    <row r="19" spans="1:15">
      <c r="A19" s="65" t="s">
        <v>66</v>
      </c>
      <c r="B19" s="66">
        <v>4490.9428955666926</v>
      </c>
      <c r="C19" s="66">
        <v>3737.6408581083006</v>
      </c>
      <c r="D19" s="66">
        <v>3254.3877231341303</v>
      </c>
      <c r="E19" s="66">
        <v>1902.1754371210088</v>
      </c>
      <c r="F19" s="66">
        <v>1106.6657203850066</v>
      </c>
      <c r="G19" s="66">
        <v>754.29705267189786</v>
      </c>
      <c r="H19" s="66">
        <v>2299.5891299760478</v>
      </c>
      <c r="I19" s="66">
        <v>3158.4537909131932</v>
      </c>
      <c r="J19" s="66">
        <v>3402.3176483097718</v>
      </c>
      <c r="K19" s="66">
        <v>3426.780763849421</v>
      </c>
      <c r="L19" s="66">
        <v>3610.1650990818634</v>
      </c>
      <c r="M19" s="66">
        <v>4346.8302555151959</v>
      </c>
      <c r="N19" s="67">
        <f t="shared" si="2"/>
        <v>35490.24637463253</v>
      </c>
      <c r="O19" s="60">
        <f>N19/8760*1000</f>
        <v>4051.3979879717504</v>
      </c>
    </row>
    <row r="20" spans="1:15">
      <c r="A20" s="65" t="s">
        <v>21</v>
      </c>
      <c r="B20" s="66">
        <v>585.95298461914001</v>
      </c>
      <c r="C20" s="66">
        <v>516.23207855224598</v>
      </c>
      <c r="D20" s="66">
        <v>479.478684616088</v>
      </c>
      <c r="E20" s="66">
        <v>392.351489448547</v>
      </c>
      <c r="F20" s="66">
        <v>279.32941436767499</v>
      </c>
      <c r="G20" s="66">
        <v>15.743600106239301</v>
      </c>
      <c r="H20" s="66">
        <v>426.71343841552698</v>
      </c>
      <c r="I20" s="66">
        <v>553.46672782897895</v>
      </c>
      <c r="J20" s="66">
        <v>575.43682365417396</v>
      </c>
      <c r="K20" s="66">
        <v>574.32943382263102</v>
      </c>
      <c r="L20" s="66">
        <v>558.58700332641604</v>
      </c>
      <c r="M20" s="66">
        <v>595.96725769042905</v>
      </c>
      <c r="N20" s="67">
        <f t="shared" si="2"/>
        <v>5553.5889364480918</v>
      </c>
      <c r="O20" s="60">
        <f>N20/8760*1000</f>
        <v>633.97133977717942</v>
      </c>
    </row>
    <row r="21" spans="1:15">
      <c r="A21" s="65" t="s">
        <v>67</v>
      </c>
      <c r="B21" s="66">
        <v>24.0258636131882</v>
      </c>
      <c r="C21" s="66">
        <v>19.114143053442199</v>
      </c>
      <c r="D21" s="66">
        <v>1.02366962879896</v>
      </c>
      <c r="E21" s="66">
        <v>0.62574037406593497</v>
      </c>
      <c r="F21" s="66">
        <v>0.78178769368678303</v>
      </c>
      <c r="G21" s="66">
        <v>5.9943498734384697</v>
      </c>
      <c r="H21" s="66">
        <v>30.054843801818699</v>
      </c>
      <c r="I21" s="66">
        <v>49.501919382810499</v>
      </c>
      <c r="J21" s="66">
        <v>34.598216171562598</v>
      </c>
      <c r="K21" s="66">
        <v>14.228004879876901</v>
      </c>
      <c r="L21" s="66">
        <v>20.326053287088801</v>
      </c>
      <c r="M21" s="66">
        <v>30.724676243960801</v>
      </c>
      <c r="N21" s="67">
        <f t="shared" si="2"/>
        <v>230.99926800373885</v>
      </c>
      <c r="O21" s="60">
        <f>N21/8760*1000</f>
        <v>26.369779452481605</v>
      </c>
    </row>
    <row r="22" spans="1:15">
      <c r="A22" s="65" t="s">
        <v>165</v>
      </c>
      <c r="B22" s="66">
        <v>4154.7306344800672</v>
      </c>
      <c r="C22" s="66">
        <v>3427.1206191106048</v>
      </c>
      <c r="D22" s="66">
        <v>3115.5819329912183</v>
      </c>
      <c r="E22" s="66">
        <v>1855.2908062769857</v>
      </c>
      <c r="F22" s="66">
        <v>1023.3247939322065</v>
      </c>
      <c r="G22" s="66">
        <v>812.92906899446018</v>
      </c>
      <c r="H22" s="66">
        <v>2025.1109227658137</v>
      </c>
      <c r="I22" s="66">
        <v>2762.1365510292967</v>
      </c>
      <c r="J22" s="66">
        <v>2979.4414598679291</v>
      </c>
      <c r="K22" s="66">
        <v>3231.5723880353703</v>
      </c>
      <c r="L22" s="66">
        <v>3401.3868078674536</v>
      </c>
      <c r="M22" s="66">
        <v>4024.4580111367572</v>
      </c>
      <c r="N22" s="67"/>
    </row>
    <row r="23" spans="1:15">
      <c r="A23" s="65" t="s">
        <v>68</v>
      </c>
      <c r="B23" s="66">
        <v>15.139964365959159</v>
      </c>
      <c r="C23" s="66">
        <v>8.8067804813384996</v>
      </c>
      <c r="D23" s="66">
        <v>0</v>
      </c>
      <c r="E23" s="66">
        <v>0</v>
      </c>
      <c r="F23" s="66">
        <v>0</v>
      </c>
      <c r="G23" s="66">
        <v>3.4567372798919598</v>
      </c>
      <c r="H23" s="66">
        <v>10.68199881650507</v>
      </c>
      <c r="I23" s="66">
        <v>21.802160653471802</v>
      </c>
      <c r="J23" s="66">
        <v>8.83283938616513</v>
      </c>
      <c r="K23" s="66">
        <v>0.8022281229496</v>
      </c>
      <c r="L23" s="66">
        <v>1.8229186981916419</v>
      </c>
      <c r="M23" s="66">
        <v>4.8705170318484203</v>
      </c>
      <c r="N23" s="67">
        <f t="shared" si="2"/>
        <v>76.216144836321291</v>
      </c>
    </row>
    <row r="24" spans="1:15">
      <c r="A24" s="65" t="s">
        <v>69</v>
      </c>
      <c r="B24" s="66">
        <v>190.91944356260296</v>
      </c>
      <c r="C24" s="66">
        <v>151.97251939859385</v>
      </c>
      <c r="D24" s="66">
        <v>0.4005175002098072</v>
      </c>
      <c r="E24" s="66">
        <v>0</v>
      </c>
      <c r="F24" s="66">
        <v>0.18590781764984121</v>
      </c>
      <c r="G24" s="66">
        <v>39.288355364674288</v>
      </c>
      <c r="H24" s="66">
        <v>243.12718568071006</v>
      </c>
      <c r="I24" s="66">
        <v>446.88932261028219</v>
      </c>
      <c r="J24" s="66">
        <v>213.99971307141715</v>
      </c>
      <c r="K24" s="66">
        <v>48.421902417540466</v>
      </c>
      <c r="L24" s="66">
        <v>104.50579675500379</v>
      </c>
      <c r="M24" s="66">
        <v>182.47736750462042</v>
      </c>
      <c r="N24" s="67">
        <f t="shared" si="2"/>
        <v>1622.1880316833046</v>
      </c>
    </row>
    <row r="25" spans="1:15">
      <c r="A25" s="65" t="s">
        <v>224</v>
      </c>
      <c r="B25" s="67">
        <v>0</v>
      </c>
      <c r="C25" s="67">
        <v>0</v>
      </c>
      <c r="D25" s="67">
        <v>0</v>
      </c>
      <c r="E25" s="67">
        <v>0</v>
      </c>
      <c r="F25" s="67">
        <v>0</v>
      </c>
      <c r="G25" s="67">
        <v>0</v>
      </c>
      <c r="H25" s="67">
        <v>0</v>
      </c>
      <c r="I25" s="67">
        <v>0</v>
      </c>
      <c r="J25" s="67">
        <v>0</v>
      </c>
      <c r="K25" s="67">
        <v>0</v>
      </c>
      <c r="L25" s="67">
        <v>0</v>
      </c>
      <c r="M25" s="67">
        <v>0</v>
      </c>
      <c r="N25" s="68">
        <f>SUM(N17:N24)</f>
        <v>67199.618627550532</v>
      </c>
    </row>
    <row r="26" spans="1:15">
      <c r="A26" s="65"/>
      <c r="B26" s="67"/>
      <c r="C26" s="67"/>
      <c r="D26" s="67"/>
      <c r="E26" s="67"/>
      <c r="F26" s="67"/>
      <c r="G26" s="67"/>
      <c r="H26" s="67"/>
      <c r="I26" s="67"/>
      <c r="J26" s="67"/>
      <c r="K26" s="67"/>
      <c r="L26" s="67"/>
      <c r="M26" s="67"/>
      <c r="N26" s="68"/>
    </row>
    <row r="27" spans="1:15">
      <c r="A27" s="74" t="s">
        <v>71</v>
      </c>
      <c r="B27" s="66"/>
      <c r="C27" s="66"/>
      <c r="D27" s="66"/>
      <c r="E27" s="66"/>
      <c r="F27" s="66"/>
      <c r="G27" s="66"/>
      <c r="H27" s="66"/>
      <c r="I27" s="66"/>
      <c r="J27" s="66"/>
      <c r="K27" s="66"/>
      <c r="L27" s="66"/>
      <c r="M27" s="66"/>
      <c r="N27" s="67"/>
    </row>
    <row r="28" spans="1:15">
      <c r="A28" s="65" t="s">
        <v>72</v>
      </c>
      <c r="B28" s="67">
        <v>8.0472940965592805</v>
      </c>
      <c r="C28" s="60">
        <v>10.584671751868701</v>
      </c>
      <c r="D28" s="60">
        <v>24.452425939369199</v>
      </c>
      <c r="E28" s="60">
        <v>10.840534904438201</v>
      </c>
      <c r="F28" s="66">
        <v>4.6967829790890203</v>
      </c>
      <c r="G28" s="66">
        <v>24.259501980590802</v>
      </c>
      <c r="H28" s="66">
        <v>34.562521941375699</v>
      </c>
      <c r="I28" s="66">
        <v>81.245994149780202</v>
      </c>
      <c r="J28" s="66">
        <v>34.283893836665101</v>
      </c>
      <c r="K28" s="66">
        <v>35.390925575676498</v>
      </c>
      <c r="L28" s="66">
        <v>29.767114376831</v>
      </c>
      <c r="M28" s="66">
        <v>21.5169520992279</v>
      </c>
      <c r="N28" s="67">
        <f>SUM(B28:M28)</f>
        <v>319.64861363147162</v>
      </c>
    </row>
    <row r="29" spans="1:15">
      <c r="A29" s="65" t="s">
        <v>73</v>
      </c>
      <c r="B29" s="67">
        <v>-169.718434790039</v>
      </c>
      <c r="C29" s="66">
        <v>-137.11430831298799</v>
      </c>
      <c r="D29" s="60">
        <v>-116.16748722228999</v>
      </c>
      <c r="E29" s="60">
        <v>-185.93376503906202</v>
      </c>
      <c r="F29" s="66">
        <v>-203.75404853515599</v>
      </c>
      <c r="G29" s="66">
        <v>-138.49727749023401</v>
      </c>
      <c r="H29" s="66">
        <v>-110.625639648437</v>
      </c>
      <c r="I29" s="66">
        <v>-54.421208802413908</v>
      </c>
      <c r="J29" s="66">
        <v>-93.024743676757794</v>
      </c>
      <c r="K29" s="66">
        <v>-74.049711962890598</v>
      </c>
      <c r="L29" s="66">
        <v>-104.601504003906</v>
      </c>
      <c r="M29" s="66">
        <v>-135.35547519531201</v>
      </c>
      <c r="N29" s="67">
        <f>SUM(B29:M29)</f>
        <v>-1523.2636046794867</v>
      </c>
    </row>
    <row r="30" spans="1:15">
      <c r="B30" s="66"/>
      <c r="C30" s="66"/>
      <c r="D30" s="66"/>
      <c r="E30" s="66"/>
      <c r="F30" s="66"/>
      <c r="G30" s="66"/>
      <c r="H30" s="66"/>
      <c r="I30" s="66"/>
      <c r="J30" s="66"/>
      <c r="K30" s="66"/>
      <c r="L30" s="66"/>
      <c r="M30" s="66"/>
      <c r="N30" s="68">
        <f>SUM(B28:B29)</f>
        <v>-161.67114069347971</v>
      </c>
      <c r="O30" s="60">
        <f>N30/8.76</f>
        <v>-18.455609668205447</v>
      </c>
    </row>
    <row r="31" spans="1:15">
      <c r="A31" s="74" t="s">
        <v>74</v>
      </c>
      <c r="B31" s="66"/>
      <c r="C31" s="66"/>
      <c r="D31" s="66"/>
      <c r="E31" s="66"/>
      <c r="F31" s="66"/>
      <c r="G31" s="66"/>
      <c r="H31" s="66"/>
      <c r="I31" s="66"/>
      <c r="J31" s="66"/>
      <c r="K31" s="66"/>
      <c r="L31" s="66"/>
      <c r="M31" s="66"/>
      <c r="N31" s="67"/>
    </row>
    <row r="32" spans="1:15">
      <c r="A32" s="65" t="s">
        <v>72</v>
      </c>
      <c r="B32" s="62">
        <v>167.916428214311</v>
      </c>
      <c r="C32" s="60">
        <v>186.25609850771701</v>
      </c>
      <c r="D32" s="60">
        <v>386.60297990925602</v>
      </c>
      <c r="E32" s="60">
        <v>138.74466988518799</v>
      </c>
      <c r="F32" s="66">
        <v>21.9235189324244</v>
      </c>
      <c r="G32" s="66">
        <v>448.15257007479602</v>
      </c>
      <c r="H32" s="66">
        <v>994.66284832954398</v>
      </c>
      <c r="I32" s="66">
        <v>2295.3398135185198</v>
      </c>
      <c r="J32" s="66">
        <v>986.61035695783698</v>
      </c>
      <c r="K32" s="66">
        <v>957.91255381992005</v>
      </c>
      <c r="L32" s="66">
        <v>845.34997408389995</v>
      </c>
      <c r="M32" s="66">
        <v>605.65029125213596</v>
      </c>
      <c r="N32" s="67">
        <f>SUM(B32:M32)</f>
        <v>8035.122103485548</v>
      </c>
    </row>
    <row r="33" spans="1:14">
      <c r="A33" s="65" t="s">
        <v>73</v>
      </c>
      <c r="B33" s="62">
        <v>-5500.8376831054602</v>
      </c>
      <c r="C33" s="60">
        <v>-4229.7906534194899</v>
      </c>
      <c r="D33" s="60">
        <v>-3050.7251289129199</v>
      </c>
      <c r="E33" s="60">
        <v>-3975.1870182037301</v>
      </c>
      <c r="F33" s="66">
        <v>-3608.1210014343201</v>
      </c>
      <c r="G33" s="66">
        <v>-2216.5928236007599</v>
      </c>
      <c r="H33" s="66">
        <v>-2890.9045322418201</v>
      </c>
      <c r="I33" s="66">
        <v>-1667.1420201778401</v>
      </c>
      <c r="J33" s="66">
        <v>-2771.39903163909</v>
      </c>
      <c r="K33" s="66">
        <v>-1997.57215309143</v>
      </c>
      <c r="L33" s="66">
        <v>-3081.04158935546</v>
      </c>
      <c r="M33" s="66">
        <v>-4350.3417144775303</v>
      </c>
      <c r="N33" s="67">
        <f>SUM(B33:M33)</f>
        <v>-39339.655349659857</v>
      </c>
    </row>
    <row r="34" spans="1:14">
      <c r="N34" s="68">
        <f>SUM(N32:N33)</f>
        <v>-31304.533246174309</v>
      </c>
    </row>
    <row r="36" spans="1:14">
      <c r="M36" s="69" t="s">
        <v>91</v>
      </c>
      <c r="N36" s="68">
        <f>N25+N34</f>
        <v>35895.085381376222</v>
      </c>
    </row>
  </sheetData>
  <phoneticPr fontId="6" type="noConversion"/>
  <pageMargins left="0.75" right="0.75" top="1" bottom="1" header="0.5" footer="0.5"/>
  <pageSetup scale="76" orientation="landscape" r:id="rId1"/>
  <headerFooter alignWithMargins="0">
    <oddFooter>&amp;L&amp;"Geneva,Bold Italic"&amp;9&amp;F &amp;A&amp;R&amp;"Geneva,Bold Italic"&amp;9&amp;D WGJ</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2016-11-04T07:00:00+00:00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992E4FB-566C-4442-BDE6-8AA552105641}"/>
</file>

<file path=customXml/itemProps2.xml><?xml version="1.0" encoding="utf-8"?>
<ds:datastoreItem xmlns:ds="http://schemas.openxmlformats.org/officeDocument/2006/customXml" ds:itemID="{F0140075-9FFC-4FAB-B72D-A9BC1189C89D}"/>
</file>

<file path=customXml/itemProps3.xml><?xml version="1.0" encoding="utf-8"?>
<ds:datastoreItem xmlns:ds="http://schemas.openxmlformats.org/officeDocument/2006/customXml" ds:itemID="{181CDFF8-D246-496D-A7A5-5BC3C9B83BA0}"/>
</file>

<file path=customXml/itemProps4.xml><?xml version="1.0" encoding="utf-8"?>
<ds:datastoreItem xmlns:ds="http://schemas.openxmlformats.org/officeDocument/2006/customXml" ds:itemID="{15B20218-12D0-4751-ADB3-DC7988B8B9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PF 2017-Nov. Update</vt:lpstr>
      <vt:lpstr>Diff Reb vs Nov Update</vt:lpstr>
      <vt:lpstr>PF 2017-Rebuttal</vt:lpstr>
      <vt:lpstr>BR_10.4 PS Adj detail</vt:lpstr>
      <vt:lpstr>BR_10-ERM balances</vt:lpstr>
      <vt:lpstr>BR_10 System Pro Forma</vt:lpstr>
      <vt:lpstr>WGJ-4</vt:lpstr>
      <vt:lpstr>Index</vt:lpstr>
      <vt:lpstr>Aurora</vt:lpstr>
      <vt:lpstr>'BR_10.4 PS Adj detail'!Print_Area</vt:lpstr>
      <vt:lpstr>'BR_10-ERM balances'!Print_Area</vt:lpstr>
      <vt:lpstr>'Diff Reb vs Nov Update'!Print_Area</vt:lpstr>
      <vt:lpstr>Index!Print_Area</vt:lpstr>
      <vt:lpstr>'PF 2017-Nov. Update'!Print_Area</vt:lpstr>
      <vt:lpstr>'PF 2017-Rebuttal'!Print_Area</vt:lpstr>
      <vt:lpstr>'WGJ-4'!Print_Area</vt:lpstr>
      <vt:lpstr>'BR_10.4 PS Adj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Resources</dc:creator>
  <cp:lastModifiedBy>Liz Andrews</cp:lastModifiedBy>
  <cp:lastPrinted>2016-11-02T16:34:29Z</cp:lastPrinted>
  <dcterms:created xsi:type="dcterms:W3CDTF">1998-10-07T00:01:47Z</dcterms:created>
  <dcterms:modified xsi:type="dcterms:W3CDTF">2016-11-02T16:35:20Z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