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34.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3.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3.bin" ContentType="application/vnd.openxmlformats-officedocument.spreadsheetml.customProperty"/>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3.bin" ContentType="application/vnd.openxmlformats-officedocument.spreadsheetml.customProperty"/>
  <Override PartName="/xl/customProperty10.bin" ContentType="application/vnd.openxmlformats-officedocument.spreadsheetml.customProperty"/>
  <Override PartName="/xl/comments3.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4505" yWindow="-15" windowWidth="14310" windowHeight="7320" tabRatio="861"/>
  </bookViews>
  <sheets>
    <sheet name="Lead E" sheetId="82" r:id="rId1"/>
    <sheet name="Verify Power Costs" sheetId="99" r:id="rId2"/>
    <sheet name="Power Cost Bridge to A-1" sheetId="83" r:id="rId3"/>
    <sheet name="Production Factor" sheetId="100" r:id="rId4"/>
    <sheet name="B&amp;T 557" sheetId="84" r:id="rId5"/>
    <sheet name="B&amp;T O&amp;M" sheetId="85" r:id="rId6"/>
    <sheet name="Centralia Equity Kicker" sheetId="86" r:id="rId7"/>
    <sheet name="Estimate OATT Trans Rev" sheetId="92" r:id="rId8"/>
    <sheet name="PWX Microsoft" sheetId="103" r:id="rId9"/>
    <sheet name="Act OATT Rev 45610005" sheetId="88" r:id="rId10"/>
    <sheet name="RJR" sheetId="89" r:id="rId11"/>
    <sheet name="500KV" sheetId="90" r:id="rId12"/>
    <sheet name="PKW RY PC1" sheetId="91" r:id="rId13"/>
    <sheet name="Power Costs" sheetId="49" r:id="rId14"/>
    <sheet name="Schedule_B" sheetId="50" r:id="rId15"/>
    <sheet name="Actuals" sheetId="51" r:id="rId16"/>
    <sheet name="CT Oil Valuation" sheetId="96" r:id="rId17"/>
    <sheet name="Centrailia" sheetId="95" r:id="rId18"/>
    <sheet name="Restating=&gt;" sheetId="38" r:id="rId19"/>
    <sheet name="PKW24C FERC 557 costs" sheetId="104" r:id="rId20"/>
    <sheet name="F2018 Sch Level Delivered Load" sheetId="101" r:id="rId21"/>
    <sheet name="Electric - Load" sheetId="102" r:id="rId22"/>
    <sheet name="Temp Norm Adj=&gt;" sheetId="67" r:id="rId23"/>
    <sheet name="PKW 557" sheetId="68" r:id="rId24"/>
    <sheet name="Load Impact to Cost &amp; Rev" sheetId="69" r:id="rId25"/>
    <sheet name="Load Temp Adj" sheetId="70" r:id="rId26"/>
    <sheet name="2018 Hydro" sheetId="71" r:id="rId27"/>
    <sheet name="2018 Wind" sheetId="72" r:id="rId28"/>
    <sheet name="EA Database" sheetId="74" r:id="rId29"/>
    <sheet name="BAGE &amp; SAGE" sheetId="75" r:id="rId30"/>
    <sheet name="PKW-WP ENERG" sheetId="76" r:id="rId31"/>
    <sheet name="Wind Integration Costs" sheetId="77" r:id="rId32"/>
    <sheet name="Price" sheetId="78" r:id="rId33"/>
    <sheet name="PCA Calc=&gt;" sheetId="79" r:id="rId34"/>
    <sheet name="Sched B 2018" sheetId="80" r:id="rId35"/>
    <sheet name="Actuals 2018" sheetId="81" r:id="rId36"/>
  </sheets>
  <externalReferences>
    <externalReference r:id="rId37"/>
    <externalReference r:id="rId38"/>
    <externalReference r:id="rId39"/>
  </externalReferences>
  <definedNames>
    <definedName name="_Fill" localSheetId="19" hidden="1">#REF!</definedName>
    <definedName name="_Fill" hidden="1">#REF!</definedName>
    <definedName name="a" localSheetId="19" hidden="1">{#N/A,#N/A,FALSE,"Coversheet";#N/A,#N/A,FALSE,"QA"}</definedName>
    <definedName name="a" hidden="1">{#N/A,#N/A,FALSE,"Coversheet";#N/A,#N/A,FALSE,"QA"}</definedName>
    <definedName name="HTML_Description">""</definedName>
    <definedName name="HTML_Email">""</definedName>
    <definedName name="NvsPanelSetid">"VSHARE"</definedName>
    <definedName name="_xlnm.Print_Area" localSheetId="35">'Actuals 2018'!$B$1:$I$44</definedName>
    <definedName name="_xlnm.Print_Area" localSheetId="19">'PKW24C FERC 557 costs'!$A$1:$D$73</definedName>
    <definedName name="SAPBEXhrIndnt">"Wide"</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MARGIN_WO_QTR." hidden="1">{#N/A,#N/A,FALSE,"Month ";#N/A,#N/A,FALSE,"YTD";#N/A,#N/A,FALSE,"12 mo ended"}</definedName>
  </definedNames>
  <calcPr calcId="162913" calcMode="autoNoTable"/>
</workbook>
</file>

<file path=xl/calcChain.xml><?xml version="1.0" encoding="utf-8"?>
<calcChain xmlns="http://schemas.openxmlformats.org/spreadsheetml/2006/main">
  <c r="C25" i="38" l="1"/>
  <c r="E17" i="83" l="1"/>
  <c r="C42" i="38" l="1"/>
  <c r="C17" i="38" l="1"/>
  <c r="C16" i="38"/>
  <c r="C19" i="38"/>
  <c r="C18" i="38"/>
  <c r="E24" i="83"/>
  <c r="D21" i="82"/>
  <c r="C27" i="82"/>
  <c r="F19" i="38" l="1"/>
  <c r="B69" i="104"/>
  <c r="D69" i="104" s="1"/>
  <c r="C68" i="104"/>
  <c r="B68" i="104"/>
  <c r="D68" i="104" s="1"/>
  <c r="C67" i="104"/>
  <c r="B67" i="104"/>
  <c r="C66" i="104"/>
  <c r="D66" i="104" s="1"/>
  <c r="B66" i="104"/>
  <c r="C65" i="104"/>
  <c r="B65" i="104"/>
  <c r="D64" i="104"/>
  <c r="D63" i="104"/>
  <c r="D62" i="104"/>
  <c r="D61" i="104"/>
  <c r="D60" i="104"/>
  <c r="D59" i="104"/>
  <c r="D58" i="104"/>
  <c r="D57" i="104"/>
  <c r="D56" i="104"/>
  <c r="D55" i="104"/>
  <c r="D54" i="104"/>
  <c r="D53" i="104"/>
  <c r="D52" i="104"/>
  <c r="D51" i="104"/>
  <c r="D50" i="104"/>
  <c r="D49" i="104"/>
  <c r="D48" i="104"/>
  <c r="D47" i="104"/>
  <c r="D46" i="104"/>
  <c r="D45" i="104"/>
  <c r="D44" i="104"/>
  <c r="D43" i="104"/>
  <c r="D42" i="104"/>
  <c r="D41" i="104"/>
  <c r="D40" i="104"/>
  <c r="D39" i="104"/>
  <c r="D38" i="104"/>
  <c r="D37" i="104"/>
  <c r="D36" i="104"/>
  <c r="D35" i="104"/>
  <c r="D34" i="104"/>
  <c r="D33" i="104"/>
  <c r="D32" i="104"/>
  <c r="D31" i="104"/>
  <c r="D30" i="104"/>
  <c r="D29" i="104"/>
  <c r="D28" i="104"/>
  <c r="D27" i="104"/>
  <c r="D26" i="104"/>
  <c r="D25" i="104"/>
  <c r="D24" i="104"/>
  <c r="D23" i="104"/>
  <c r="D22" i="104"/>
  <c r="D21" i="104"/>
  <c r="D20" i="104"/>
  <c r="D19" i="104"/>
  <c r="D18" i="104"/>
  <c r="D17" i="104"/>
  <c r="D16" i="104"/>
  <c r="D15" i="104"/>
  <c r="D14" i="104"/>
  <c r="D13" i="104"/>
  <c r="D12" i="104"/>
  <c r="D11" i="104"/>
  <c r="D10" i="104"/>
  <c r="D9" i="104"/>
  <c r="D8" i="104"/>
  <c r="D67" i="104" l="1"/>
  <c r="C70" i="104"/>
  <c r="D65" i="104"/>
  <c r="B70" i="104"/>
  <c r="D70" i="104" l="1"/>
  <c r="D16" i="91"/>
  <c r="F16" i="91" l="1"/>
  <c r="F15" i="91"/>
  <c r="F14" i="91"/>
  <c r="F13" i="91"/>
  <c r="F12" i="91"/>
  <c r="F11" i="91"/>
  <c r="F10" i="91"/>
  <c r="F9" i="91"/>
  <c r="F8" i="91"/>
  <c r="F7" i="91"/>
  <c r="H14" i="103" l="1"/>
  <c r="H21" i="103" s="1"/>
  <c r="J14" i="103"/>
  <c r="D39" i="92" s="1"/>
  <c r="H15" i="103"/>
  <c r="J15" i="103"/>
  <c r="J21" i="103" s="1"/>
  <c r="H16" i="103"/>
  <c r="J16" i="103"/>
  <c r="H17" i="103"/>
  <c r="J17" i="103"/>
  <c r="H18" i="103"/>
  <c r="J18" i="103"/>
  <c r="H19" i="103"/>
  <c r="J19" i="103"/>
  <c r="H20" i="103"/>
  <c r="J20" i="103"/>
  <c r="F21" i="103"/>
  <c r="A8" i="102" l="1"/>
  <c r="A9" i="102"/>
  <c r="C30" i="102"/>
  <c r="J30" i="102"/>
  <c r="L30" i="102" s="1"/>
  <c r="N30" i="102"/>
  <c r="V30" i="102"/>
  <c r="Z30" i="102"/>
  <c r="A31" i="102"/>
  <c r="B31" i="102"/>
  <c r="C31" i="102"/>
  <c r="J31" i="102"/>
  <c r="L31" i="102" s="1"/>
  <c r="K31" i="102" s="1"/>
  <c r="N31" i="102"/>
  <c r="Z31" i="102" s="1"/>
  <c r="V31" i="102"/>
  <c r="X31" i="102" s="1"/>
  <c r="B32" i="102"/>
  <c r="A32" i="102" s="1"/>
  <c r="C32" i="102" s="1"/>
  <c r="J32" i="102"/>
  <c r="L32" i="102"/>
  <c r="N32" i="102"/>
  <c r="Z32" i="102" s="1"/>
  <c r="V32" i="102"/>
  <c r="X32" i="102"/>
  <c r="W32" i="102" s="1"/>
  <c r="J33" i="102"/>
  <c r="L33" i="102"/>
  <c r="N33" i="102"/>
  <c r="Z33" i="102" s="1"/>
  <c r="V33" i="102"/>
  <c r="X33" i="102" s="1"/>
  <c r="J34" i="102"/>
  <c r="L34" i="102" s="1"/>
  <c r="K34" i="102" s="1"/>
  <c r="N34" i="102"/>
  <c r="Z34" i="102" s="1"/>
  <c r="AA34" i="102" s="1"/>
  <c r="V34" i="102"/>
  <c r="X34" i="102" s="1"/>
  <c r="W34" i="102" s="1"/>
  <c r="J35" i="102"/>
  <c r="L35" i="102" s="1"/>
  <c r="K35" i="102" s="1"/>
  <c r="N35" i="102"/>
  <c r="V35" i="102"/>
  <c r="X35" i="102"/>
  <c r="Z35" i="102"/>
  <c r="J36" i="102"/>
  <c r="L36" i="102" s="1"/>
  <c r="K36" i="102" s="1"/>
  <c r="N36" i="102"/>
  <c r="O36" i="102"/>
  <c r="V36" i="102"/>
  <c r="X36" i="102"/>
  <c r="W36" i="102" s="1"/>
  <c r="Z36" i="102"/>
  <c r="J37" i="102"/>
  <c r="L37" i="102"/>
  <c r="N37" i="102"/>
  <c r="Z37" i="102" s="1"/>
  <c r="V37" i="102"/>
  <c r="X37" i="102" s="1"/>
  <c r="J38" i="102"/>
  <c r="L38" i="102" s="1"/>
  <c r="N38" i="102"/>
  <c r="Z38" i="102" s="1"/>
  <c r="V38" i="102"/>
  <c r="X38" i="102" s="1"/>
  <c r="W38" i="102" s="1"/>
  <c r="J39" i="102"/>
  <c r="L39" i="102" s="1"/>
  <c r="N39" i="102"/>
  <c r="V39" i="102"/>
  <c r="X39" i="102" s="1"/>
  <c r="Z39" i="102"/>
  <c r="J40" i="102"/>
  <c r="L40" i="102" s="1"/>
  <c r="N40" i="102"/>
  <c r="V40" i="102"/>
  <c r="X40" i="102" s="1"/>
  <c r="W40" i="102" s="1"/>
  <c r="Z40" i="102"/>
  <c r="J41" i="102"/>
  <c r="L41" i="102"/>
  <c r="N41" i="102"/>
  <c r="Z41" i="102" s="1"/>
  <c r="V41" i="102"/>
  <c r="X41" i="102"/>
  <c r="J42" i="102"/>
  <c r="L42" i="102" s="1"/>
  <c r="K42" i="102" s="1"/>
  <c r="N42" i="102"/>
  <c r="V42" i="102"/>
  <c r="X42" i="102" s="1"/>
  <c r="W42" i="102" s="1"/>
  <c r="Z42" i="102"/>
  <c r="AA42" i="102"/>
  <c r="J43" i="102"/>
  <c r="L43" i="102" s="1"/>
  <c r="K43" i="102" s="1"/>
  <c r="N43" i="102"/>
  <c r="O43" i="102" s="1"/>
  <c r="V43" i="102"/>
  <c r="X43" i="102" s="1"/>
  <c r="W43" i="102" s="1"/>
  <c r="J44" i="102"/>
  <c r="L44" i="102"/>
  <c r="N44" i="102"/>
  <c r="Z44" i="102" s="1"/>
  <c r="V44" i="102"/>
  <c r="X44" i="102" s="1"/>
  <c r="W44" i="102" s="1"/>
  <c r="J45" i="102"/>
  <c r="K45" i="102"/>
  <c r="L45" i="102"/>
  <c r="O45" i="102" s="1"/>
  <c r="N45" i="102"/>
  <c r="Z45" i="102" s="1"/>
  <c r="V45" i="102"/>
  <c r="X45" i="102" s="1"/>
  <c r="J46" i="102"/>
  <c r="L46" i="102" s="1"/>
  <c r="N46" i="102"/>
  <c r="Z46" i="102" s="1"/>
  <c r="V46" i="102"/>
  <c r="X46" i="102" s="1"/>
  <c r="W46" i="102" s="1"/>
  <c r="J47" i="102"/>
  <c r="L47" i="102" s="1"/>
  <c r="O47" i="102" s="1"/>
  <c r="K47" i="102"/>
  <c r="N47" i="102"/>
  <c r="V47" i="102"/>
  <c r="X47" i="102"/>
  <c r="Z47" i="102"/>
  <c r="J48" i="102"/>
  <c r="L48" i="102"/>
  <c r="N48" i="102"/>
  <c r="V48" i="102"/>
  <c r="X48" i="102"/>
  <c r="W48" i="102" s="1"/>
  <c r="Z48" i="102"/>
  <c r="J49" i="102"/>
  <c r="L49" i="102"/>
  <c r="N49" i="102"/>
  <c r="Z49" i="102" s="1"/>
  <c r="V49" i="102"/>
  <c r="X49" i="102"/>
  <c r="J50" i="102"/>
  <c r="L50" i="102" s="1"/>
  <c r="K50" i="102" s="1"/>
  <c r="N50" i="102"/>
  <c r="Z50" i="102" s="1"/>
  <c r="AA50" i="102" s="1"/>
  <c r="V50" i="102"/>
  <c r="X50" i="102" s="1"/>
  <c r="W50" i="102" s="1"/>
  <c r="J51" i="102"/>
  <c r="L51" i="102" s="1"/>
  <c r="K51" i="102"/>
  <c r="N51" i="102"/>
  <c r="O51" i="102"/>
  <c r="V51" i="102"/>
  <c r="X51" i="102" s="1"/>
  <c r="Z51" i="102"/>
  <c r="J52" i="102"/>
  <c r="L52" i="102" s="1"/>
  <c r="N52" i="102"/>
  <c r="V52" i="102"/>
  <c r="X52" i="102" s="1"/>
  <c r="W52" i="102" s="1"/>
  <c r="Z52" i="102"/>
  <c r="J53" i="102"/>
  <c r="L53" i="102" s="1"/>
  <c r="O53" i="102" s="1"/>
  <c r="N53" i="102"/>
  <c r="Z53" i="102" s="1"/>
  <c r="V53" i="102"/>
  <c r="X53" i="102" s="1"/>
  <c r="J54" i="102"/>
  <c r="L54" i="102" s="1"/>
  <c r="N54" i="102"/>
  <c r="V54" i="102"/>
  <c r="X54" i="102" s="1"/>
  <c r="AA54" i="102" s="1"/>
  <c r="W54" i="102"/>
  <c r="Z54" i="102"/>
  <c r="J55" i="102"/>
  <c r="L55" i="102" s="1"/>
  <c r="O55" i="102" s="1"/>
  <c r="K55" i="102"/>
  <c r="N55" i="102"/>
  <c r="Z55" i="102" s="1"/>
  <c r="V55" i="102"/>
  <c r="X55" i="102"/>
  <c r="W55" i="102" s="1"/>
  <c r="J56" i="102"/>
  <c r="L56" i="102"/>
  <c r="N56" i="102"/>
  <c r="Z56" i="102" s="1"/>
  <c r="V56" i="102"/>
  <c r="X56" i="102"/>
  <c r="W56" i="102" s="1"/>
  <c r="J57" i="102"/>
  <c r="L57" i="102" s="1"/>
  <c r="N57" i="102"/>
  <c r="Z57" i="102" s="1"/>
  <c r="V57" i="102"/>
  <c r="X57" i="102" s="1"/>
  <c r="J58" i="102"/>
  <c r="N58" i="102"/>
  <c r="Z58" i="102" s="1"/>
  <c r="AA58" i="102" s="1"/>
  <c r="V58" i="102"/>
  <c r="X58" i="102" s="1"/>
  <c r="W58" i="102"/>
  <c r="J59" i="102"/>
  <c r="L59" i="102" s="1"/>
  <c r="K59" i="102" s="1"/>
  <c r="N59" i="102"/>
  <c r="Z59" i="102" s="1"/>
  <c r="O59" i="102"/>
  <c r="V59" i="102"/>
  <c r="X59" i="102"/>
  <c r="J60" i="102"/>
  <c r="L60" i="102" s="1"/>
  <c r="N60" i="102"/>
  <c r="V60" i="102"/>
  <c r="X60" i="102" s="1"/>
  <c r="W60" i="102" s="1"/>
  <c r="Z60" i="102"/>
  <c r="J61" i="102"/>
  <c r="L61" i="102" s="1"/>
  <c r="O61" i="102" s="1"/>
  <c r="N61" i="102"/>
  <c r="Z61" i="102" s="1"/>
  <c r="V61" i="102"/>
  <c r="X61" i="102" s="1"/>
  <c r="J62" i="102"/>
  <c r="L62" i="102" s="1"/>
  <c r="N62" i="102"/>
  <c r="V62" i="102"/>
  <c r="X62" i="102" s="1"/>
  <c r="AA62" i="102" s="1"/>
  <c r="W62" i="102"/>
  <c r="Z62" i="102"/>
  <c r="J63" i="102"/>
  <c r="L63" i="102" s="1"/>
  <c r="O63" i="102" s="1"/>
  <c r="K63" i="102"/>
  <c r="N63" i="102"/>
  <c r="V63" i="102"/>
  <c r="X63" i="102"/>
  <c r="Z63" i="102"/>
  <c r="J64" i="102"/>
  <c r="L64" i="102" s="1"/>
  <c r="N64" i="102"/>
  <c r="V64" i="102"/>
  <c r="W64" i="102"/>
  <c r="X64" i="102"/>
  <c r="Z64" i="102"/>
  <c r="J65" i="102"/>
  <c r="L65" i="102"/>
  <c r="K65" i="102" s="1"/>
  <c r="N65" i="102"/>
  <c r="Z65" i="102" s="1"/>
  <c r="V65" i="102"/>
  <c r="X65" i="102"/>
  <c r="J66" i="102"/>
  <c r="L66" i="102"/>
  <c r="N66" i="102"/>
  <c r="V66" i="102"/>
  <c r="X66" i="102" s="1"/>
  <c r="W66" i="102"/>
  <c r="Z66" i="102"/>
  <c r="J67" i="102"/>
  <c r="L67" i="102" s="1"/>
  <c r="K67" i="102"/>
  <c r="N67" i="102"/>
  <c r="Z67" i="102" s="1"/>
  <c r="V67" i="102"/>
  <c r="X67" i="102" s="1"/>
  <c r="W67" i="102" s="1"/>
  <c r="J68" i="102"/>
  <c r="L68" i="102"/>
  <c r="K68" i="102" s="1"/>
  <c r="N68" i="102"/>
  <c r="Z68" i="102" s="1"/>
  <c r="V68" i="102"/>
  <c r="X68" i="102"/>
  <c r="W68" i="102" s="1"/>
  <c r="J69" i="102"/>
  <c r="L69" i="102"/>
  <c r="N69" i="102"/>
  <c r="Z69" i="102" s="1"/>
  <c r="V69" i="102"/>
  <c r="X69" i="102" s="1"/>
  <c r="W69" i="102"/>
  <c r="AA69" i="102"/>
  <c r="J70" i="102"/>
  <c r="L70" i="102" s="1"/>
  <c r="K70" i="102" s="1"/>
  <c r="N70" i="102"/>
  <c r="Z70" i="102" s="1"/>
  <c r="O70" i="102"/>
  <c r="V70" i="102"/>
  <c r="X70" i="102"/>
  <c r="J71" i="102"/>
  <c r="L71" i="102" s="1"/>
  <c r="K71" i="102" s="1"/>
  <c r="N71" i="102"/>
  <c r="Z71" i="102" s="1"/>
  <c r="V71" i="102"/>
  <c r="X71" i="102" s="1"/>
  <c r="AA71" i="102" s="1"/>
  <c r="J72" i="102"/>
  <c r="K72" i="102"/>
  <c r="L72" i="102"/>
  <c r="N72" i="102"/>
  <c r="Z72" i="102" s="1"/>
  <c r="V72" i="102"/>
  <c r="X72" i="102" s="1"/>
  <c r="W72" i="102" s="1"/>
  <c r="J73" i="102"/>
  <c r="L73" i="102" s="1"/>
  <c r="N73" i="102"/>
  <c r="Z73" i="102" s="1"/>
  <c r="V73" i="102"/>
  <c r="X73" i="102" s="1"/>
  <c r="J74" i="102"/>
  <c r="L74" i="102" s="1"/>
  <c r="N74" i="102"/>
  <c r="Z74" i="102" s="1"/>
  <c r="V74" i="102"/>
  <c r="X74" i="102" s="1"/>
  <c r="J75" i="102"/>
  <c r="L75" i="102" s="1"/>
  <c r="K75" i="102" s="1"/>
  <c r="N75" i="102"/>
  <c r="Z75" i="102" s="1"/>
  <c r="V75" i="102"/>
  <c r="W75" i="102"/>
  <c r="X75" i="102"/>
  <c r="AA75" i="102" s="1"/>
  <c r="J76" i="102"/>
  <c r="L76" i="102" s="1"/>
  <c r="N76" i="102"/>
  <c r="Z76" i="102" s="1"/>
  <c r="V76" i="102"/>
  <c r="X76" i="102" s="1"/>
  <c r="J77" i="102"/>
  <c r="L77" i="102" s="1"/>
  <c r="K77" i="102" s="1"/>
  <c r="N77" i="102"/>
  <c r="Z77" i="102" s="1"/>
  <c r="V77" i="102"/>
  <c r="X77" i="102" s="1"/>
  <c r="J78" i="102"/>
  <c r="L78" i="102" s="1"/>
  <c r="N78" i="102"/>
  <c r="Z78" i="102" s="1"/>
  <c r="V78" i="102"/>
  <c r="X78" i="102"/>
  <c r="J79" i="102"/>
  <c r="K79" i="102"/>
  <c r="L79" i="102"/>
  <c r="N79" i="102"/>
  <c r="Z79" i="102" s="1"/>
  <c r="V79" i="102"/>
  <c r="X79" i="102" s="1"/>
  <c r="AA79" i="102" s="1"/>
  <c r="W79" i="102"/>
  <c r="J80" i="102"/>
  <c r="K80" i="102"/>
  <c r="L80" i="102"/>
  <c r="N80" i="102"/>
  <c r="Z80" i="102" s="1"/>
  <c r="V80" i="102"/>
  <c r="X80" i="102" s="1"/>
  <c r="J81" i="102"/>
  <c r="L81" i="102"/>
  <c r="N81" i="102"/>
  <c r="V81" i="102"/>
  <c r="X81" i="102" s="1"/>
  <c r="Z81" i="102"/>
  <c r="J82" i="102"/>
  <c r="L82" i="102" s="1"/>
  <c r="N82" i="102"/>
  <c r="Z82" i="102" s="1"/>
  <c r="V82" i="102"/>
  <c r="X82" i="102" s="1"/>
  <c r="W82" i="102" s="1"/>
  <c r="AA82" i="102"/>
  <c r="J83" i="102"/>
  <c r="L83" i="102" s="1"/>
  <c r="K83" i="102" s="1"/>
  <c r="N83" i="102"/>
  <c r="V83" i="102"/>
  <c r="X83" i="102"/>
  <c r="W83" i="102" s="1"/>
  <c r="Z83" i="102"/>
  <c r="J84" i="102"/>
  <c r="L84" i="102"/>
  <c r="K84" i="102" s="1"/>
  <c r="N84" i="102"/>
  <c r="Z84" i="102" s="1"/>
  <c r="V84" i="102"/>
  <c r="X84" i="102" s="1"/>
  <c r="J85" i="102"/>
  <c r="L85" i="102" s="1"/>
  <c r="N85" i="102"/>
  <c r="V85" i="102"/>
  <c r="X85" i="102" s="1"/>
  <c r="AA85" i="102" s="1"/>
  <c r="W85" i="102"/>
  <c r="Z85" i="102"/>
  <c r="J86" i="102"/>
  <c r="L86" i="102" s="1"/>
  <c r="K86" i="102" s="1"/>
  <c r="N86" i="102"/>
  <c r="Z86" i="102" s="1"/>
  <c r="AA86" i="102" s="1"/>
  <c r="V86" i="102"/>
  <c r="X86" i="102" s="1"/>
  <c r="W86" i="102" s="1"/>
  <c r="J87" i="102"/>
  <c r="L87" i="102" s="1"/>
  <c r="N87" i="102"/>
  <c r="Z87" i="102" s="1"/>
  <c r="V87" i="102"/>
  <c r="X87" i="102" s="1"/>
  <c r="J88" i="102"/>
  <c r="L88" i="102" s="1"/>
  <c r="K88" i="102" s="1"/>
  <c r="N88" i="102"/>
  <c r="Z88" i="102" s="1"/>
  <c r="V88" i="102"/>
  <c r="X88" i="102" s="1"/>
  <c r="J89" i="102"/>
  <c r="L89" i="102" s="1"/>
  <c r="N89" i="102"/>
  <c r="Z89" i="102" s="1"/>
  <c r="V89" i="102"/>
  <c r="X89" i="102" s="1"/>
  <c r="J90" i="102"/>
  <c r="L90" i="102" s="1"/>
  <c r="O90" i="102" s="1"/>
  <c r="N90" i="102"/>
  <c r="Z90" i="102" s="1"/>
  <c r="V90" i="102"/>
  <c r="X90" i="102" s="1"/>
  <c r="W90" i="102" s="1"/>
  <c r="J91" i="102"/>
  <c r="L91" i="102" s="1"/>
  <c r="K91" i="102" s="1"/>
  <c r="N91" i="102"/>
  <c r="Z91" i="102" s="1"/>
  <c r="V91" i="102"/>
  <c r="X91" i="102"/>
  <c r="J92" i="102"/>
  <c r="L92" i="102" s="1"/>
  <c r="K92" i="102" s="1"/>
  <c r="N92" i="102"/>
  <c r="Z92" i="102" s="1"/>
  <c r="V92" i="102"/>
  <c r="X92" i="102" s="1"/>
  <c r="J93" i="102"/>
  <c r="L93" i="102"/>
  <c r="N93" i="102"/>
  <c r="V93" i="102"/>
  <c r="X93" i="102" s="1"/>
  <c r="W93" i="102" s="1"/>
  <c r="Z93" i="102"/>
  <c r="J94" i="102"/>
  <c r="L94" i="102" s="1"/>
  <c r="O94" i="102" s="1"/>
  <c r="N94" i="102"/>
  <c r="Z94" i="102" s="1"/>
  <c r="V94" i="102"/>
  <c r="X94" i="102" s="1"/>
  <c r="J95" i="102"/>
  <c r="L95" i="102" s="1"/>
  <c r="K95" i="102" s="1"/>
  <c r="N95" i="102"/>
  <c r="Z95" i="102" s="1"/>
  <c r="V95" i="102"/>
  <c r="W95" i="102"/>
  <c r="X95" i="102"/>
  <c r="J96" i="102"/>
  <c r="L96" i="102" s="1"/>
  <c r="N96" i="102"/>
  <c r="Z96" i="102" s="1"/>
  <c r="V96" i="102"/>
  <c r="X96" i="102"/>
  <c r="J97" i="102"/>
  <c r="L97" i="102" s="1"/>
  <c r="N97" i="102"/>
  <c r="Z97" i="102" s="1"/>
  <c r="V97" i="102"/>
  <c r="X97" i="102" s="1"/>
  <c r="J98" i="102"/>
  <c r="L98" i="102" s="1"/>
  <c r="N98" i="102"/>
  <c r="Z98" i="102" s="1"/>
  <c r="V98" i="102"/>
  <c r="X98" i="102" s="1"/>
  <c r="J99" i="102"/>
  <c r="L99" i="102" s="1"/>
  <c r="K99" i="102" s="1"/>
  <c r="N99" i="102"/>
  <c r="O99" i="102"/>
  <c r="V99" i="102"/>
  <c r="X99" i="102" s="1"/>
  <c r="W99" i="102" s="1"/>
  <c r="Z99" i="102"/>
  <c r="J100" i="102"/>
  <c r="L100" i="102"/>
  <c r="K100" i="102" s="1"/>
  <c r="N100" i="102"/>
  <c r="Z100" i="102" s="1"/>
  <c r="V100" i="102"/>
  <c r="X100" i="102"/>
  <c r="J101" i="102"/>
  <c r="L101" i="102"/>
  <c r="N101" i="102"/>
  <c r="V101" i="102"/>
  <c r="X101" i="102" s="1"/>
  <c r="W101" i="102"/>
  <c r="Z101" i="102"/>
  <c r="J102" i="102"/>
  <c r="L102" i="102" s="1"/>
  <c r="O102" i="102" s="1"/>
  <c r="K102" i="102"/>
  <c r="N102" i="102"/>
  <c r="Z102" i="102" s="1"/>
  <c r="V102" i="102"/>
  <c r="X102" i="102" s="1"/>
  <c r="J103" i="102"/>
  <c r="L103" i="102"/>
  <c r="K103" i="102" s="1"/>
  <c r="N103" i="102"/>
  <c r="V103" i="102"/>
  <c r="X103" i="102"/>
  <c r="Z103" i="102"/>
  <c r="J104" i="102"/>
  <c r="L104" i="102"/>
  <c r="K104" i="102" s="1"/>
  <c r="N104" i="102"/>
  <c r="Z104" i="102" s="1"/>
  <c r="V104" i="102"/>
  <c r="X104" i="102" s="1"/>
  <c r="J105" i="102"/>
  <c r="L105" i="102" s="1"/>
  <c r="N105" i="102"/>
  <c r="Z105" i="102" s="1"/>
  <c r="V105" i="102"/>
  <c r="X105" i="102" s="1"/>
  <c r="J106" i="102"/>
  <c r="L106" i="102" s="1"/>
  <c r="O106" i="102" s="1"/>
  <c r="K106" i="102"/>
  <c r="N106" i="102"/>
  <c r="V106" i="102"/>
  <c r="X106" i="102"/>
  <c r="Z106" i="102"/>
  <c r="J107" i="102"/>
  <c r="L107" i="102"/>
  <c r="N107" i="102"/>
  <c r="V107" i="102"/>
  <c r="X107" i="102"/>
  <c r="W107" i="102" s="1"/>
  <c r="Z107" i="102"/>
  <c r="J108" i="102"/>
  <c r="L108" i="102"/>
  <c r="N108" i="102"/>
  <c r="Z108" i="102" s="1"/>
  <c r="V108" i="102"/>
  <c r="X108" i="102"/>
  <c r="J109" i="102"/>
  <c r="L109" i="102" s="1"/>
  <c r="N109" i="102"/>
  <c r="Z109" i="102" s="1"/>
  <c r="AA109" i="102" s="1"/>
  <c r="V109" i="102"/>
  <c r="X109" i="102" s="1"/>
  <c r="W109" i="102" s="1"/>
  <c r="J110" i="102"/>
  <c r="L110" i="102" s="1"/>
  <c r="O110" i="102" s="1"/>
  <c r="K110" i="102"/>
  <c r="N110" i="102"/>
  <c r="Z110" i="102" s="1"/>
  <c r="V110" i="102"/>
  <c r="X110" i="102" s="1"/>
  <c r="J111" i="102"/>
  <c r="L111" i="102"/>
  <c r="N111" i="102"/>
  <c r="V111" i="102"/>
  <c r="X111" i="102"/>
  <c r="W111" i="102" s="1"/>
  <c r="Z111" i="102"/>
  <c r="J112" i="102"/>
  <c r="L112" i="102"/>
  <c r="N112" i="102"/>
  <c r="Z112" i="102" s="1"/>
  <c r="V112" i="102"/>
  <c r="X112" i="102" s="1"/>
  <c r="J113" i="102"/>
  <c r="L113" i="102" s="1"/>
  <c r="N113" i="102"/>
  <c r="Z113" i="102" s="1"/>
  <c r="V113" i="102"/>
  <c r="X113" i="102" s="1"/>
  <c r="J114" i="102"/>
  <c r="L114" i="102" s="1"/>
  <c r="N114" i="102"/>
  <c r="Z114" i="102" s="1"/>
  <c r="V114" i="102"/>
  <c r="X114" i="102" s="1"/>
  <c r="J115" i="102"/>
  <c r="L115" i="102" s="1"/>
  <c r="N115" i="102"/>
  <c r="Z115" i="102" s="1"/>
  <c r="V115" i="102"/>
  <c r="W115" i="102"/>
  <c r="X115" i="102"/>
  <c r="J116" i="102"/>
  <c r="L116" i="102"/>
  <c r="N116" i="102"/>
  <c r="Z116" i="102" s="1"/>
  <c r="V116" i="102"/>
  <c r="X116" i="102" s="1"/>
  <c r="J117" i="102"/>
  <c r="L117" i="102" s="1"/>
  <c r="N117" i="102"/>
  <c r="Z117" i="102" s="1"/>
  <c r="V117" i="102"/>
  <c r="X117" i="102" s="1"/>
  <c r="W117" i="102"/>
  <c r="J118" i="102"/>
  <c r="L118" i="102" s="1"/>
  <c r="K118" i="102"/>
  <c r="N118" i="102"/>
  <c r="V118" i="102"/>
  <c r="X118" i="102"/>
  <c r="Z118" i="102"/>
  <c r="J119" i="102"/>
  <c r="L119" i="102"/>
  <c r="K119" i="102" s="1"/>
  <c r="N119" i="102"/>
  <c r="O119" i="102"/>
  <c r="V119" i="102"/>
  <c r="X119" i="102" s="1"/>
  <c r="W119" i="102" s="1"/>
  <c r="Z119" i="102"/>
  <c r="J120" i="102"/>
  <c r="L120" i="102" s="1"/>
  <c r="N120" i="102"/>
  <c r="Z120" i="102" s="1"/>
  <c r="V120" i="102"/>
  <c r="X120" i="102" s="1"/>
  <c r="J121" i="102"/>
  <c r="L121" i="102" s="1"/>
  <c r="N121" i="102"/>
  <c r="V121" i="102"/>
  <c r="X121" i="102" s="1"/>
  <c r="AA121" i="102" s="1"/>
  <c r="Z121" i="102"/>
  <c r="J122" i="102"/>
  <c r="L122" i="102" s="1"/>
  <c r="K122" i="102" s="1"/>
  <c r="N122" i="102"/>
  <c r="O122" i="102" s="1"/>
  <c r="V122" i="102"/>
  <c r="X122" i="102"/>
  <c r="J123" i="102"/>
  <c r="L123" i="102" s="1"/>
  <c r="N123" i="102"/>
  <c r="V123" i="102"/>
  <c r="X123" i="102"/>
  <c r="W123" i="102" s="1"/>
  <c r="Z123" i="102"/>
  <c r="J124" i="102"/>
  <c r="L124" i="102"/>
  <c r="N124" i="102"/>
  <c r="Z124" i="102" s="1"/>
  <c r="V124" i="102"/>
  <c r="X124" i="102" s="1"/>
  <c r="J125" i="102"/>
  <c r="L125" i="102" s="1"/>
  <c r="N125" i="102"/>
  <c r="Z125" i="102" s="1"/>
  <c r="V125" i="102"/>
  <c r="X125" i="102" s="1"/>
  <c r="J126" i="102"/>
  <c r="L126" i="102" s="1"/>
  <c r="N126" i="102"/>
  <c r="V126" i="102"/>
  <c r="X126" i="102" s="1"/>
  <c r="Z126" i="102"/>
  <c r="J127" i="102"/>
  <c r="L127" i="102" s="1"/>
  <c r="N127" i="102"/>
  <c r="Z127" i="102" s="1"/>
  <c r="V127" i="102"/>
  <c r="X127" i="102"/>
  <c r="W127" i="102" s="1"/>
  <c r="J128" i="102"/>
  <c r="L128" i="102"/>
  <c r="N128" i="102"/>
  <c r="Z128" i="102" s="1"/>
  <c r="V128" i="102"/>
  <c r="X128" i="102" s="1"/>
  <c r="J129" i="102"/>
  <c r="L129" i="102" s="1"/>
  <c r="N129" i="102"/>
  <c r="Z129" i="102" s="1"/>
  <c r="V129" i="102"/>
  <c r="X129" i="102" s="1"/>
  <c r="J130" i="102"/>
  <c r="L130" i="102" s="1"/>
  <c r="O130" i="102" s="1"/>
  <c r="K130" i="102"/>
  <c r="N130" i="102"/>
  <c r="Z130" i="102" s="1"/>
  <c r="V130" i="102"/>
  <c r="X130" i="102" s="1"/>
  <c r="J131" i="102"/>
  <c r="L131" i="102"/>
  <c r="N131" i="102"/>
  <c r="Z131" i="102" s="1"/>
  <c r="V131" i="102"/>
  <c r="X131" i="102"/>
  <c r="W131" i="102" s="1"/>
  <c r="J132" i="102"/>
  <c r="L132" i="102" s="1"/>
  <c r="N132" i="102"/>
  <c r="Z132" i="102" s="1"/>
  <c r="V132" i="102"/>
  <c r="X132" i="102" s="1"/>
  <c r="J133" i="102"/>
  <c r="L133" i="102" s="1"/>
  <c r="N133" i="102"/>
  <c r="Z133" i="102" s="1"/>
  <c r="AA133" i="102" s="1"/>
  <c r="V133" i="102"/>
  <c r="X133" i="102" s="1"/>
  <c r="W133" i="102" s="1"/>
  <c r="J134" i="102"/>
  <c r="L134" i="102" s="1"/>
  <c r="K134" i="102"/>
  <c r="N134" i="102"/>
  <c r="Z134" i="102" s="1"/>
  <c r="V134" i="102"/>
  <c r="X134" i="102" s="1"/>
  <c r="J135" i="102"/>
  <c r="L135" i="102" s="1"/>
  <c r="K135" i="102" s="1"/>
  <c r="N135" i="102"/>
  <c r="Z135" i="102" s="1"/>
  <c r="V135" i="102"/>
  <c r="X135" i="102" s="1"/>
  <c r="J136" i="102"/>
  <c r="L136" i="102" s="1"/>
  <c r="N136" i="102"/>
  <c r="Z136" i="102" s="1"/>
  <c r="V136" i="102"/>
  <c r="X136" i="102"/>
  <c r="J137" i="102"/>
  <c r="L137" i="102" s="1"/>
  <c r="N137" i="102"/>
  <c r="Z137" i="102" s="1"/>
  <c r="V137" i="102"/>
  <c r="X137" i="102" s="1"/>
  <c r="J138" i="102"/>
  <c r="L138" i="102" s="1"/>
  <c r="K138" i="102"/>
  <c r="N138" i="102"/>
  <c r="V138" i="102"/>
  <c r="X138" i="102" s="1"/>
  <c r="W138" i="102" s="1"/>
  <c r="Z138" i="102"/>
  <c r="AA138" i="102" s="1"/>
  <c r="J139" i="102"/>
  <c r="L139" i="102" s="1"/>
  <c r="K139" i="102" s="1"/>
  <c r="N139" i="102"/>
  <c r="Z139" i="102" s="1"/>
  <c r="V139" i="102"/>
  <c r="X139" i="102" s="1"/>
  <c r="J140" i="102"/>
  <c r="L140" i="102"/>
  <c r="N140" i="102"/>
  <c r="Z140" i="102" s="1"/>
  <c r="V140" i="102"/>
  <c r="X140" i="102" s="1"/>
  <c r="J141" i="102"/>
  <c r="L141" i="102" s="1"/>
  <c r="N141" i="102"/>
  <c r="V141" i="102"/>
  <c r="X141" i="102" s="1"/>
  <c r="AA141" i="102" s="1"/>
  <c r="Z141" i="102"/>
  <c r="J142" i="102"/>
  <c r="L142" i="102" s="1"/>
  <c r="K142" i="102" s="1"/>
  <c r="N142" i="102"/>
  <c r="Z142" i="102" s="1"/>
  <c r="V142" i="102"/>
  <c r="X142" i="102" s="1"/>
  <c r="J143" i="102"/>
  <c r="L143" i="102" s="1"/>
  <c r="K143" i="102" s="1"/>
  <c r="N143" i="102"/>
  <c r="Z143" i="102" s="1"/>
  <c r="V143" i="102"/>
  <c r="X143" i="102"/>
  <c r="J144" i="102"/>
  <c r="L144" i="102" s="1"/>
  <c r="N144" i="102"/>
  <c r="Z144" i="102" s="1"/>
  <c r="V144" i="102"/>
  <c r="X144" i="102" s="1"/>
  <c r="J145" i="102"/>
  <c r="L145" i="102"/>
  <c r="N145" i="102"/>
  <c r="Z145" i="102" s="1"/>
  <c r="V145" i="102"/>
  <c r="X145" i="102" s="1"/>
  <c r="J146" i="102"/>
  <c r="L146" i="102" s="1"/>
  <c r="O146" i="102" s="1"/>
  <c r="K146" i="102"/>
  <c r="N146" i="102"/>
  <c r="Z146" i="102" s="1"/>
  <c r="AA146" i="102" s="1"/>
  <c r="V146" i="102"/>
  <c r="X146" i="102" s="1"/>
  <c r="W146" i="102" s="1"/>
  <c r="J147" i="102"/>
  <c r="L147" i="102" s="1"/>
  <c r="K147" i="102" s="1"/>
  <c r="N147" i="102"/>
  <c r="O147" i="102"/>
  <c r="V147" i="102"/>
  <c r="X147" i="102" s="1"/>
  <c r="Z147" i="102"/>
  <c r="J148" i="102"/>
  <c r="L148" i="102"/>
  <c r="N148" i="102"/>
  <c r="Z148" i="102" s="1"/>
  <c r="V148" i="102"/>
  <c r="X148" i="102"/>
  <c r="J149" i="102"/>
  <c r="L149" i="102" s="1"/>
  <c r="N149" i="102"/>
  <c r="V149" i="102"/>
  <c r="X149" i="102" s="1"/>
  <c r="W149" i="102"/>
  <c r="Z149" i="102"/>
  <c r="J150" i="102"/>
  <c r="L150" i="102" s="1"/>
  <c r="K150" i="102"/>
  <c r="N150" i="102"/>
  <c r="Z150" i="102" s="1"/>
  <c r="V150" i="102"/>
  <c r="X150" i="102" s="1"/>
  <c r="J151" i="102"/>
  <c r="L151" i="102" s="1"/>
  <c r="K151" i="102" s="1"/>
  <c r="N151" i="102"/>
  <c r="Z151" i="102" s="1"/>
  <c r="V151" i="102"/>
  <c r="X151" i="102" s="1"/>
  <c r="J152" i="102"/>
  <c r="L152" i="102" s="1"/>
  <c r="N152" i="102"/>
  <c r="Z152" i="102" s="1"/>
  <c r="V152" i="102"/>
  <c r="X152" i="102"/>
  <c r="J153" i="102"/>
  <c r="L153" i="102" s="1"/>
  <c r="N153" i="102"/>
  <c r="Z153" i="102" s="1"/>
  <c r="V153" i="102"/>
  <c r="X153" i="102" s="1"/>
  <c r="J154" i="102"/>
  <c r="L154" i="102" s="1"/>
  <c r="K154" i="102"/>
  <c r="N154" i="102"/>
  <c r="V154" i="102"/>
  <c r="X154" i="102" s="1"/>
  <c r="W154" i="102" s="1"/>
  <c r="Z154" i="102"/>
  <c r="AA154" i="102"/>
  <c r="J155" i="102"/>
  <c r="L155" i="102" s="1"/>
  <c r="K155" i="102" s="1"/>
  <c r="N155" i="102"/>
  <c r="Z155" i="102" s="1"/>
  <c r="V155" i="102"/>
  <c r="X155" i="102" s="1"/>
  <c r="J156" i="102"/>
  <c r="L156" i="102"/>
  <c r="N156" i="102"/>
  <c r="Z156" i="102" s="1"/>
  <c r="V156" i="102"/>
  <c r="X156" i="102" s="1"/>
  <c r="J157" i="102"/>
  <c r="L157" i="102" s="1"/>
  <c r="N157" i="102"/>
  <c r="V157" i="102"/>
  <c r="X157" i="102" s="1"/>
  <c r="AA157" i="102" s="1"/>
  <c r="Z157" i="102"/>
  <c r="J158" i="102"/>
  <c r="L158" i="102" s="1"/>
  <c r="K158" i="102" s="1"/>
  <c r="N158" i="102"/>
  <c r="Z158" i="102" s="1"/>
  <c r="V158" i="102"/>
  <c r="X158" i="102" s="1"/>
  <c r="J159" i="102"/>
  <c r="L159" i="102" s="1"/>
  <c r="K159" i="102" s="1"/>
  <c r="N159" i="102"/>
  <c r="Z159" i="102" s="1"/>
  <c r="V159" i="102"/>
  <c r="X159" i="102"/>
  <c r="J160" i="102"/>
  <c r="L160" i="102" s="1"/>
  <c r="N160" i="102"/>
  <c r="Z160" i="102" s="1"/>
  <c r="V160" i="102"/>
  <c r="X160" i="102"/>
  <c r="J161" i="102"/>
  <c r="L161" i="102"/>
  <c r="N161" i="102"/>
  <c r="Z161" i="102" s="1"/>
  <c r="V161" i="102"/>
  <c r="X161" i="102" s="1"/>
  <c r="J162" i="102"/>
  <c r="L162" i="102" s="1"/>
  <c r="O162" i="102" s="1"/>
  <c r="K162" i="102"/>
  <c r="N162" i="102"/>
  <c r="Z162" i="102" s="1"/>
  <c r="V162" i="102"/>
  <c r="X162" i="102" s="1"/>
  <c r="W162" i="102" s="1"/>
  <c r="AA162" i="102"/>
  <c r="J163" i="102"/>
  <c r="L163" i="102" s="1"/>
  <c r="K163" i="102" s="1"/>
  <c r="N163" i="102"/>
  <c r="O163" i="102"/>
  <c r="V163" i="102"/>
  <c r="X163" i="102" s="1"/>
  <c r="Z163" i="102"/>
  <c r="J164" i="102"/>
  <c r="L164" i="102"/>
  <c r="N164" i="102"/>
  <c r="Z164" i="102" s="1"/>
  <c r="V164" i="102"/>
  <c r="X164" i="102"/>
  <c r="J165" i="102"/>
  <c r="L165" i="102" s="1"/>
  <c r="N165" i="102"/>
  <c r="Z165" i="102" s="1"/>
  <c r="V165" i="102"/>
  <c r="X165" i="102" s="1"/>
  <c r="W165" i="102"/>
  <c r="J166" i="102"/>
  <c r="L166" i="102" s="1"/>
  <c r="K166" i="102"/>
  <c r="N166" i="102"/>
  <c r="Z166" i="102" s="1"/>
  <c r="V166" i="102"/>
  <c r="X166" i="102" s="1"/>
  <c r="J167" i="102"/>
  <c r="L167" i="102" s="1"/>
  <c r="K167" i="102" s="1"/>
  <c r="N167" i="102"/>
  <c r="Z167" i="102" s="1"/>
  <c r="V167" i="102"/>
  <c r="X167" i="102" s="1"/>
  <c r="J168" i="102"/>
  <c r="L168" i="102" s="1"/>
  <c r="N168" i="102"/>
  <c r="Z168" i="102" s="1"/>
  <c r="V168" i="102"/>
  <c r="X168" i="102"/>
  <c r="J169" i="102"/>
  <c r="L169" i="102" s="1"/>
  <c r="N169" i="102"/>
  <c r="Z169" i="102" s="1"/>
  <c r="V169" i="102"/>
  <c r="X169" i="102" s="1"/>
  <c r="J170" i="102"/>
  <c r="L170" i="102" s="1"/>
  <c r="K170" i="102"/>
  <c r="N170" i="102"/>
  <c r="Z170" i="102" s="1"/>
  <c r="AA170" i="102" s="1"/>
  <c r="V170" i="102"/>
  <c r="X170" i="102" s="1"/>
  <c r="W170" i="102" s="1"/>
  <c r="J171" i="102"/>
  <c r="L171" i="102" s="1"/>
  <c r="K171" i="102" s="1"/>
  <c r="N171" i="102"/>
  <c r="V171" i="102"/>
  <c r="X171" i="102"/>
  <c r="J172" i="102"/>
  <c r="L172" i="102" s="1"/>
  <c r="N172" i="102"/>
  <c r="Z172" i="102" s="1"/>
  <c r="V172" i="102"/>
  <c r="X172" i="102" s="1"/>
  <c r="J173" i="102"/>
  <c r="L173" i="102"/>
  <c r="N173" i="102"/>
  <c r="V173" i="102"/>
  <c r="X173" i="102" s="1"/>
  <c r="AA173" i="102" s="1"/>
  <c r="Z173" i="102"/>
  <c r="J174" i="102"/>
  <c r="L174" i="102" s="1"/>
  <c r="N174" i="102"/>
  <c r="Z174" i="102" s="1"/>
  <c r="V174" i="102"/>
  <c r="X174" i="102" s="1"/>
  <c r="J175" i="102"/>
  <c r="L175" i="102" s="1"/>
  <c r="K175" i="102" s="1"/>
  <c r="N175" i="102"/>
  <c r="Z175" i="102" s="1"/>
  <c r="V175" i="102"/>
  <c r="X175" i="102"/>
  <c r="J176" i="102"/>
  <c r="L176" i="102"/>
  <c r="N176" i="102"/>
  <c r="Z176" i="102" s="1"/>
  <c r="V176" i="102"/>
  <c r="X176" i="102"/>
  <c r="J177" i="102"/>
  <c r="L177" i="102"/>
  <c r="N177" i="102"/>
  <c r="Z177" i="102" s="1"/>
  <c r="V177" i="102"/>
  <c r="X177" i="102" s="1"/>
  <c r="W177" i="102" s="1"/>
  <c r="AA177" i="102"/>
  <c r="J178" i="102"/>
  <c r="L178" i="102" s="1"/>
  <c r="N178" i="102"/>
  <c r="Z178" i="102" s="1"/>
  <c r="V178" i="102"/>
  <c r="X178" i="102" s="1"/>
  <c r="J179" i="102"/>
  <c r="L179" i="102" s="1"/>
  <c r="N179" i="102"/>
  <c r="V179" i="102"/>
  <c r="X179" i="102"/>
  <c r="Z179" i="102"/>
  <c r="J180" i="102"/>
  <c r="L180" i="102"/>
  <c r="N180" i="102"/>
  <c r="Z180" i="102" s="1"/>
  <c r="V180" i="102"/>
  <c r="X180" i="102" s="1"/>
  <c r="W180" i="102" s="1"/>
  <c r="J181" i="102"/>
  <c r="L181" i="102" s="1"/>
  <c r="N181" i="102"/>
  <c r="Z181" i="102" s="1"/>
  <c r="V181" i="102"/>
  <c r="X181" i="102" s="1"/>
  <c r="W181" i="102" s="1"/>
  <c r="J182" i="102"/>
  <c r="L182" i="102" s="1"/>
  <c r="K182" i="102"/>
  <c r="N182" i="102"/>
  <c r="O182" i="102" s="1"/>
  <c r="V182" i="102"/>
  <c r="X182" i="102" s="1"/>
  <c r="J183" i="102"/>
  <c r="L183" i="102" s="1"/>
  <c r="K183" i="102" s="1"/>
  <c r="N183" i="102"/>
  <c r="V183" i="102"/>
  <c r="X183" i="102" s="1"/>
  <c r="W183" i="102"/>
  <c r="Z183" i="102"/>
  <c r="J184" i="102"/>
  <c r="L184" i="102" s="1"/>
  <c r="O184" i="102" s="1"/>
  <c r="N184" i="102"/>
  <c r="Z184" i="102" s="1"/>
  <c r="V184" i="102"/>
  <c r="X184" i="102" s="1"/>
  <c r="J185" i="102"/>
  <c r="L185" i="102"/>
  <c r="N185" i="102"/>
  <c r="Z185" i="102" s="1"/>
  <c r="V185" i="102"/>
  <c r="X185" i="102" s="1"/>
  <c r="W185" i="102" s="1"/>
  <c r="J186" i="102"/>
  <c r="L186" i="102" s="1"/>
  <c r="N186" i="102"/>
  <c r="Z186" i="102" s="1"/>
  <c r="AA186" i="102" s="1"/>
  <c r="V186" i="102"/>
  <c r="X186" i="102"/>
  <c r="W186" i="102" s="1"/>
  <c r="J187" i="102"/>
  <c r="L187" i="102" s="1"/>
  <c r="N187" i="102"/>
  <c r="Z187" i="102" s="1"/>
  <c r="V187" i="102"/>
  <c r="X187" i="102"/>
  <c r="W187" i="102" s="1"/>
  <c r="J188" i="102"/>
  <c r="L188" i="102"/>
  <c r="N188" i="102"/>
  <c r="Z188" i="102" s="1"/>
  <c r="V188" i="102"/>
  <c r="X188" i="102" s="1"/>
  <c r="J189" i="102"/>
  <c r="L189" i="102" s="1"/>
  <c r="K189" i="102" s="1"/>
  <c r="N189" i="102"/>
  <c r="Z189" i="102" s="1"/>
  <c r="AA189" i="102" s="1"/>
  <c r="V189" i="102"/>
  <c r="X189" i="102" s="1"/>
  <c r="W189" i="102"/>
  <c r="J190" i="102"/>
  <c r="L190" i="102" s="1"/>
  <c r="K190" i="102" s="1"/>
  <c r="N190" i="102"/>
  <c r="O190" i="102"/>
  <c r="V190" i="102"/>
  <c r="X190" i="102"/>
  <c r="Z190" i="102"/>
  <c r="J191" i="102"/>
  <c r="L191" i="102"/>
  <c r="K191" i="102" s="1"/>
  <c r="N191" i="102"/>
  <c r="O191" i="102"/>
  <c r="V191" i="102"/>
  <c r="X191" i="102" s="1"/>
  <c r="W191" i="102" s="1"/>
  <c r="Z191" i="102"/>
  <c r="J192" i="102"/>
  <c r="L192" i="102"/>
  <c r="O192" i="102" s="1"/>
  <c r="N192" i="102"/>
  <c r="Z192" i="102" s="1"/>
  <c r="V192" i="102"/>
  <c r="X192" i="102" s="1"/>
  <c r="J193" i="102"/>
  <c r="L193" i="102" s="1"/>
  <c r="N193" i="102"/>
  <c r="Z193" i="102" s="1"/>
  <c r="V193" i="102"/>
  <c r="X193" i="102" s="1"/>
  <c r="J194" i="102"/>
  <c r="L194" i="102" s="1"/>
  <c r="O194" i="102" s="1"/>
  <c r="K194" i="102"/>
  <c r="N194" i="102"/>
  <c r="V194" i="102"/>
  <c r="X194" i="102" s="1"/>
  <c r="Z194" i="102"/>
  <c r="J195" i="102"/>
  <c r="L195" i="102" s="1"/>
  <c r="N195" i="102"/>
  <c r="V195" i="102"/>
  <c r="X195" i="102" s="1"/>
  <c r="W195" i="102" s="1"/>
  <c r="Z195" i="102"/>
  <c r="J196" i="102"/>
  <c r="L196" i="102"/>
  <c r="N196" i="102"/>
  <c r="Z196" i="102" s="1"/>
  <c r="V196" i="102"/>
  <c r="X196" i="102"/>
  <c r="J197" i="102"/>
  <c r="L197" i="102" s="1"/>
  <c r="K197" i="102" s="1"/>
  <c r="N197" i="102"/>
  <c r="V197" i="102"/>
  <c r="X197" i="102" s="1"/>
  <c r="W197" i="102" s="1"/>
  <c r="Z197" i="102"/>
  <c r="AA197" i="102"/>
  <c r="J198" i="102"/>
  <c r="L198" i="102" s="1"/>
  <c r="K198" i="102"/>
  <c r="N198" i="102"/>
  <c r="O198" i="102" s="1"/>
  <c r="V198" i="102"/>
  <c r="X198" i="102" s="1"/>
  <c r="J199" i="102"/>
  <c r="L199" i="102" s="1"/>
  <c r="K199" i="102" s="1"/>
  <c r="N199" i="102"/>
  <c r="O199" i="102"/>
  <c r="V199" i="102"/>
  <c r="X199" i="102" s="1"/>
  <c r="W199" i="102" s="1"/>
  <c r="Z199" i="102"/>
  <c r="J200" i="102"/>
  <c r="L200" i="102" s="1"/>
  <c r="O200" i="102" s="1"/>
  <c r="N200" i="102"/>
  <c r="Z200" i="102" s="1"/>
  <c r="V200" i="102"/>
  <c r="X200" i="102" s="1"/>
  <c r="J201" i="102"/>
  <c r="L201" i="102"/>
  <c r="N201" i="102"/>
  <c r="Z201" i="102" s="1"/>
  <c r="V201" i="102"/>
  <c r="X201" i="102" s="1"/>
  <c r="W201" i="102" s="1"/>
  <c r="AA201" i="102"/>
  <c r="J202" i="102"/>
  <c r="L202" i="102" s="1"/>
  <c r="N202" i="102"/>
  <c r="Z202" i="102" s="1"/>
  <c r="V202" i="102"/>
  <c r="X202" i="102"/>
  <c r="W202" i="102" s="1"/>
  <c r="J203" i="102"/>
  <c r="L203" i="102" s="1"/>
  <c r="N203" i="102"/>
  <c r="Z203" i="102" s="1"/>
  <c r="V203" i="102"/>
  <c r="X203" i="102"/>
  <c r="W203" i="102" s="1"/>
  <c r="J204" i="102"/>
  <c r="L204" i="102"/>
  <c r="N204" i="102"/>
  <c r="Z204" i="102" s="1"/>
  <c r="V204" i="102"/>
  <c r="X204" i="102" s="1"/>
  <c r="J205" i="102"/>
  <c r="L205" i="102" s="1"/>
  <c r="N205" i="102"/>
  <c r="Z205" i="102" s="1"/>
  <c r="AA205" i="102" s="1"/>
  <c r="V205" i="102"/>
  <c r="X205" i="102" s="1"/>
  <c r="W205" i="102"/>
  <c r="J206" i="102"/>
  <c r="L206" i="102" s="1"/>
  <c r="O206" i="102" s="1"/>
  <c r="K206" i="102"/>
  <c r="N206" i="102"/>
  <c r="Z206" i="102" s="1"/>
  <c r="V206" i="102"/>
  <c r="X206" i="102"/>
  <c r="J207" i="102"/>
  <c r="L207" i="102" s="1"/>
  <c r="K207" i="102" s="1"/>
  <c r="N207" i="102"/>
  <c r="Z207" i="102" s="1"/>
  <c r="V207" i="102"/>
  <c r="X207" i="102"/>
  <c r="W207" i="102" s="1"/>
  <c r="J208" i="102"/>
  <c r="L208" i="102" s="1"/>
  <c r="N208" i="102"/>
  <c r="Z208" i="102" s="1"/>
  <c r="V208" i="102"/>
  <c r="X208" i="102" s="1"/>
  <c r="J209" i="102"/>
  <c r="L209" i="102"/>
  <c r="N209" i="102"/>
  <c r="Z209" i="102" s="1"/>
  <c r="AA209" i="102" s="1"/>
  <c r="V209" i="102"/>
  <c r="X209" i="102" s="1"/>
  <c r="W209" i="102"/>
  <c r="J210" i="102"/>
  <c r="L210" i="102" s="1"/>
  <c r="K210" i="102" s="1"/>
  <c r="N210" i="102"/>
  <c r="Z210" i="102" s="1"/>
  <c r="V210" i="102"/>
  <c r="X210" i="102"/>
  <c r="W210" i="102" s="1"/>
  <c r="J211" i="102"/>
  <c r="L211" i="102" s="1"/>
  <c r="N211" i="102"/>
  <c r="Z211" i="102" s="1"/>
  <c r="V211" i="102"/>
  <c r="X211" i="102" s="1"/>
  <c r="W211" i="102" s="1"/>
  <c r="J212" i="102"/>
  <c r="L212" i="102"/>
  <c r="N212" i="102"/>
  <c r="Z212" i="102" s="1"/>
  <c r="V212" i="102"/>
  <c r="X212" i="102" s="1"/>
  <c r="J213" i="102"/>
  <c r="L213" i="102" s="1"/>
  <c r="N213" i="102"/>
  <c r="Z213" i="102" s="1"/>
  <c r="V213" i="102"/>
  <c r="X213" i="102" s="1"/>
  <c r="W213" i="102" s="1"/>
  <c r="AA213" i="102"/>
  <c r="J214" i="102"/>
  <c r="L214" i="102" s="1"/>
  <c r="O214" i="102" s="1"/>
  <c r="K214" i="102"/>
  <c r="N214" i="102"/>
  <c r="V214" i="102"/>
  <c r="X214" i="102" s="1"/>
  <c r="Z214" i="102"/>
  <c r="J215" i="102"/>
  <c r="L215" i="102"/>
  <c r="K215" i="102" s="1"/>
  <c r="N215" i="102"/>
  <c r="Z215" i="102" s="1"/>
  <c r="V215" i="102"/>
  <c r="X215" i="102"/>
  <c r="W215" i="102" s="1"/>
  <c r="J216" i="102"/>
  <c r="L216" i="102" s="1"/>
  <c r="N216" i="102"/>
  <c r="Z216" i="102" s="1"/>
  <c r="V216" i="102"/>
  <c r="X216" i="102" s="1"/>
  <c r="J217" i="102"/>
  <c r="L217" i="102" s="1"/>
  <c r="N217" i="102"/>
  <c r="Z217" i="102" s="1"/>
  <c r="V217" i="102"/>
  <c r="X217" i="102" s="1"/>
  <c r="W217" i="102"/>
  <c r="J218" i="102"/>
  <c r="L218" i="102" s="1"/>
  <c r="O218" i="102" s="1"/>
  <c r="N218" i="102"/>
  <c r="Z218" i="102" s="1"/>
  <c r="V218" i="102"/>
  <c r="X218" i="102" s="1"/>
  <c r="J219" i="102"/>
  <c r="L219" i="102" s="1"/>
  <c r="N219" i="102"/>
  <c r="Z219" i="102" s="1"/>
  <c r="V219" i="102"/>
  <c r="X219" i="102" s="1"/>
  <c r="W219" i="102" s="1"/>
  <c r="J220" i="102"/>
  <c r="L220" i="102"/>
  <c r="N220" i="102"/>
  <c r="V220" i="102"/>
  <c r="X220" i="102" s="1"/>
  <c r="Z220" i="102"/>
  <c r="J221" i="102"/>
  <c r="L221" i="102" s="1"/>
  <c r="O221" i="102" s="1"/>
  <c r="K221" i="102"/>
  <c r="N221" i="102"/>
  <c r="V221" i="102"/>
  <c r="X221" i="102" s="1"/>
  <c r="W221" i="102" s="1"/>
  <c r="Z221" i="102"/>
  <c r="J222" i="102"/>
  <c r="L222" i="102" s="1"/>
  <c r="K222" i="102" s="1"/>
  <c r="N222" i="102"/>
  <c r="Z222" i="102" s="1"/>
  <c r="V222" i="102"/>
  <c r="X222" i="102" s="1"/>
  <c r="J223" i="102"/>
  <c r="L223" i="102"/>
  <c r="N223" i="102"/>
  <c r="Z223" i="102" s="1"/>
  <c r="V223" i="102"/>
  <c r="X223" i="102" s="1"/>
  <c r="J224" i="102"/>
  <c r="L224" i="102" s="1"/>
  <c r="N224" i="102"/>
  <c r="Z224" i="102" s="1"/>
  <c r="V224" i="102"/>
  <c r="X224" i="102" s="1"/>
  <c r="W224" i="102"/>
  <c r="J225" i="102"/>
  <c r="L225" i="102" s="1"/>
  <c r="O225" i="102" s="1"/>
  <c r="N225" i="102"/>
  <c r="V225" i="102"/>
  <c r="X225" i="102" s="1"/>
  <c r="W225" i="102" s="1"/>
  <c r="Z225" i="102"/>
  <c r="J226" i="102"/>
  <c r="L226" i="102" s="1"/>
  <c r="K226" i="102" s="1"/>
  <c r="N226" i="102"/>
  <c r="Z226" i="102" s="1"/>
  <c r="V226" i="102"/>
  <c r="X226" i="102"/>
  <c r="J227" i="102"/>
  <c r="L227" i="102" s="1"/>
  <c r="N227" i="102"/>
  <c r="Z227" i="102" s="1"/>
  <c r="V227" i="102"/>
  <c r="X227" i="102"/>
  <c r="J228" i="102"/>
  <c r="L228" i="102"/>
  <c r="N228" i="102"/>
  <c r="V228" i="102"/>
  <c r="X228" i="102" s="1"/>
  <c r="W228" i="102" s="1"/>
  <c r="Z228" i="102"/>
  <c r="J229" i="102"/>
  <c r="L229" i="102" s="1"/>
  <c r="O229" i="102" s="1"/>
  <c r="K229" i="102"/>
  <c r="N229" i="102"/>
  <c r="Z229" i="102" s="1"/>
  <c r="V229" i="102"/>
  <c r="X229" i="102" s="1"/>
  <c r="W229" i="102" s="1"/>
  <c r="J230" i="102"/>
  <c r="L230" i="102" s="1"/>
  <c r="K230" i="102" s="1"/>
  <c r="N230" i="102"/>
  <c r="O230" i="102" s="1"/>
  <c r="V230" i="102"/>
  <c r="X230" i="102" s="1"/>
  <c r="Z230" i="102"/>
  <c r="J231" i="102"/>
  <c r="L231" i="102"/>
  <c r="N231" i="102"/>
  <c r="Z231" i="102" s="1"/>
  <c r="V231" i="102"/>
  <c r="X231" i="102" s="1"/>
  <c r="J232" i="102"/>
  <c r="L232" i="102" s="1"/>
  <c r="N232" i="102"/>
  <c r="Z232" i="102" s="1"/>
  <c r="V232" i="102"/>
  <c r="X232" i="102" s="1"/>
  <c r="W232" i="102"/>
  <c r="J233" i="102"/>
  <c r="L233" i="102" s="1"/>
  <c r="O233" i="102" s="1"/>
  <c r="N233" i="102"/>
  <c r="V233" i="102"/>
  <c r="X233" i="102" s="1"/>
  <c r="W233" i="102" s="1"/>
  <c r="Z233" i="102"/>
  <c r="J234" i="102"/>
  <c r="L234" i="102" s="1"/>
  <c r="K234" i="102" s="1"/>
  <c r="N234" i="102"/>
  <c r="V234" i="102"/>
  <c r="X234" i="102"/>
  <c r="Z234" i="102"/>
  <c r="J235" i="102"/>
  <c r="L235" i="102" s="1"/>
  <c r="N235" i="102"/>
  <c r="Z235" i="102" s="1"/>
  <c r="V235" i="102"/>
  <c r="X235" i="102"/>
  <c r="J236" i="102"/>
  <c r="L236" i="102"/>
  <c r="N236" i="102"/>
  <c r="V236" i="102"/>
  <c r="X236" i="102" s="1"/>
  <c r="Z236" i="102"/>
  <c r="J237" i="102"/>
  <c r="L237" i="102" s="1"/>
  <c r="O237" i="102" s="1"/>
  <c r="N237" i="102"/>
  <c r="V237" i="102"/>
  <c r="X237" i="102" s="1"/>
  <c r="W237" i="102" s="1"/>
  <c r="Z237" i="102"/>
  <c r="J238" i="102"/>
  <c r="L238" i="102" s="1"/>
  <c r="K238" i="102" s="1"/>
  <c r="N238" i="102"/>
  <c r="O238" i="102" s="1"/>
  <c r="V238" i="102"/>
  <c r="X238" i="102" s="1"/>
  <c r="J239" i="102"/>
  <c r="L239" i="102"/>
  <c r="N239" i="102"/>
  <c r="Z239" i="102" s="1"/>
  <c r="V239" i="102"/>
  <c r="X239" i="102" s="1"/>
  <c r="J240" i="102"/>
  <c r="L240" i="102" s="1"/>
  <c r="N240" i="102"/>
  <c r="Z240" i="102" s="1"/>
  <c r="V240" i="102"/>
  <c r="X240" i="102" s="1"/>
  <c r="W240" i="102"/>
  <c r="J241" i="102"/>
  <c r="L241" i="102" s="1"/>
  <c r="O241" i="102" s="1"/>
  <c r="N241" i="102"/>
  <c r="V241" i="102"/>
  <c r="X241" i="102" s="1"/>
  <c r="W241" i="102" s="1"/>
  <c r="Z241" i="102"/>
  <c r="J242" i="102"/>
  <c r="L242" i="102" s="1"/>
  <c r="K242" i="102" s="1"/>
  <c r="N242" i="102"/>
  <c r="Z242" i="102" s="1"/>
  <c r="V242" i="102"/>
  <c r="X242" i="102"/>
  <c r="J243" i="102"/>
  <c r="L243" i="102" s="1"/>
  <c r="N243" i="102"/>
  <c r="Z243" i="102" s="1"/>
  <c r="V243" i="102"/>
  <c r="X243" i="102"/>
  <c r="J244" i="102"/>
  <c r="L244" i="102"/>
  <c r="N244" i="102"/>
  <c r="V244" i="102"/>
  <c r="X244" i="102" s="1"/>
  <c r="W244" i="102" s="1"/>
  <c r="Z244" i="102"/>
  <c r="J245" i="102"/>
  <c r="L245" i="102" s="1"/>
  <c r="O245" i="102" s="1"/>
  <c r="K245" i="102"/>
  <c r="N245" i="102"/>
  <c r="V245" i="102"/>
  <c r="X245" i="102" s="1"/>
  <c r="W245" i="102" s="1"/>
  <c r="Z245" i="102"/>
  <c r="J246" i="102"/>
  <c r="L246" i="102" s="1"/>
  <c r="K246" i="102" s="1"/>
  <c r="N246" i="102"/>
  <c r="O246" i="102" s="1"/>
  <c r="V246" i="102"/>
  <c r="X246" i="102" s="1"/>
  <c r="Z246" i="102"/>
  <c r="J247" i="102"/>
  <c r="L247" i="102"/>
  <c r="N247" i="102"/>
  <c r="Z247" i="102" s="1"/>
  <c r="V247" i="102"/>
  <c r="X247" i="102" s="1"/>
  <c r="J248" i="102"/>
  <c r="L248" i="102" s="1"/>
  <c r="N248" i="102"/>
  <c r="Z248" i="102" s="1"/>
  <c r="V248" i="102"/>
  <c r="X248" i="102" s="1"/>
  <c r="W248" i="102"/>
  <c r="J249" i="102"/>
  <c r="L249" i="102" s="1"/>
  <c r="O249" i="102" s="1"/>
  <c r="N249" i="102"/>
  <c r="V249" i="102"/>
  <c r="X249" i="102" s="1"/>
  <c r="W249" i="102" s="1"/>
  <c r="Z249" i="102"/>
  <c r="J250" i="102"/>
  <c r="L250" i="102" s="1"/>
  <c r="K250" i="102" s="1"/>
  <c r="N250" i="102"/>
  <c r="V250" i="102"/>
  <c r="X250" i="102"/>
  <c r="Z250" i="102"/>
  <c r="J251" i="102"/>
  <c r="L251" i="102" s="1"/>
  <c r="N251" i="102"/>
  <c r="Z251" i="102" s="1"/>
  <c r="V251" i="102"/>
  <c r="X251" i="102" s="1"/>
  <c r="J252" i="102"/>
  <c r="L252" i="102"/>
  <c r="N252" i="102"/>
  <c r="V252" i="102"/>
  <c r="X252" i="102" s="1"/>
  <c r="Z252" i="102"/>
  <c r="J253" i="102"/>
  <c r="L253" i="102" s="1"/>
  <c r="O253" i="102" s="1"/>
  <c r="N253" i="102"/>
  <c r="V253" i="102"/>
  <c r="X253" i="102" s="1"/>
  <c r="W253" i="102" s="1"/>
  <c r="Z253" i="102"/>
  <c r="J254" i="102"/>
  <c r="L254" i="102" s="1"/>
  <c r="K254" i="102" s="1"/>
  <c r="N254" i="102"/>
  <c r="O254" i="102" s="1"/>
  <c r="V254" i="102"/>
  <c r="X254" i="102" s="1"/>
  <c r="J255" i="102"/>
  <c r="L255" i="102"/>
  <c r="N255" i="102"/>
  <c r="Z255" i="102" s="1"/>
  <c r="V255" i="102"/>
  <c r="X255" i="102" s="1"/>
  <c r="J256" i="102"/>
  <c r="L256" i="102" s="1"/>
  <c r="N256" i="102"/>
  <c r="Z256" i="102" s="1"/>
  <c r="V256" i="102"/>
  <c r="X256" i="102" s="1"/>
  <c r="W256" i="102"/>
  <c r="J257" i="102"/>
  <c r="L257" i="102" s="1"/>
  <c r="O257" i="102" s="1"/>
  <c r="N257" i="102"/>
  <c r="V257" i="102"/>
  <c r="X257" i="102" s="1"/>
  <c r="W257" i="102" s="1"/>
  <c r="Z257" i="102"/>
  <c r="J258" i="102"/>
  <c r="L258" i="102" s="1"/>
  <c r="K258" i="102" s="1"/>
  <c r="N258" i="102"/>
  <c r="Z258" i="102" s="1"/>
  <c r="V258" i="102"/>
  <c r="X258" i="102"/>
  <c r="J259" i="102"/>
  <c r="L259" i="102" s="1"/>
  <c r="N259" i="102"/>
  <c r="Z259" i="102" s="1"/>
  <c r="V259" i="102"/>
  <c r="X259" i="102"/>
  <c r="J260" i="102"/>
  <c r="L260" i="102"/>
  <c r="N260" i="102"/>
  <c r="V260" i="102"/>
  <c r="X260" i="102" s="1"/>
  <c r="W260" i="102" s="1"/>
  <c r="Z260" i="102"/>
  <c r="J261" i="102"/>
  <c r="L261" i="102" s="1"/>
  <c r="O261" i="102" s="1"/>
  <c r="K261" i="102"/>
  <c r="N261" i="102"/>
  <c r="V261" i="102"/>
  <c r="X261" i="102" s="1"/>
  <c r="W261" i="102" s="1"/>
  <c r="Z261" i="102"/>
  <c r="J262" i="102"/>
  <c r="L262" i="102" s="1"/>
  <c r="K262" i="102" s="1"/>
  <c r="N262" i="102"/>
  <c r="O262" i="102" s="1"/>
  <c r="V262" i="102"/>
  <c r="X262" i="102" s="1"/>
  <c r="Z262" i="102"/>
  <c r="J263" i="102"/>
  <c r="L263" i="102" s="1"/>
  <c r="N263" i="102"/>
  <c r="Z263" i="102" s="1"/>
  <c r="V263" i="102"/>
  <c r="X263" i="102" s="1"/>
  <c r="J264" i="102"/>
  <c r="L264" i="102" s="1"/>
  <c r="N264" i="102"/>
  <c r="Z264" i="102" s="1"/>
  <c r="V264" i="102"/>
  <c r="X264" i="102" s="1"/>
  <c r="W264" i="102" s="1"/>
  <c r="J265" i="102"/>
  <c r="L265" i="102" s="1"/>
  <c r="O265" i="102" s="1"/>
  <c r="N265" i="102"/>
  <c r="V265" i="102"/>
  <c r="X265" i="102" s="1"/>
  <c r="W265" i="102" s="1"/>
  <c r="Z265" i="102"/>
  <c r="J266" i="102"/>
  <c r="L266" i="102" s="1"/>
  <c r="K266" i="102" s="1"/>
  <c r="N266" i="102"/>
  <c r="V266" i="102"/>
  <c r="X266" i="102"/>
  <c r="Z266" i="102"/>
  <c r="J267" i="102"/>
  <c r="L267" i="102" s="1"/>
  <c r="N267" i="102"/>
  <c r="Z267" i="102" s="1"/>
  <c r="V267" i="102"/>
  <c r="X267" i="102" s="1"/>
  <c r="J268" i="102"/>
  <c r="L268" i="102"/>
  <c r="N268" i="102"/>
  <c r="V268" i="102"/>
  <c r="X268" i="102" s="1"/>
  <c r="Z268" i="102"/>
  <c r="J269" i="102"/>
  <c r="L269" i="102" s="1"/>
  <c r="O269" i="102" s="1"/>
  <c r="N269" i="102"/>
  <c r="V269" i="102"/>
  <c r="X269" i="102" s="1"/>
  <c r="W269" i="102" s="1"/>
  <c r="Z269" i="102"/>
  <c r="J270" i="102"/>
  <c r="L270" i="102" s="1"/>
  <c r="K270" i="102" s="1"/>
  <c r="N270" i="102"/>
  <c r="O270" i="102" s="1"/>
  <c r="V270" i="102"/>
  <c r="X270" i="102" s="1"/>
  <c r="J271" i="102"/>
  <c r="L271" i="102"/>
  <c r="N271" i="102"/>
  <c r="Z271" i="102" s="1"/>
  <c r="V271" i="102"/>
  <c r="X271" i="102" s="1"/>
  <c r="J272" i="102"/>
  <c r="L272" i="102" s="1"/>
  <c r="N272" i="102"/>
  <c r="Z272" i="102" s="1"/>
  <c r="V272" i="102"/>
  <c r="X272" i="102" s="1"/>
  <c r="W272" i="102"/>
  <c r="J273" i="102"/>
  <c r="L273" i="102" s="1"/>
  <c r="O273" i="102" s="1"/>
  <c r="N273" i="102"/>
  <c r="V273" i="102"/>
  <c r="X273" i="102" s="1"/>
  <c r="W273" i="102" s="1"/>
  <c r="Z273" i="102"/>
  <c r="J274" i="102"/>
  <c r="L274" i="102" s="1"/>
  <c r="K274" i="102" s="1"/>
  <c r="N274" i="102"/>
  <c r="Z274" i="102" s="1"/>
  <c r="V274" i="102"/>
  <c r="X274" i="102"/>
  <c r="J275" i="102"/>
  <c r="L275" i="102" s="1"/>
  <c r="N275" i="102"/>
  <c r="Z275" i="102" s="1"/>
  <c r="V275" i="102"/>
  <c r="X275" i="102"/>
  <c r="J276" i="102"/>
  <c r="L276" i="102"/>
  <c r="N276" i="102"/>
  <c r="V276" i="102"/>
  <c r="X276" i="102" s="1"/>
  <c r="W276" i="102" s="1"/>
  <c r="Z276" i="102"/>
  <c r="J277" i="102"/>
  <c r="L277" i="102" s="1"/>
  <c r="O277" i="102" s="1"/>
  <c r="K277" i="102"/>
  <c r="N277" i="102"/>
  <c r="V277" i="102"/>
  <c r="X277" i="102" s="1"/>
  <c r="W277" i="102" s="1"/>
  <c r="Z277" i="102"/>
  <c r="J278" i="102"/>
  <c r="L278" i="102" s="1"/>
  <c r="K278" i="102" s="1"/>
  <c r="N278" i="102"/>
  <c r="O278" i="102" s="1"/>
  <c r="V278" i="102"/>
  <c r="X278" i="102" s="1"/>
  <c r="Z278" i="102"/>
  <c r="J279" i="102"/>
  <c r="L279" i="102" s="1"/>
  <c r="N279" i="102"/>
  <c r="Z279" i="102" s="1"/>
  <c r="V279" i="102"/>
  <c r="X279" i="102" s="1"/>
  <c r="J280" i="102"/>
  <c r="L280" i="102" s="1"/>
  <c r="N280" i="102"/>
  <c r="Z280" i="102" s="1"/>
  <c r="V280" i="102"/>
  <c r="X280" i="102" s="1"/>
  <c r="W280" i="102" s="1"/>
  <c r="J281" i="102"/>
  <c r="L281" i="102" s="1"/>
  <c r="O281" i="102" s="1"/>
  <c r="N281" i="102"/>
  <c r="V281" i="102"/>
  <c r="X281" i="102" s="1"/>
  <c r="W281" i="102" s="1"/>
  <c r="Z281" i="102"/>
  <c r="J282" i="102"/>
  <c r="L282" i="102" s="1"/>
  <c r="K282" i="102" s="1"/>
  <c r="N282" i="102"/>
  <c r="V282" i="102"/>
  <c r="X282" i="102"/>
  <c r="Z282" i="102"/>
  <c r="J283" i="102"/>
  <c r="L283" i="102" s="1"/>
  <c r="N283" i="102"/>
  <c r="Z283" i="102" s="1"/>
  <c r="V283" i="102"/>
  <c r="X283" i="102" s="1"/>
  <c r="J284" i="102"/>
  <c r="L284" i="102"/>
  <c r="N284" i="102"/>
  <c r="V284" i="102"/>
  <c r="X284" i="102" s="1"/>
  <c r="Z284" i="102"/>
  <c r="J285" i="102"/>
  <c r="L285" i="102" s="1"/>
  <c r="O285" i="102" s="1"/>
  <c r="N285" i="102"/>
  <c r="V285" i="102"/>
  <c r="X285" i="102" s="1"/>
  <c r="W285" i="102" s="1"/>
  <c r="Z285" i="102"/>
  <c r="J286" i="102"/>
  <c r="L286" i="102" s="1"/>
  <c r="K286" i="102" s="1"/>
  <c r="N286" i="102"/>
  <c r="O286" i="102" s="1"/>
  <c r="V286" i="102"/>
  <c r="X286" i="102" s="1"/>
  <c r="J287" i="102"/>
  <c r="L287" i="102"/>
  <c r="N287" i="102"/>
  <c r="Z287" i="102" s="1"/>
  <c r="V287" i="102"/>
  <c r="X287" i="102" s="1"/>
  <c r="J288" i="102"/>
  <c r="L288" i="102" s="1"/>
  <c r="N288" i="102"/>
  <c r="Z288" i="102" s="1"/>
  <c r="V288" i="102"/>
  <c r="X288" i="102" s="1"/>
  <c r="W288" i="102"/>
  <c r="J289" i="102"/>
  <c r="L289" i="102" s="1"/>
  <c r="O289" i="102" s="1"/>
  <c r="N289" i="102"/>
  <c r="V289" i="102"/>
  <c r="X289" i="102" s="1"/>
  <c r="W289" i="102" s="1"/>
  <c r="Z289" i="102"/>
  <c r="J290" i="102"/>
  <c r="L290" i="102" s="1"/>
  <c r="K290" i="102" s="1"/>
  <c r="N290" i="102"/>
  <c r="Z290" i="102" s="1"/>
  <c r="V290" i="102"/>
  <c r="X290" i="102"/>
  <c r="J291" i="102"/>
  <c r="L291" i="102" s="1"/>
  <c r="N291" i="102"/>
  <c r="Z291" i="102" s="1"/>
  <c r="V291" i="102"/>
  <c r="X291" i="102"/>
  <c r="J292" i="102"/>
  <c r="L292" i="102"/>
  <c r="N292" i="102"/>
  <c r="V292" i="102"/>
  <c r="X292" i="102" s="1"/>
  <c r="W292" i="102" s="1"/>
  <c r="Z292" i="102"/>
  <c r="J293" i="102"/>
  <c r="L293" i="102" s="1"/>
  <c r="O293" i="102" s="1"/>
  <c r="K293" i="102"/>
  <c r="N293" i="102"/>
  <c r="V293" i="102"/>
  <c r="X293" i="102" s="1"/>
  <c r="W293" i="102" s="1"/>
  <c r="Z293" i="102"/>
  <c r="BW1" i="101"/>
  <c r="BW2" i="101"/>
  <c r="H8" i="101"/>
  <c r="J8" i="101" s="1"/>
  <c r="L8" i="101"/>
  <c r="M8" i="101"/>
  <c r="S8" i="101"/>
  <c r="U8" i="101" s="1"/>
  <c r="W8" i="101"/>
  <c r="X8" i="101"/>
  <c r="Y8" i="101"/>
  <c r="Z8" i="101"/>
  <c r="AA8" i="101"/>
  <c r="AB8" i="101"/>
  <c r="AC8" i="101"/>
  <c r="AD8" i="101"/>
  <c r="BP8" i="101"/>
  <c r="BT8" i="101"/>
  <c r="BW8" i="101"/>
  <c r="BX8" i="101"/>
  <c r="BY8" i="101"/>
  <c r="BZ8" i="101"/>
  <c r="CA8" i="101"/>
  <c r="CB8" i="101"/>
  <c r="CC8" i="101"/>
  <c r="CD8" i="101"/>
  <c r="CE8" i="101"/>
  <c r="CF8" i="101"/>
  <c r="CG8" i="101"/>
  <c r="CH8" i="101"/>
  <c r="CI8" i="101"/>
  <c r="CJ8" i="101"/>
  <c r="CK8" i="101"/>
  <c r="CM8" i="101"/>
  <c r="H9" i="101"/>
  <c r="J9" i="101" s="1"/>
  <c r="M9" i="101"/>
  <c r="S9" i="101"/>
  <c r="U9" i="101" s="1"/>
  <c r="X9" i="101"/>
  <c r="Y9" i="101"/>
  <c r="Z9" i="101"/>
  <c r="AA9" i="101"/>
  <c r="AB9" i="101"/>
  <c r="AD9" i="101"/>
  <c r="BP9" i="101"/>
  <c r="BT9" i="101" s="1"/>
  <c r="CM9" i="101" s="1"/>
  <c r="BW9" i="101"/>
  <c r="BX9" i="101"/>
  <c r="BY9" i="101"/>
  <c r="BZ9" i="101"/>
  <c r="CA9" i="101"/>
  <c r="CB9" i="101"/>
  <c r="CC9" i="101"/>
  <c r="CD9" i="101"/>
  <c r="CE9" i="101"/>
  <c r="CF9" i="101"/>
  <c r="CG9" i="101"/>
  <c r="CH9" i="101"/>
  <c r="CI9" i="101"/>
  <c r="CJ9" i="101"/>
  <c r="CK9" i="101"/>
  <c r="H10" i="101"/>
  <c r="J10" i="101" s="1"/>
  <c r="M10" i="101"/>
  <c r="S10" i="101"/>
  <c r="U10" i="101" s="1"/>
  <c r="X10" i="101"/>
  <c r="Y10" i="101"/>
  <c r="Z10" i="101"/>
  <c r="AA10" i="101"/>
  <c r="AB10" i="101"/>
  <c r="AD10" i="101"/>
  <c r="BP10" i="101"/>
  <c r="BT10" i="101" s="1"/>
  <c r="CM10" i="101" s="1"/>
  <c r="BW10" i="101"/>
  <c r="CL10" i="101" s="1"/>
  <c r="BX10" i="101"/>
  <c r="BY10" i="101"/>
  <c r="BZ10" i="101"/>
  <c r="CA10" i="101"/>
  <c r="CB10" i="101"/>
  <c r="CC10" i="101"/>
  <c r="CD10" i="101"/>
  <c r="CE10" i="101"/>
  <c r="CF10" i="101"/>
  <c r="CG10" i="101"/>
  <c r="CH10" i="101"/>
  <c r="CI10" i="101"/>
  <c r="CJ10" i="101"/>
  <c r="CK10" i="101"/>
  <c r="H11" i="101"/>
  <c r="J11" i="101"/>
  <c r="M11" i="101"/>
  <c r="S11" i="101"/>
  <c r="U11" i="101" s="1"/>
  <c r="X11" i="101"/>
  <c r="Y11" i="101"/>
  <c r="Z11" i="101"/>
  <c r="AA11" i="101"/>
  <c r="AB11" i="101"/>
  <c r="AD11" i="101"/>
  <c r="BP11" i="101"/>
  <c r="BT11" i="101" s="1"/>
  <c r="CM11" i="101" s="1"/>
  <c r="BW11" i="101"/>
  <c r="BX11" i="101"/>
  <c r="BY11" i="101"/>
  <c r="BZ11" i="101"/>
  <c r="CA11" i="101"/>
  <c r="CB11" i="101"/>
  <c r="CC11" i="101"/>
  <c r="CD11" i="101"/>
  <c r="CE11" i="101"/>
  <c r="CF11" i="101"/>
  <c r="CG11" i="101"/>
  <c r="CH11" i="101"/>
  <c r="CI11" i="101"/>
  <c r="CJ11" i="101"/>
  <c r="CK11" i="101"/>
  <c r="H12" i="101"/>
  <c r="J12" i="101" s="1"/>
  <c r="M12" i="101"/>
  <c r="S12" i="101"/>
  <c r="U12" i="101"/>
  <c r="X12" i="101"/>
  <c r="Y12" i="101"/>
  <c r="Z12" i="101"/>
  <c r="AA12" i="101"/>
  <c r="AB12" i="101"/>
  <c r="AD12" i="101"/>
  <c r="BP12" i="101"/>
  <c r="BT12" i="101"/>
  <c r="BW12" i="101"/>
  <c r="BX12" i="101"/>
  <c r="BY12" i="101"/>
  <c r="BZ12" i="101"/>
  <c r="CA12" i="101"/>
  <c r="CB12" i="101"/>
  <c r="CC12" i="101"/>
  <c r="CD12" i="101"/>
  <c r="CE12" i="101"/>
  <c r="CF12" i="101"/>
  <c r="CG12" i="101"/>
  <c r="CH12" i="101"/>
  <c r="CI12" i="101"/>
  <c r="CJ12" i="101"/>
  <c r="CK12" i="101"/>
  <c r="CM12" i="101"/>
  <c r="H13" i="101"/>
  <c r="J13" i="101"/>
  <c r="M13" i="101"/>
  <c r="S13" i="101"/>
  <c r="U13" i="101" s="1"/>
  <c r="X13" i="101"/>
  <c r="Y13" i="101"/>
  <c r="Z13" i="101"/>
  <c r="AA13" i="101"/>
  <c r="AB13" i="101"/>
  <c r="AD13" i="101"/>
  <c r="BP13" i="101"/>
  <c r="BT13" i="101" s="1"/>
  <c r="CM13" i="101" s="1"/>
  <c r="BW13" i="101"/>
  <c r="BX13" i="101"/>
  <c r="BY13" i="101"/>
  <c r="BZ13" i="101"/>
  <c r="CA13" i="101"/>
  <c r="CB13" i="101"/>
  <c r="CC13" i="101"/>
  <c r="CD13" i="101"/>
  <c r="CE13" i="101"/>
  <c r="CF13" i="101"/>
  <c r="CG13" i="101"/>
  <c r="CH13" i="101"/>
  <c r="CI13" i="101"/>
  <c r="CJ13" i="101"/>
  <c r="CK13" i="101"/>
  <c r="H14" i="101"/>
  <c r="J14" i="101" s="1"/>
  <c r="M14" i="101"/>
  <c r="S14" i="101"/>
  <c r="U14" i="101" s="1"/>
  <c r="X14" i="101"/>
  <c r="Y14" i="101"/>
  <c r="Z14" i="101"/>
  <c r="AA14" i="101"/>
  <c r="AB14" i="101"/>
  <c r="AD14" i="101"/>
  <c r="BP14" i="101"/>
  <c r="BT14" i="101" s="1"/>
  <c r="CM14" i="101" s="1"/>
  <c r="BW14" i="101"/>
  <c r="CL14" i="101" s="1"/>
  <c r="BX14" i="101"/>
  <c r="BY14" i="101"/>
  <c r="BZ14" i="101"/>
  <c r="CA14" i="101"/>
  <c r="CB14" i="101"/>
  <c r="CC14" i="101"/>
  <c r="CD14" i="101"/>
  <c r="CE14" i="101"/>
  <c r="CF14" i="101"/>
  <c r="CG14" i="101"/>
  <c r="CH14" i="101"/>
  <c r="CI14" i="101"/>
  <c r="CJ14" i="101"/>
  <c r="CK14" i="101"/>
  <c r="H15" i="101"/>
  <c r="J15" i="101"/>
  <c r="M15" i="101"/>
  <c r="S15" i="101"/>
  <c r="U15" i="101" s="1"/>
  <c r="X15" i="101"/>
  <c r="Y15" i="101"/>
  <c r="Z15" i="101"/>
  <c r="AA15" i="101"/>
  <c r="AB15" i="101"/>
  <c r="AD15" i="101"/>
  <c r="BP15" i="101"/>
  <c r="BT15" i="101" s="1"/>
  <c r="CM15" i="101" s="1"/>
  <c r="BW15" i="101"/>
  <c r="BX15" i="101"/>
  <c r="BY15" i="101"/>
  <c r="BZ15" i="101"/>
  <c r="CA15" i="101"/>
  <c r="CB15" i="101"/>
  <c r="CC15" i="101"/>
  <c r="CD15" i="101"/>
  <c r="CE15" i="101"/>
  <c r="CF15" i="101"/>
  <c r="CG15" i="101"/>
  <c r="CH15" i="101"/>
  <c r="CI15" i="101"/>
  <c r="CJ15" i="101"/>
  <c r="CK15" i="101"/>
  <c r="H16" i="101"/>
  <c r="J16" i="101" s="1"/>
  <c r="M16" i="101"/>
  <c r="S16" i="101"/>
  <c r="U16" i="101"/>
  <c r="X16" i="101"/>
  <c r="Y16" i="101"/>
  <c r="Z16" i="101"/>
  <c r="AA16" i="101"/>
  <c r="AB16" i="101"/>
  <c r="AD16" i="101"/>
  <c r="BP16" i="101"/>
  <c r="BT16" i="101"/>
  <c r="BW16" i="101"/>
  <c r="BX16" i="101"/>
  <c r="BY16" i="101"/>
  <c r="BZ16" i="101"/>
  <c r="CA16" i="101"/>
  <c r="CB16" i="101"/>
  <c r="CC16" i="101"/>
  <c r="CD16" i="101"/>
  <c r="CE16" i="101"/>
  <c r="CF16" i="101"/>
  <c r="CG16" i="101"/>
  <c r="CH16" i="101"/>
  <c r="CI16" i="101"/>
  <c r="CJ16" i="101"/>
  <c r="CK16" i="101"/>
  <c r="CM16" i="101"/>
  <c r="H17" i="101"/>
  <c r="J17" i="101"/>
  <c r="M17" i="101"/>
  <c r="S17" i="101"/>
  <c r="U17" i="101" s="1"/>
  <c r="X17" i="101"/>
  <c r="Y17" i="101"/>
  <c r="Z17" i="101"/>
  <c r="AA17" i="101"/>
  <c r="AB17" i="101"/>
  <c r="AD17" i="101"/>
  <c r="BP17" i="101"/>
  <c r="BT17" i="101" s="1"/>
  <c r="CM17" i="101" s="1"/>
  <c r="BW17" i="101"/>
  <c r="BX17" i="101"/>
  <c r="BY17" i="101"/>
  <c r="BZ17" i="101"/>
  <c r="CA17" i="101"/>
  <c r="CB17" i="101"/>
  <c r="CC17" i="101"/>
  <c r="CD17" i="101"/>
  <c r="CE17" i="101"/>
  <c r="CF17" i="101"/>
  <c r="CG17" i="101"/>
  <c r="CH17" i="101"/>
  <c r="CI17" i="101"/>
  <c r="CJ17" i="101"/>
  <c r="CK17" i="101"/>
  <c r="H18" i="101"/>
  <c r="J18" i="101" s="1"/>
  <c r="M18" i="101"/>
  <c r="S18" i="101"/>
  <c r="U18" i="101" s="1"/>
  <c r="X18" i="101"/>
  <c r="Y18" i="101"/>
  <c r="Z18" i="101"/>
  <c r="AA18" i="101"/>
  <c r="AB18" i="101"/>
  <c r="AD18" i="101"/>
  <c r="BP18" i="101"/>
  <c r="BT18" i="101" s="1"/>
  <c r="CM18" i="101" s="1"/>
  <c r="BW18" i="101"/>
  <c r="CL18" i="101" s="1"/>
  <c r="BX18" i="101"/>
  <c r="BY18" i="101"/>
  <c r="BZ18" i="101"/>
  <c r="CA18" i="101"/>
  <c r="CB18" i="101"/>
  <c r="CC18" i="101"/>
  <c r="CD18" i="101"/>
  <c r="CE18" i="101"/>
  <c r="CF18" i="101"/>
  <c r="CG18" i="101"/>
  <c r="CH18" i="101"/>
  <c r="CI18" i="101"/>
  <c r="CJ18" i="101"/>
  <c r="CK18" i="101"/>
  <c r="H19" i="101"/>
  <c r="J19" i="101"/>
  <c r="M19" i="101"/>
  <c r="S19" i="101"/>
  <c r="U19" i="101" s="1"/>
  <c r="X19" i="101"/>
  <c r="Y19" i="101"/>
  <c r="Z19" i="101"/>
  <c r="AA19" i="101"/>
  <c r="AB19" i="101"/>
  <c r="AD19" i="101"/>
  <c r="BP19" i="101"/>
  <c r="BT19" i="101" s="1"/>
  <c r="CM19" i="101" s="1"/>
  <c r="BW19" i="101"/>
  <c r="BX19" i="101"/>
  <c r="BY19" i="101"/>
  <c r="BZ19" i="101"/>
  <c r="CA19" i="101"/>
  <c r="CB19" i="101"/>
  <c r="CC19" i="101"/>
  <c r="CD19" i="101"/>
  <c r="CE19" i="101"/>
  <c r="CF19" i="101"/>
  <c r="CG19" i="101"/>
  <c r="CH19" i="101"/>
  <c r="CI19" i="101"/>
  <c r="CJ19" i="101"/>
  <c r="CK19" i="101"/>
  <c r="BW20" i="101"/>
  <c r="BX20" i="101"/>
  <c r="BY20" i="101"/>
  <c r="BZ20" i="101"/>
  <c r="CA20" i="101"/>
  <c r="CB20" i="101"/>
  <c r="CC20" i="101"/>
  <c r="CD20" i="101"/>
  <c r="CE20" i="101"/>
  <c r="CF20" i="101"/>
  <c r="CG20" i="101"/>
  <c r="CH20" i="101"/>
  <c r="CI20" i="101"/>
  <c r="CJ20" i="101"/>
  <c r="CK20" i="101"/>
  <c r="CM20" i="101"/>
  <c r="BW21" i="101"/>
  <c r="BX21" i="101"/>
  <c r="BY21" i="101"/>
  <c r="BZ21" i="101"/>
  <c r="CA21" i="101"/>
  <c r="CB21" i="101"/>
  <c r="CC21" i="101"/>
  <c r="CD21" i="101"/>
  <c r="CE21" i="101"/>
  <c r="CF21" i="101"/>
  <c r="CG21" i="101"/>
  <c r="CH21" i="101"/>
  <c r="CI21" i="101"/>
  <c r="CJ21" i="101"/>
  <c r="CK21" i="101"/>
  <c r="CM21" i="101"/>
  <c r="BW22" i="101"/>
  <c r="BX22" i="101"/>
  <c r="BY22" i="101"/>
  <c r="BZ22" i="101"/>
  <c r="CA22" i="101"/>
  <c r="CB22" i="101"/>
  <c r="CC22" i="101"/>
  <c r="CD22" i="101"/>
  <c r="CE22" i="101"/>
  <c r="CF22" i="101"/>
  <c r="CG22" i="101"/>
  <c r="CH22" i="101"/>
  <c r="CI22" i="101"/>
  <c r="CJ22" i="101"/>
  <c r="CK22" i="101"/>
  <c r="CM22" i="101"/>
  <c r="BW23" i="101"/>
  <c r="BX23" i="101"/>
  <c r="BY23" i="101"/>
  <c r="BZ23" i="101"/>
  <c r="CA23" i="101"/>
  <c r="CB23" i="101"/>
  <c r="CC23" i="101"/>
  <c r="CD23" i="101"/>
  <c r="CE23" i="101"/>
  <c r="CF23" i="101"/>
  <c r="CG23" i="101"/>
  <c r="CH23" i="101"/>
  <c r="CI23" i="101"/>
  <c r="CJ23" i="101"/>
  <c r="CK23" i="101"/>
  <c r="CM23" i="101"/>
  <c r="BW24" i="101"/>
  <c r="BX24" i="101"/>
  <c r="BY24" i="101"/>
  <c r="BZ24" i="101"/>
  <c r="CA24" i="101"/>
  <c r="CB24" i="101"/>
  <c r="CC24" i="101"/>
  <c r="CD24" i="101"/>
  <c r="CE24" i="101"/>
  <c r="CF24" i="101"/>
  <c r="CG24" i="101"/>
  <c r="CH24" i="101"/>
  <c r="CI24" i="101"/>
  <c r="CJ24" i="101"/>
  <c r="CK24" i="101"/>
  <c r="CM24" i="101"/>
  <c r="CO24" i="101"/>
  <c r="BW25" i="101"/>
  <c r="BX25" i="101"/>
  <c r="BY25" i="101"/>
  <c r="BZ25" i="101"/>
  <c r="CL25" i="101" s="1"/>
  <c r="CN25" i="101" s="1"/>
  <c r="CA25" i="101"/>
  <c r="CB25" i="101"/>
  <c r="CC25" i="101"/>
  <c r="CD25" i="101"/>
  <c r="CE25" i="101"/>
  <c r="CF25" i="101"/>
  <c r="CG25" i="101"/>
  <c r="CH25" i="101"/>
  <c r="CI25" i="101"/>
  <c r="CJ25" i="101"/>
  <c r="CK25" i="101"/>
  <c r="CM25" i="101"/>
  <c r="BW26" i="101"/>
  <c r="BX26" i="101"/>
  <c r="BY26" i="101"/>
  <c r="BZ26" i="101"/>
  <c r="CA26" i="101"/>
  <c r="CB26" i="101"/>
  <c r="CC26" i="101"/>
  <c r="CD26" i="101"/>
  <c r="CE26" i="101"/>
  <c r="CF26" i="101"/>
  <c r="CG26" i="101"/>
  <c r="CH26" i="101"/>
  <c r="CI26" i="101"/>
  <c r="CJ26" i="101"/>
  <c r="CK26" i="101"/>
  <c r="CM26" i="101"/>
  <c r="BW27" i="101"/>
  <c r="BX27" i="101"/>
  <c r="CL27" i="101" s="1"/>
  <c r="CN27" i="101" s="1"/>
  <c r="BY27" i="101"/>
  <c r="BZ27" i="101"/>
  <c r="CA27" i="101"/>
  <c r="CB27" i="101"/>
  <c r="CC27" i="101"/>
  <c r="CD27" i="101"/>
  <c r="CE27" i="101"/>
  <c r="CF27" i="101"/>
  <c r="CG27" i="101"/>
  <c r="CH27" i="101"/>
  <c r="CI27" i="101"/>
  <c r="CJ27" i="101"/>
  <c r="CK27" i="101"/>
  <c r="CM27" i="101"/>
  <c r="BW28" i="101"/>
  <c r="BX28" i="101"/>
  <c r="BY28" i="101"/>
  <c r="BZ28" i="101"/>
  <c r="CA28" i="101"/>
  <c r="CB28" i="101"/>
  <c r="CC28" i="101"/>
  <c r="CD28" i="101"/>
  <c r="CE28" i="101"/>
  <c r="CF28" i="101"/>
  <c r="CG28" i="101"/>
  <c r="CH28" i="101"/>
  <c r="CI28" i="101"/>
  <c r="CJ28" i="101"/>
  <c r="CK28" i="101"/>
  <c r="CM28" i="101"/>
  <c r="BW29" i="101"/>
  <c r="CL29" i="101" s="1"/>
  <c r="CN29" i="101" s="1"/>
  <c r="BX29" i="101"/>
  <c r="BY29" i="101"/>
  <c r="BZ29" i="101"/>
  <c r="CA29" i="101"/>
  <c r="CB29" i="101"/>
  <c r="CC29" i="101"/>
  <c r="CD29" i="101"/>
  <c r="CE29" i="101"/>
  <c r="CF29" i="101"/>
  <c r="CG29" i="101"/>
  <c r="CH29" i="101"/>
  <c r="CI29" i="101"/>
  <c r="CJ29" i="101"/>
  <c r="CK29" i="101"/>
  <c r="CM29" i="101"/>
  <c r="BW30" i="101"/>
  <c r="BX30" i="101"/>
  <c r="BY30" i="101"/>
  <c r="BZ30" i="101"/>
  <c r="CA30" i="101"/>
  <c r="CB30" i="101"/>
  <c r="CC30" i="101"/>
  <c r="CD30" i="101"/>
  <c r="CE30" i="101"/>
  <c r="CF30" i="101"/>
  <c r="CG30" i="101"/>
  <c r="CH30" i="101"/>
  <c r="CI30" i="101"/>
  <c r="CJ30" i="101"/>
  <c r="CK30" i="101"/>
  <c r="CM30" i="101"/>
  <c r="BW31" i="101"/>
  <c r="CL31" i="101" s="1"/>
  <c r="CN31" i="101" s="1"/>
  <c r="BX31" i="101"/>
  <c r="BY31" i="101"/>
  <c r="BZ31" i="101"/>
  <c r="CA31" i="101"/>
  <c r="CB31" i="101"/>
  <c r="CC31" i="101"/>
  <c r="CD31" i="101"/>
  <c r="CE31" i="101"/>
  <c r="CF31" i="101"/>
  <c r="CG31" i="101"/>
  <c r="CH31" i="101"/>
  <c r="CI31" i="101"/>
  <c r="CJ31" i="101"/>
  <c r="CK31" i="101"/>
  <c r="CM31" i="101"/>
  <c r="BW32" i="101"/>
  <c r="BX32" i="101"/>
  <c r="BY32" i="101"/>
  <c r="BZ32" i="101"/>
  <c r="CA32" i="101"/>
  <c r="CB32" i="101"/>
  <c r="CC32" i="101"/>
  <c r="CD32" i="101"/>
  <c r="CE32" i="101"/>
  <c r="CF32" i="101"/>
  <c r="CG32" i="101"/>
  <c r="CH32" i="101"/>
  <c r="CI32" i="101"/>
  <c r="CJ32" i="101"/>
  <c r="CK32" i="101"/>
  <c r="CM32" i="101"/>
  <c r="BW33" i="101"/>
  <c r="BX33" i="101"/>
  <c r="BY33" i="101"/>
  <c r="BZ33" i="101"/>
  <c r="CA33" i="101"/>
  <c r="CB33" i="101"/>
  <c r="CC33" i="101"/>
  <c r="CD33" i="101"/>
  <c r="CE33" i="101"/>
  <c r="CF33" i="101"/>
  <c r="CG33" i="101"/>
  <c r="CH33" i="101"/>
  <c r="CI33" i="101"/>
  <c r="CJ33" i="101"/>
  <c r="CK33" i="101"/>
  <c r="CL33" i="101"/>
  <c r="CN33" i="101" s="1"/>
  <c r="CM33" i="101"/>
  <c r="BW34" i="101"/>
  <c r="BX34" i="101"/>
  <c r="BY34" i="101"/>
  <c r="BZ34" i="101"/>
  <c r="CA34" i="101"/>
  <c r="CB34" i="101"/>
  <c r="CC34" i="101"/>
  <c r="CC45" i="101" s="1"/>
  <c r="CD34" i="101"/>
  <c r="CE34" i="101"/>
  <c r="CF34" i="101"/>
  <c r="CG34" i="101"/>
  <c r="CH34" i="101"/>
  <c r="CI34" i="101"/>
  <c r="CJ34" i="101"/>
  <c r="CK34" i="101"/>
  <c r="CM34" i="101"/>
  <c r="BW35" i="101"/>
  <c r="BX35" i="101"/>
  <c r="BY35" i="101"/>
  <c r="BZ35" i="101"/>
  <c r="CA35" i="101"/>
  <c r="CB35" i="101"/>
  <c r="CC35" i="101"/>
  <c r="CD35" i="101"/>
  <c r="CE35" i="101"/>
  <c r="CF35" i="101"/>
  <c r="CG35" i="101"/>
  <c r="CH35" i="101"/>
  <c r="CI35" i="101"/>
  <c r="CJ35" i="101"/>
  <c r="CK35" i="101"/>
  <c r="CM35" i="101"/>
  <c r="BW36" i="101"/>
  <c r="BX36" i="101"/>
  <c r="BY36" i="101"/>
  <c r="BZ36" i="101"/>
  <c r="CA36" i="101"/>
  <c r="CB36" i="101"/>
  <c r="CC36" i="101"/>
  <c r="CD36" i="101"/>
  <c r="CE36" i="101"/>
  <c r="CF36" i="101"/>
  <c r="CG36" i="101"/>
  <c r="CH36" i="101"/>
  <c r="CI36" i="101"/>
  <c r="CJ36" i="101"/>
  <c r="CK36" i="101"/>
  <c r="CM36" i="101"/>
  <c r="BW37" i="101"/>
  <c r="BX37" i="101"/>
  <c r="BY37" i="101"/>
  <c r="BZ37" i="101"/>
  <c r="CA37" i="101"/>
  <c r="CB37" i="101"/>
  <c r="CC37" i="101"/>
  <c r="CD37" i="101"/>
  <c r="CE37" i="101"/>
  <c r="CF37" i="101"/>
  <c r="CG37" i="101"/>
  <c r="CH37" i="101"/>
  <c r="CI37" i="101"/>
  <c r="CJ37" i="101"/>
  <c r="CK37" i="101"/>
  <c r="CM37" i="101"/>
  <c r="BW38" i="101"/>
  <c r="BX38" i="101"/>
  <c r="BY38" i="101"/>
  <c r="BZ38" i="101"/>
  <c r="CA38" i="101"/>
  <c r="CB38" i="101"/>
  <c r="CC38" i="101"/>
  <c r="CD38" i="101"/>
  <c r="CE38" i="101"/>
  <c r="CF38" i="101"/>
  <c r="CG38" i="101"/>
  <c r="CH38" i="101"/>
  <c r="CI38" i="101"/>
  <c r="CJ38" i="101"/>
  <c r="CK38" i="101"/>
  <c r="CM38" i="101"/>
  <c r="BW39" i="101"/>
  <c r="BX39" i="101"/>
  <c r="BY39" i="101"/>
  <c r="BZ39" i="101"/>
  <c r="CA39" i="101"/>
  <c r="CB39" i="101"/>
  <c r="CC39" i="101"/>
  <c r="CD39" i="101"/>
  <c r="CE39" i="101"/>
  <c r="CF39" i="101"/>
  <c r="CG39" i="101"/>
  <c r="CH39" i="101"/>
  <c r="CI39" i="101"/>
  <c r="CJ39" i="101"/>
  <c r="CK39" i="101"/>
  <c r="CM39" i="101"/>
  <c r="BW40" i="101"/>
  <c r="BX40" i="101"/>
  <c r="BY40" i="101"/>
  <c r="BZ40" i="101"/>
  <c r="CA40" i="101"/>
  <c r="CB40" i="101"/>
  <c r="CC40" i="101"/>
  <c r="CD40" i="101"/>
  <c r="CE40" i="101"/>
  <c r="CF40" i="101"/>
  <c r="CG40" i="101"/>
  <c r="CH40" i="101"/>
  <c r="CI40" i="101"/>
  <c r="CJ40" i="101"/>
  <c r="CK40" i="101"/>
  <c r="CM40" i="101"/>
  <c r="BW41" i="101"/>
  <c r="BX41" i="101"/>
  <c r="BY41" i="101"/>
  <c r="BZ41" i="101"/>
  <c r="CA41" i="101"/>
  <c r="CB41" i="101"/>
  <c r="CC41" i="101"/>
  <c r="CD41" i="101"/>
  <c r="CE41" i="101"/>
  <c r="CF41" i="101"/>
  <c r="CG41" i="101"/>
  <c r="CH41" i="101"/>
  <c r="CI41" i="101"/>
  <c r="CJ41" i="101"/>
  <c r="CK41" i="101"/>
  <c r="CM41" i="101"/>
  <c r="BW42" i="101"/>
  <c r="BX42" i="101"/>
  <c r="BY42" i="101"/>
  <c r="BZ42" i="101"/>
  <c r="CA42" i="101"/>
  <c r="CB42" i="101"/>
  <c r="CC42" i="101"/>
  <c r="CD42" i="101"/>
  <c r="CE42" i="101"/>
  <c r="CF42" i="101"/>
  <c r="CG42" i="101"/>
  <c r="CH42" i="101"/>
  <c r="CI42" i="101"/>
  <c r="CJ42" i="101"/>
  <c r="CK42" i="101"/>
  <c r="CM42" i="101"/>
  <c r="BW43" i="101"/>
  <c r="BX43" i="101"/>
  <c r="BY43" i="101"/>
  <c r="BZ43" i="101"/>
  <c r="CA43" i="101"/>
  <c r="CB43" i="101"/>
  <c r="CC43" i="101"/>
  <c r="CD43" i="101"/>
  <c r="CE43" i="101"/>
  <c r="CF43" i="101"/>
  <c r="CG43" i="101"/>
  <c r="CH43" i="101"/>
  <c r="CI43" i="101"/>
  <c r="CJ43" i="101"/>
  <c r="CK43" i="101"/>
  <c r="CM43" i="101"/>
  <c r="AE45" i="101"/>
  <c r="AF45" i="101"/>
  <c r="AG45" i="101"/>
  <c r="AH45" i="101"/>
  <c r="AI45" i="101"/>
  <c r="AJ45" i="101"/>
  <c r="AK45" i="101"/>
  <c r="AL45" i="101"/>
  <c r="AM45" i="101"/>
  <c r="AN45" i="101"/>
  <c r="AO45" i="101"/>
  <c r="AP45" i="101"/>
  <c r="AQ45" i="101"/>
  <c r="AR45" i="101"/>
  <c r="AS45" i="101"/>
  <c r="AT45" i="101"/>
  <c r="AU45" i="101"/>
  <c r="AV45" i="101"/>
  <c r="AW45" i="101"/>
  <c r="AX45" i="101"/>
  <c r="AY45" i="101"/>
  <c r="AZ45" i="101"/>
  <c r="BA45" i="101"/>
  <c r="BB45" i="101"/>
  <c r="BC45" i="101"/>
  <c r="BD45" i="101"/>
  <c r="BE45" i="101"/>
  <c r="BF45" i="101"/>
  <c r="BG45" i="101"/>
  <c r="BH45" i="101"/>
  <c r="BI45" i="101"/>
  <c r="BJ45" i="101"/>
  <c r="BK45" i="101"/>
  <c r="BL45" i="101"/>
  <c r="BM45" i="101"/>
  <c r="BN45" i="101"/>
  <c r="BO45" i="101"/>
  <c r="BP45" i="101"/>
  <c r="BQ45" i="101"/>
  <c r="BR45" i="101"/>
  <c r="BS45" i="101"/>
  <c r="BT45" i="101"/>
  <c r="BU45" i="101"/>
  <c r="BX45" i="101"/>
  <c r="J11" i="100" s="1"/>
  <c r="CF45" i="101"/>
  <c r="CK45" i="101"/>
  <c r="J34" i="100" s="1"/>
  <c r="BY47" i="101"/>
  <c r="BZ47" i="101"/>
  <c r="CA47" i="101"/>
  <c r="CC47" i="101"/>
  <c r="D10" i="100"/>
  <c r="D12" i="100" s="1"/>
  <c r="A11" i="100"/>
  <c r="D11" i="100"/>
  <c r="A12" i="100"/>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E12" i="100"/>
  <c r="F12" i="100"/>
  <c r="G12" i="100"/>
  <c r="H12" i="100"/>
  <c r="D14" i="100"/>
  <c r="D15" i="100"/>
  <c r="D16" i="100"/>
  <c r="D17" i="100"/>
  <c r="D19" i="100" s="1"/>
  <c r="D18" i="100"/>
  <c r="E19" i="100"/>
  <c r="F19" i="100"/>
  <c r="G19" i="100"/>
  <c r="H19" i="100"/>
  <c r="D21" i="100"/>
  <c r="D22" i="100"/>
  <c r="D23" i="100"/>
  <c r="E24" i="100"/>
  <c r="F24" i="100"/>
  <c r="G24" i="100"/>
  <c r="H24" i="100"/>
  <c r="D26" i="100"/>
  <c r="D28" i="100"/>
  <c r="D30" i="100" s="1"/>
  <c r="D29" i="100"/>
  <c r="E30" i="100"/>
  <c r="F30" i="100"/>
  <c r="G30" i="100"/>
  <c r="H30" i="100"/>
  <c r="H36" i="100" s="1"/>
  <c r="H40" i="100" s="1"/>
  <c r="D32" i="100"/>
  <c r="D34" i="100"/>
  <c r="D38" i="100"/>
  <c r="W130" i="102" l="1"/>
  <c r="AA130" i="102"/>
  <c r="W218" i="102"/>
  <c r="AA218" i="102"/>
  <c r="E36" i="100"/>
  <c r="E40" i="100" s="1"/>
  <c r="CE45" i="101"/>
  <c r="J23" i="100" s="1"/>
  <c r="AA285" i="102"/>
  <c r="AA284" i="102"/>
  <c r="AA269" i="102"/>
  <c r="AA268" i="102"/>
  <c r="AA253" i="102"/>
  <c r="AA252" i="102"/>
  <c r="AA237" i="102"/>
  <c r="AA236" i="102"/>
  <c r="AA221" i="102"/>
  <c r="AA220" i="102"/>
  <c r="O215" i="102"/>
  <c r="AA185" i="102"/>
  <c r="K181" i="102"/>
  <c r="O181" i="102"/>
  <c r="AA161" i="102"/>
  <c r="W161" i="102"/>
  <c r="W157" i="102"/>
  <c r="K52" i="102"/>
  <c r="O52" i="102"/>
  <c r="D36" i="100"/>
  <c r="D40" i="100" s="1"/>
  <c r="D42" i="100" s="1"/>
  <c r="CM45" i="101"/>
  <c r="CL12" i="101"/>
  <c r="CN12" i="101" s="1"/>
  <c r="AA288" i="102"/>
  <c r="K281" i="102"/>
  <c r="AA272" i="102"/>
  <c r="K265" i="102"/>
  <c r="AA256" i="102"/>
  <c r="K249" i="102"/>
  <c r="AA240" i="102"/>
  <c r="K233" i="102"/>
  <c r="AA224" i="102"/>
  <c r="K218" i="102"/>
  <c r="AA210" i="102"/>
  <c r="AA202" i="102"/>
  <c r="W193" i="102"/>
  <c r="AA193" i="102"/>
  <c r="W173" i="102"/>
  <c r="AA153" i="102"/>
  <c r="W153" i="102"/>
  <c r="K127" i="102"/>
  <c r="O127" i="102"/>
  <c r="W121" i="102"/>
  <c r="W114" i="102"/>
  <c r="AA114" i="102"/>
  <c r="W39" i="102"/>
  <c r="AA39" i="102"/>
  <c r="Z286" i="102"/>
  <c r="Z270" i="102"/>
  <c r="Z254" i="102"/>
  <c r="Z238" i="102"/>
  <c r="AA238" i="102" s="1"/>
  <c r="O177" i="102"/>
  <c r="K177" i="102"/>
  <c r="AA103" i="102"/>
  <c r="W103" i="102"/>
  <c r="AA87" i="102"/>
  <c r="W87" i="102"/>
  <c r="O207" i="102"/>
  <c r="W194" i="102"/>
  <c r="AA194" i="102"/>
  <c r="Z122" i="102"/>
  <c r="K114" i="102"/>
  <c r="O114" i="102"/>
  <c r="W98" i="102"/>
  <c r="AA98" i="102"/>
  <c r="O39" i="102"/>
  <c r="K39" i="102"/>
  <c r="W31" i="102"/>
  <c r="AA31" i="102"/>
  <c r="D24" i="100"/>
  <c r="CI45" i="101"/>
  <c r="J32" i="100" s="1"/>
  <c r="CA45" i="101"/>
  <c r="CG45" i="101"/>
  <c r="J28" i="100" s="1"/>
  <c r="BY45" i="101"/>
  <c r="AA293" i="102"/>
  <c r="AA292" i="102"/>
  <c r="K285" i="102"/>
  <c r="AA277" i="102"/>
  <c r="AA276" i="102"/>
  <c r="K269" i="102"/>
  <c r="AA261" i="102"/>
  <c r="AA260" i="102"/>
  <c r="K253" i="102"/>
  <c r="AA245" i="102"/>
  <c r="AA244" i="102"/>
  <c r="K237" i="102"/>
  <c r="AA229" i="102"/>
  <c r="AA228" i="102"/>
  <c r="O210" i="102"/>
  <c r="O183" i="102"/>
  <c r="AA181" i="102"/>
  <c r="Z171" i="102"/>
  <c r="O171" i="102"/>
  <c r="AA145" i="102"/>
  <c r="W145" i="102"/>
  <c r="W141" i="102"/>
  <c r="W122" i="102"/>
  <c r="AA122" i="102"/>
  <c r="O96" i="102"/>
  <c r="K96" i="102"/>
  <c r="AA46" i="102"/>
  <c r="CL43" i="101"/>
  <c r="CN43" i="101" s="1"/>
  <c r="CL39" i="101"/>
  <c r="CN39" i="101" s="1"/>
  <c r="CL35" i="101"/>
  <c r="CN35" i="101" s="1"/>
  <c r="K289" i="102"/>
  <c r="AA280" i="102"/>
  <c r="K273" i="102"/>
  <c r="AA264" i="102"/>
  <c r="K257" i="102"/>
  <c r="AA248" i="102"/>
  <c r="K241" i="102"/>
  <c r="AA232" i="102"/>
  <c r="K225" i="102"/>
  <c r="O222" i="102"/>
  <c r="AA217" i="102"/>
  <c r="K202" i="102"/>
  <c r="O202" i="102"/>
  <c r="Z198" i="102"/>
  <c r="AA169" i="102"/>
  <c r="W169" i="102"/>
  <c r="AA137" i="102"/>
  <c r="W137" i="102"/>
  <c r="AA117" i="102"/>
  <c r="W106" i="102"/>
  <c r="AA106" i="102"/>
  <c r="W63" i="102"/>
  <c r="AA63" i="102"/>
  <c r="K60" i="102"/>
  <c r="O60" i="102"/>
  <c r="K44" i="102"/>
  <c r="O44" i="102"/>
  <c r="CL41" i="101"/>
  <c r="CN41" i="101" s="1"/>
  <c r="CL37" i="101"/>
  <c r="CN37" i="101" s="1"/>
  <c r="CL13" i="101"/>
  <c r="CL9" i="101"/>
  <c r="K213" i="102"/>
  <c r="O213" i="102"/>
  <c r="AA129" i="102"/>
  <c r="W129" i="102"/>
  <c r="O126" i="102"/>
  <c r="K126" i="102"/>
  <c r="W47" i="102"/>
  <c r="AA47" i="102"/>
  <c r="AA45" i="102"/>
  <c r="W45" i="102"/>
  <c r="F36" i="100"/>
  <c r="F40" i="100" s="1"/>
  <c r="CJ45" i="101"/>
  <c r="J38" i="100" s="1"/>
  <c r="CB45" i="101"/>
  <c r="J18" i="100" s="1"/>
  <c r="W284" i="102"/>
  <c r="W268" i="102"/>
  <c r="W252" i="102"/>
  <c r="W236" i="102"/>
  <c r="W220" i="102"/>
  <c r="O208" i="102"/>
  <c r="K205" i="102"/>
  <c r="O205" i="102"/>
  <c r="K186" i="102"/>
  <c r="O186" i="102"/>
  <c r="Z182" i="102"/>
  <c r="O174" i="102"/>
  <c r="K174" i="102"/>
  <c r="K133" i="102"/>
  <c r="O133" i="102"/>
  <c r="W125" i="102"/>
  <c r="AA125" i="102"/>
  <c r="K117" i="102"/>
  <c r="O117" i="102"/>
  <c r="K111" i="102"/>
  <c r="O111" i="102"/>
  <c r="W102" i="102"/>
  <c r="AA102" i="102"/>
  <c r="AA113" i="102"/>
  <c r="AA89" i="102"/>
  <c r="O170" i="102"/>
  <c r="AA165" i="102"/>
  <c r="O155" i="102"/>
  <c r="O154" i="102"/>
  <c r="AA149" i="102"/>
  <c r="O139" i="102"/>
  <c r="O138" i="102"/>
  <c r="O118" i="102"/>
  <c r="O80" i="102"/>
  <c r="O72" i="102"/>
  <c r="AA38" i="102"/>
  <c r="O31" i="102"/>
  <c r="O158" i="102"/>
  <c r="O142" i="102"/>
  <c r="O95" i="102"/>
  <c r="AA93" i="102"/>
  <c r="O86" i="102"/>
  <c r="AA70" i="102"/>
  <c r="AA55" i="102"/>
  <c r="Z43" i="102"/>
  <c r="AA43" i="102" s="1"/>
  <c r="O37" i="102"/>
  <c r="AA90" i="102"/>
  <c r="O68" i="102"/>
  <c r="O67" i="102"/>
  <c r="B33" i="102"/>
  <c r="AA91" i="102"/>
  <c r="O69" i="102"/>
  <c r="O166" i="102"/>
  <c r="O150" i="102"/>
  <c r="O134" i="102"/>
  <c r="W113" i="102"/>
  <c r="AA101" i="102"/>
  <c r="W91" i="102"/>
  <c r="W89" i="102"/>
  <c r="AA66" i="102"/>
  <c r="O35" i="102"/>
  <c r="J30" i="100"/>
  <c r="W231" i="102"/>
  <c r="AA231" i="102"/>
  <c r="K193" i="102"/>
  <c r="O193" i="102"/>
  <c r="O108" i="102"/>
  <c r="K108" i="102"/>
  <c r="CL38" i="101"/>
  <c r="CN38" i="101" s="1"/>
  <c r="CN14" i="101"/>
  <c r="CN9" i="101"/>
  <c r="W291" i="102"/>
  <c r="AA291" i="102"/>
  <c r="AA289" i="102"/>
  <c r="W283" i="102"/>
  <c r="AA283" i="102"/>
  <c r="AA281" i="102"/>
  <c r="W275" i="102"/>
  <c r="AA275" i="102"/>
  <c r="AA273" i="102"/>
  <c r="W267" i="102"/>
  <c r="AA267" i="102"/>
  <c r="AA265" i="102"/>
  <c r="W259" i="102"/>
  <c r="AA259" i="102"/>
  <c r="AA257" i="102"/>
  <c r="W251" i="102"/>
  <c r="AA251" i="102"/>
  <c r="AA249" i="102"/>
  <c r="W243" i="102"/>
  <c r="AA243" i="102"/>
  <c r="AA241" i="102"/>
  <c r="W235" i="102"/>
  <c r="AA235" i="102"/>
  <c r="AA233" i="102"/>
  <c r="W227" i="102"/>
  <c r="AA227" i="102"/>
  <c r="AA225" i="102"/>
  <c r="K217" i="102"/>
  <c r="O217" i="102"/>
  <c r="W214" i="102"/>
  <c r="AA214" i="102"/>
  <c r="O212" i="102"/>
  <c r="K212" i="102"/>
  <c r="K211" i="102"/>
  <c r="O211" i="102"/>
  <c r="K209" i="102"/>
  <c r="O209" i="102"/>
  <c r="AA200" i="102"/>
  <c r="W200" i="102"/>
  <c r="O197" i="102"/>
  <c r="W188" i="102"/>
  <c r="AA188" i="102"/>
  <c r="W182" i="102"/>
  <c r="AA182" i="102"/>
  <c r="AA179" i="102"/>
  <c r="W179" i="102"/>
  <c r="AA176" i="102"/>
  <c r="W176" i="102"/>
  <c r="W166" i="102"/>
  <c r="AA166" i="102"/>
  <c r="W156" i="102"/>
  <c r="AA156" i="102"/>
  <c r="W134" i="102"/>
  <c r="AA134" i="102"/>
  <c r="K123" i="102"/>
  <c r="O123" i="102"/>
  <c r="AA112" i="102"/>
  <c r="W112" i="102"/>
  <c r="AA105" i="102"/>
  <c r="W105" i="102"/>
  <c r="CL15" i="101"/>
  <c r="W287" i="102"/>
  <c r="AA287" i="102"/>
  <c r="W279" i="102"/>
  <c r="AA279" i="102"/>
  <c r="W271" i="102"/>
  <c r="AA271" i="102"/>
  <c r="W239" i="102"/>
  <c r="AA239" i="102"/>
  <c r="K195" i="102"/>
  <c r="O195" i="102"/>
  <c r="W172" i="102"/>
  <c r="AA172" i="102"/>
  <c r="CL42" i="101"/>
  <c r="CN42" i="101" s="1"/>
  <c r="G36" i="100"/>
  <c r="G40" i="100" s="1"/>
  <c r="CF47" i="101"/>
  <c r="BY48" i="101" s="1"/>
  <c r="BY49" i="101" s="1"/>
  <c r="CL40" i="101"/>
  <c r="CN40" i="101" s="1"/>
  <c r="CL36" i="101"/>
  <c r="CN36" i="101" s="1"/>
  <c r="CL32" i="101"/>
  <c r="CN32" i="101" s="1"/>
  <c r="CL28" i="101"/>
  <c r="CN28" i="101" s="1"/>
  <c r="CH45" i="101"/>
  <c r="J29" i="100" s="1"/>
  <c r="CD45" i="101"/>
  <c r="J22" i="100" s="1"/>
  <c r="BZ45" i="101"/>
  <c r="CL24" i="101"/>
  <c r="CL23" i="101"/>
  <c r="CN23" i="101" s="1"/>
  <c r="CL22" i="101"/>
  <c r="CN22" i="101" s="1"/>
  <c r="CL21" i="101"/>
  <c r="CN21" i="101" s="1"/>
  <c r="CL20" i="101"/>
  <c r="CN20" i="101" s="1"/>
  <c r="CL19" i="101"/>
  <c r="CN19" i="101" s="1"/>
  <c r="CL17" i="101"/>
  <c r="CN17" i="101" s="1"/>
  <c r="CL16" i="101"/>
  <c r="CN16" i="101" s="1"/>
  <c r="CN10" i="101"/>
  <c r="K292" i="102"/>
  <c r="O292" i="102"/>
  <c r="O290" i="102"/>
  <c r="O287" i="102"/>
  <c r="AA286" i="102"/>
  <c r="K284" i="102"/>
  <c r="O284" i="102"/>
  <c r="O282" i="102"/>
  <c r="O279" i="102"/>
  <c r="AA278" i="102"/>
  <c r="K276" i="102"/>
  <c r="O276" i="102"/>
  <c r="O274" i="102"/>
  <c r="O271" i="102"/>
  <c r="AA270" i="102"/>
  <c r="K268" i="102"/>
  <c r="O268" i="102"/>
  <c r="O266" i="102"/>
  <c r="O263" i="102"/>
  <c r="AA262" i="102"/>
  <c r="K260" i="102"/>
  <c r="O260" i="102"/>
  <c r="O258" i="102"/>
  <c r="O255" i="102"/>
  <c r="AA254" i="102"/>
  <c r="K252" i="102"/>
  <c r="O252" i="102"/>
  <c r="O250" i="102"/>
  <c r="O247" i="102"/>
  <c r="AA246" i="102"/>
  <c r="K244" i="102"/>
  <c r="O244" i="102"/>
  <c r="O242" i="102"/>
  <c r="O239" i="102"/>
  <c r="K236" i="102"/>
  <c r="O236" i="102"/>
  <c r="O234" i="102"/>
  <c r="O231" i="102"/>
  <c r="AA230" i="102"/>
  <c r="K228" i="102"/>
  <c r="O228" i="102"/>
  <c r="O226" i="102"/>
  <c r="O223" i="102"/>
  <c r="AA222" i="102"/>
  <c r="K220" i="102"/>
  <c r="O220" i="102"/>
  <c r="K219" i="102"/>
  <c r="O219" i="102"/>
  <c r="W212" i="102"/>
  <c r="AA212" i="102"/>
  <c r="W206" i="102"/>
  <c r="AA206" i="102"/>
  <c r="O204" i="102"/>
  <c r="K204" i="102"/>
  <c r="K203" i="102"/>
  <c r="O203" i="102"/>
  <c r="K201" i="102"/>
  <c r="O201" i="102"/>
  <c r="AA192" i="102"/>
  <c r="W192" i="102"/>
  <c r="O189" i="102"/>
  <c r="W178" i="102"/>
  <c r="AA178" i="102"/>
  <c r="W158" i="102"/>
  <c r="AA158" i="102"/>
  <c r="W148" i="102"/>
  <c r="AA148" i="102"/>
  <c r="K125" i="102"/>
  <c r="O125" i="102"/>
  <c r="O124" i="102"/>
  <c r="K124" i="102"/>
  <c r="K107" i="102"/>
  <c r="O107" i="102"/>
  <c r="W263" i="102"/>
  <c r="AA263" i="102"/>
  <c r="W255" i="102"/>
  <c r="AA255" i="102"/>
  <c r="W247" i="102"/>
  <c r="AA247" i="102"/>
  <c r="W223" i="102"/>
  <c r="AA223" i="102"/>
  <c r="W204" i="102"/>
  <c r="AA204" i="102"/>
  <c r="W198" i="102"/>
  <c r="AA198" i="102"/>
  <c r="O196" i="102"/>
  <c r="K196" i="102"/>
  <c r="AA184" i="102"/>
  <c r="W184" i="102"/>
  <c r="W150" i="102"/>
  <c r="AA150" i="102"/>
  <c r="W140" i="102"/>
  <c r="AA140" i="102"/>
  <c r="K109" i="102"/>
  <c r="O109" i="102"/>
  <c r="W94" i="102"/>
  <c r="AA94" i="102"/>
  <c r="CL34" i="101"/>
  <c r="CN34" i="101" s="1"/>
  <c r="BW45" i="101"/>
  <c r="J10" i="100" s="1"/>
  <c r="J12" i="100" s="1"/>
  <c r="CL30" i="101"/>
  <c r="CN30" i="101" s="1"/>
  <c r="CL26" i="101"/>
  <c r="CN26" i="101" s="1"/>
  <c r="CN18" i="101"/>
  <c r="CN15" i="101"/>
  <c r="CN13" i="101"/>
  <c r="CL11" i="101"/>
  <c r="CN11" i="101" s="1"/>
  <c r="CL8" i="101"/>
  <c r="CN8" i="101" s="1"/>
  <c r="O291" i="102"/>
  <c r="AA290" i="102"/>
  <c r="K288" i="102"/>
  <c r="O288" i="102"/>
  <c r="O283" i="102"/>
  <c r="AA282" i="102"/>
  <c r="K280" i="102"/>
  <c r="O280" i="102"/>
  <c r="O275" i="102"/>
  <c r="AA274" i="102"/>
  <c r="K272" i="102"/>
  <c r="O272" i="102"/>
  <c r="O267" i="102"/>
  <c r="AA266" i="102"/>
  <c r="K264" i="102"/>
  <c r="O264" i="102"/>
  <c r="O259" i="102"/>
  <c r="AA258" i="102"/>
  <c r="K256" i="102"/>
  <c r="O256" i="102"/>
  <c r="O251" i="102"/>
  <c r="AA250" i="102"/>
  <c r="K248" i="102"/>
  <c r="O248" i="102"/>
  <c r="O243" i="102"/>
  <c r="AA242" i="102"/>
  <c r="K240" i="102"/>
  <c r="O240" i="102"/>
  <c r="O235" i="102"/>
  <c r="AA234" i="102"/>
  <c r="K232" i="102"/>
  <c r="O232" i="102"/>
  <c r="O227" i="102"/>
  <c r="AA226" i="102"/>
  <c r="K224" i="102"/>
  <c r="O224" i="102"/>
  <c r="AA216" i="102"/>
  <c r="W216" i="102"/>
  <c r="AA208" i="102"/>
  <c r="W208" i="102"/>
  <c r="W196" i="102"/>
  <c r="AA196" i="102"/>
  <c r="W190" i="102"/>
  <c r="AA190" i="102"/>
  <c r="O188" i="102"/>
  <c r="K188" i="102"/>
  <c r="K187" i="102"/>
  <c r="O187" i="102"/>
  <c r="K185" i="102"/>
  <c r="O185" i="102"/>
  <c r="K179" i="102"/>
  <c r="O179" i="102"/>
  <c r="O178" i="102"/>
  <c r="K178" i="102"/>
  <c r="O176" i="102"/>
  <c r="K176" i="102"/>
  <c r="W174" i="102"/>
  <c r="AA174" i="102"/>
  <c r="W164" i="102"/>
  <c r="AA164" i="102"/>
  <c r="W142" i="102"/>
  <c r="AA142" i="102"/>
  <c r="AA128" i="102"/>
  <c r="W128" i="102"/>
  <c r="O98" i="102"/>
  <c r="K98" i="102"/>
  <c r="K291" i="102"/>
  <c r="W290" i="102"/>
  <c r="K287" i="102"/>
  <c r="W286" i="102"/>
  <c r="K283" i="102"/>
  <c r="W282" i="102"/>
  <c r="K279" i="102"/>
  <c r="W278" i="102"/>
  <c r="K275" i="102"/>
  <c r="W274" i="102"/>
  <c r="K271" i="102"/>
  <c r="W270" i="102"/>
  <c r="K267" i="102"/>
  <c r="W266" i="102"/>
  <c r="K263" i="102"/>
  <c r="W262" i="102"/>
  <c r="K259" i="102"/>
  <c r="W258" i="102"/>
  <c r="K255" i="102"/>
  <c r="W254" i="102"/>
  <c r="K251" i="102"/>
  <c r="W250" i="102"/>
  <c r="K247" i="102"/>
  <c r="W246" i="102"/>
  <c r="K243" i="102"/>
  <c r="W242" i="102"/>
  <c r="K239" i="102"/>
  <c r="W238" i="102"/>
  <c r="K235" i="102"/>
  <c r="W234" i="102"/>
  <c r="K231" i="102"/>
  <c r="W230" i="102"/>
  <c r="K227" i="102"/>
  <c r="W226" i="102"/>
  <c r="K223" i="102"/>
  <c r="W222" i="102"/>
  <c r="O216" i="102"/>
  <c r="W168" i="102"/>
  <c r="AA168" i="102"/>
  <c r="W160" i="102"/>
  <c r="AA160" i="102"/>
  <c r="W152" i="102"/>
  <c r="AA152" i="102"/>
  <c r="W144" i="102"/>
  <c r="AA144" i="102"/>
  <c r="W136" i="102"/>
  <c r="AA136" i="102"/>
  <c r="O132" i="102"/>
  <c r="K132" i="102"/>
  <c r="K131" i="102"/>
  <c r="O131" i="102"/>
  <c r="AA120" i="102"/>
  <c r="W120" i="102"/>
  <c r="O116" i="102"/>
  <c r="K116" i="102"/>
  <c r="K115" i="102"/>
  <c r="O115" i="102"/>
  <c r="K105" i="102"/>
  <c r="O105" i="102"/>
  <c r="AA97" i="102"/>
  <c r="W97" i="102"/>
  <c r="W92" i="102"/>
  <c r="AA92" i="102"/>
  <c r="K87" i="102"/>
  <c r="O87" i="102"/>
  <c r="AA219" i="102"/>
  <c r="K216" i="102"/>
  <c r="AA211" i="102"/>
  <c r="K208" i="102"/>
  <c r="AA203" i="102"/>
  <c r="K200" i="102"/>
  <c r="AA195" i="102"/>
  <c r="K192" i="102"/>
  <c r="AA187" i="102"/>
  <c r="K184" i="102"/>
  <c r="AA180" i="102"/>
  <c r="O180" i="102"/>
  <c r="K180" i="102"/>
  <c r="O175" i="102"/>
  <c r="O172" i="102"/>
  <c r="AA171" i="102"/>
  <c r="K169" i="102"/>
  <c r="O169" i="102"/>
  <c r="O167" i="102"/>
  <c r="O164" i="102"/>
  <c r="AA163" i="102"/>
  <c r="K161" i="102"/>
  <c r="O161" i="102"/>
  <c r="O159" i="102"/>
  <c r="O156" i="102"/>
  <c r="AA155" i="102"/>
  <c r="K153" i="102"/>
  <c r="O153" i="102"/>
  <c r="O151" i="102"/>
  <c r="O148" i="102"/>
  <c r="AA147" i="102"/>
  <c r="K145" i="102"/>
  <c r="O145" i="102"/>
  <c r="O143" i="102"/>
  <c r="O140" i="102"/>
  <c r="AA139" i="102"/>
  <c r="K137" i="102"/>
  <c r="O137" i="102"/>
  <c r="O135" i="102"/>
  <c r="W132" i="102"/>
  <c r="AA132" i="102"/>
  <c r="K121" i="102"/>
  <c r="O121" i="102"/>
  <c r="W118" i="102"/>
  <c r="AA118" i="102"/>
  <c r="W116" i="102"/>
  <c r="AA116" i="102"/>
  <c r="W104" i="102"/>
  <c r="AA104" i="102"/>
  <c r="AA81" i="102"/>
  <c r="W81" i="102"/>
  <c r="O76" i="102"/>
  <c r="K76" i="102"/>
  <c r="W59" i="102"/>
  <c r="AA59" i="102"/>
  <c r="K46" i="102"/>
  <c r="O46" i="102"/>
  <c r="AA215" i="102"/>
  <c r="AA207" i="102"/>
  <c r="AA199" i="102"/>
  <c r="AA191" i="102"/>
  <c r="AA183" i="102"/>
  <c r="AA175" i="102"/>
  <c r="W175" i="102"/>
  <c r="K173" i="102"/>
  <c r="O173" i="102"/>
  <c r="O168" i="102"/>
  <c r="AA167" i="102"/>
  <c r="K165" i="102"/>
  <c r="O165" i="102"/>
  <c r="O160" i="102"/>
  <c r="AA159" i="102"/>
  <c r="K157" i="102"/>
  <c r="O157" i="102"/>
  <c r="O152" i="102"/>
  <c r="AA151" i="102"/>
  <c r="K149" i="102"/>
  <c r="O149" i="102"/>
  <c r="O144" i="102"/>
  <c r="AA143" i="102"/>
  <c r="K141" i="102"/>
  <c r="O141" i="102"/>
  <c r="O136" i="102"/>
  <c r="AA135" i="102"/>
  <c r="K129" i="102"/>
  <c r="O129" i="102"/>
  <c r="W126" i="102"/>
  <c r="AA126" i="102"/>
  <c r="W124" i="102"/>
  <c r="AA124" i="102"/>
  <c r="K113" i="102"/>
  <c r="O113" i="102"/>
  <c r="W110" i="102"/>
  <c r="AA110" i="102"/>
  <c r="W108" i="102"/>
  <c r="AA108" i="102"/>
  <c r="K89" i="102"/>
  <c r="O89" i="102"/>
  <c r="O82" i="102"/>
  <c r="K82" i="102"/>
  <c r="W77" i="102"/>
  <c r="AA77" i="102"/>
  <c r="W73" i="102"/>
  <c r="AA73" i="102"/>
  <c r="K172" i="102"/>
  <c r="W171" i="102"/>
  <c r="K168" i="102"/>
  <c r="W167" i="102"/>
  <c r="K164" i="102"/>
  <c r="W163" i="102"/>
  <c r="K160" i="102"/>
  <c r="W159" i="102"/>
  <c r="K156" i="102"/>
  <c r="W155" i="102"/>
  <c r="K152" i="102"/>
  <c r="W151" i="102"/>
  <c r="K148" i="102"/>
  <c r="W147" i="102"/>
  <c r="K144" i="102"/>
  <c r="W143" i="102"/>
  <c r="K140" i="102"/>
  <c r="W139" i="102"/>
  <c r="K136" i="102"/>
  <c r="W135" i="102"/>
  <c r="O128" i="102"/>
  <c r="O120" i="102"/>
  <c r="O112" i="102"/>
  <c r="O104" i="102"/>
  <c r="W100" i="102"/>
  <c r="AA100" i="102"/>
  <c r="AA99" i="102"/>
  <c r="K97" i="102"/>
  <c r="O97" i="102"/>
  <c r="K94" i="102"/>
  <c r="O88" i="102"/>
  <c r="W84" i="102"/>
  <c r="AA84" i="102"/>
  <c r="AA83" i="102"/>
  <c r="K81" i="102"/>
  <c r="O81" i="102"/>
  <c r="K78" i="102"/>
  <c r="O78" i="102"/>
  <c r="AA74" i="102"/>
  <c r="W74" i="102"/>
  <c r="O73" i="102"/>
  <c r="K73" i="102"/>
  <c r="W71" i="102"/>
  <c r="K66" i="102"/>
  <c r="O66" i="102"/>
  <c r="K56" i="102"/>
  <c r="O56" i="102"/>
  <c r="AA131" i="102"/>
  <c r="K128" i="102"/>
  <c r="AA123" i="102"/>
  <c r="K120" i="102"/>
  <c r="AA115" i="102"/>
  <c r="K112" i="102"/>
  <c r="AA107" i="102"/>
  <c r="O103" i="102"/>
  <c r="K101" i="102"/>
  <c r="O101" i="102"/>
  <c r="O92" i="102"/>
  <c r="O91" i="102"/>
  <c r="W88" i="102"/>
  <c r="AA88" i="102"/>
  <c r="K85" i="102"/>
  <c r="O85" i="102"/>
  <c r="K64" i="102"/>
  <c r="O64" i="102"/>
  <c r="L58" i="102"/>
  <c r="P70" i="102"/>
  <c r="O57" i="102"/>
  <c r="K57" i="102"/>
  <c r="AA127" i="102"/>
  <c r="AA119" i="102"/>
  <c r="AA111" i="102"/>
  <c r="O100" i="102"/>
  <c r="W96" i="102"/>
  <c r="AA96" i="102"/>
  <c r="AA95" i="102"/>
  <c r="K93" i="102"/>
  <c r="O93" i="102"/>
  <c r="K90" i="102"/>
  <c r="O84" i="102"/>
  <c r="O83" i="102"/>
  <c r="W80" i="102"/>
  <c r="AA80" i="102"/>
  <c r="AA76" i="102"/>
  <c r="W76" i="102"/>
  <c r="K74" i="102"/>
  <c r="O74" i="102"/>
  <c r="K54" i="102"/>
  <c r="O54" i="102"/>
  <c r="AA78" i="102"/>
  <c r="O65" i="102"/>
  <c r="AA61" i="102"/>
  <c r="W61" i="102"/>
  <c r="W49" i="102"/>
  <c r="AA49" i="102"/>
  <c r="O79" i="102"/>
  <c r="W78" i="102"/>
  <c r="O77" i="102"/>
  <c r="AA72" i="102"/>
  <c r="O71" i="102"/>
  <c r="W70" i="102"/>
  <c r="K69" i="102"/>
  <c r="W65" i="102"/>
  <c r="AA65" i="102"/>
  <c r="AA64" i="102"/>
  <c r="K62" i="102"/>
  <c r="O62" i="102"/>
  <c r="AA53" i="102"/>
  <c r="W53" i="102"/>
  <c r="O50" i="102"/>
  <c r="AA37" i="102"/>
  <c r="W37" i="102"/>
  <c r="O75" i="102"/>
  <c r="AA68" i="102"/>
  <c r="AA67" i="102"/>
  <c r="W57" i="102"/>
  <c r="AA57" i="102"/>
  <c r="W51" i="102"/>
  <c r="AA51" i="102"/>
  <c r="O49" i="102"/>
  <c r="K49" i="102"/>
  <c r="K48" i="102"/>
  <c r="O48" i="102"/>
  <c r="W33" i="102"/>
  <c r="AA33" i="102"/>
  <c r="W41" i="102"/>
  <c r="AA41" i="102"/>
  <c r="K61" i="102"/>
  <c r="AA56" i="102"/>
  <c r="K53" i="102"/>
  <c r="AA48" i="102"/>
  <c r="O42" i="102"/>
  <c r="O33" i="102"/>
  <c r="K33" i="102"/>
  <c r="K32" i="102"/>
  <c r="O32" i="102"/>
  <c r="AA60" i="102"/>
  <c r="AA52" i="102"/>
  <c r="O41" i="102"/>
  <c r="K41" i="102"/>
  <c r="K40" i="102"/>
  <c r="O40" i="102"/>
  <c r="K38" i="102"/>
  <c r="O38" i="102"/>
  <c r="W35" i="102"/>
  <c r="AA35" i="102"/>
  <c r="O34" i="102"/>
  <c r="A33" i="102"/>
  <c r="B34" i="102"/>
  <c r="O30" i="102"/>
  <c r="K30" i="102"/>
  <c r="X30" i="102"/>
  <c r="AA40" i="102"/>
  <c r="K37" i="102"/>
  <c r="AA32" i="102"/>
  <c r="AA44" i="102"/>
  <c r="AA36" i="102"/>
  <c r="A10" i="102"/>
  <c r="BY51" i="101" l="1"/>
  <c r="J14" i="100" s="1"/>
  <c r="CN24" i="101"/>
  <c r="CN45" i="101" s="1"/>
  <c r="CL45" i="101"/>
  <c r="A11" i="102"/>
  <c r="W30" i="102"/>
  <c r="AA30" i="102"/>
  <c r="BZ48" i="101"/>
  <c r="BZ49" i="101" s="1"/>
  <c r="BZ51" i="101" s="1"/>
  <c r="J15" i="100" s="1"/>
  <c r="CA48" i="101"/>
  <c r="CA49" i="101" s="1"/>
  <c r="CA51" i="101" s="1"/>
  <c r="J16" i="100" s="1"/>
  <c r="B35" i="102"/>
  <c r="A34" i="102"/>
  <c r="C33" i="102"/>
  <c r="K58" i="102"/>
  <c r="O58" i="102"/>
  <c r="P69" i="102" s="1"/>
  <c r="CC48" i="101"/>
  <c r="CC49" i="101" s="1"/>
  <c r="CC51" i="101" s="1"/>
  <c r="J21" i="100" s="1"/>
  <c r="J24" i="100" s="1"/>
  <c r="J19" i="100" l="1"/>
  <c r="A12" i="102"/>
  <c r="C34" i="102"/>
  <c r="B36" i="102"/>
  <c r="A35" i="102"/>
  <c r="CF49" i="101"/>
  <c r="CF51" i="101" s="1"/>
  <c r="J26" i="100" s="1"/>
  <c r="J36" i="100" s="1"/>
  <c r="J40" i="100" s="1"/>
  <c r="J42" i="100" s="1"/>
  <c r="J43" i="100" l="1"/>
  <c r="K42" i="100"/>
  <c r="C35" i="102"/>
  <c r="A13" i="102"/>
  <c r="A36" i="102"/>
  <c r="B37" i="102"/>
  <c r="A37" i="102" l="1"/>
  <c r="B38" i="102"/>
  <c r="C36" i="102"/>
  <c r="A14" i="102"/>
  <c r="B39" i="102" l="1"/>
  <c r="A38" i="102"/>
  <c r="A15" i="102"/>
  <c r="C37" i="102"/>
  <c r="A39" i="102" l="1"/>
  <c r="B40" i="102"/>
  <c r="C38" i="102"/>
  <c r="A16" i="102"/>
  <c r="A40" i="102" l="1"/>
  <c r="B41" i="102"/>
  <c r="A17" i="102"/>
  <c r="C39" i="102"/>
  <c r="A41" i="102" l="1"/>
  <c r="B42" i="102"/>
  <c r="A18" i="102"/>
  <c r="C40" i="102"/>
  <c r="A19" i="102" l="1"/>
  <c r="B43" i="102"/>
  <c r="A42" i="102"/>
  <c r="C41" i="102"/>
  <c r="B44" i="102" l="1"/>
  <c r="A43" i="102"/>
  <c r="A20" i="102"/>
  <c r="C42" i="102"/>
  <c r="A21" i="102" l="1"/>
  <c r="C43" i="102"/>
  <c r="A44" i="102"/>
  <c r="B45" i="102"/>
  <c r="B46" i="102" l="1"/>
  <c r="A45" i="102"/>
  <c r="C44" i="102"/>
  <c r="A22" i="102"/>
  <c r="A23" i="102" l="1"/>
  <c r="C45" i="102"/>
  <c r="B47" i="102"/>
  <c r="A46" i="102"/>
  <c r="C46" i="102" l="1"/>
  <c r="A24" i="102"/>
  <c r="A47" i="102"/>
  <c r="B48" i="102"/>
  <c r="C47" i="102" l="1"/>
  <c r="A48" i="102"/>
  <c r="B49" i="102"/>
  <c r="A25" i="102"/>
  <c r="A26" i="102" l="1"/>
  <c r="A49" i="102"/>
  <c r="B50" i="102"/>
  <c r="C48" i="102"/>
  <c r="C49" i="102" l="1"/>
  <c r="A27" i="102"/>
  <c r="B51" i="102"/>
  <c r="A50" i="102"/>
  <c r="C50" i="102" l="1"/>
  <c r="B52" i="102"/>
  <c r="A51" i="102"/>
  <c r="A28" i="102"/>
  <c r="A52" i="102" l="1"/>
  <c r="B53" i="102"/>
  <c r="C51" i="102"/>
  <c r="C52" i="102" l="1"/>
  <c r="A53" i="102"/>
  <c r="B54" i="102"/>
  <c r="B55" i="102" l="1"/>
  <c r="A54" i="102"/>
  <c r="C53" i="102"/>
  <c r="C54" i="102" l="1"/>
  <c r="A55" i="102"/>
  <c r="B56" i="102"/>
  <c r="C55" i="102" l="1"/>
  <c r="A56" i="102"/>
  <c r="B57" i="102"/>
  <c r="A57" i="102" l="1"/>
  <c r="B58" i="102"/>
  <c r="C56" i="102"/>
  <c r="B59" i="102" l="1"/>
  <c r="A58" i="102"/>
  <c r="C57" i="102"/>
  <c r="C58" i="102" l="1"/>
  <c r="B60" i="102"/>
  <c r="A59" i="102"/>
  <c r="C59" i="102" l="1"/>
  <c r="A60" i="102"/>
  <c r="C60" i="102" s="1"/>
  <c r="B61" i="102"/>
  <c r="A61" i="102" l="1"/>
  <c r="C61" i="102" s="1"/>
  <c r="B62" i="102"/>
  <c r="B63" i="102" l="1"/>
  <c r="A62" i="102"/>
  <c r="C62" i="102" s="1"/>
  <c r="A63" i="102" l="1"/>
  <c r="C63" i="102" s="1"/>
  <c r="B64" i="102"/>
  <c r="B65" i="102" l="1"/>
  <c r="A64" i="102"/>
  <c r="C64" i="102" s="1"/>
  <c r="A65" i="102" l="1"/>
  <c r="C65" i="102" s="1"/>
  <c r="B66" i="102"/>
  <c r="A66" i="102" l="1"/>
  <c r="C66" i="102" s="1"/>
  <c r="B67" i="102"/>
  <c r="A67" i="102" l="1"/>
  <c r="C67" i="102" s="1"/>
  <c r="B68" i="102"/>
  <c r="A68" i="102" l="1"/>
  <c r="C68" i="102" s="1"/>
  <c r="B69" i="102"/>
  <c r="B70" i="102" l="1"/>
  <c r="A69" i="102"/>
  <c r="C69" i="102" s="1"/>
  <c r="A70" i="102" l="1"/>
  <c r="C70" i="102" s="1"/>
  <c r="B71" i="102"/>
  <c r="B72" i="102" l="1"/>
  <c r="A71" i="102"/>
  <c r="C71" i="102" s="1"/>
  <c r="B73" i="102" l="1"/>
  <c r="A72" i="102"/>
  <c r="C72" i="102" s="1"/>
  <c r="A73" i="102" l="1"/>
  <c r="C73" i="102" s="1"/>
  <c r="B74" i="102"/>
  <c r="A74" i="102" l="1"/>
  <c r="C74" i="102" s="1"/>
  <c r="B75" i="102"/>
  <c r="A75" i="102" l="1"/>
  <c r="C75" i="102" s="1"/>
  <c r="B76" i="102"/>
  <c r="B77" i="102" l="1"/>
  <c r="A76" i="102"/>
  <c r="C76" i="102" s="1"/>
  <c r="B78" i="102" l="1"/>
  <c r="A77" i="102"/>
  <c r="C77" i="102" s="1"/>
  <c r="A78" i="102" l="1"/>
  <c r="C78" i="102" s="1"/>
  <c r="B79" i="102"/>
  <c r="B80" i="102" l="1"/>
  <c r="A79" i="102"/>
  <c r="C79" i="102" s="1"/>
  <c r="A80" i="102" l="1"/>
  <c r="C80" i="102" s="1"/>
  <c r="B81" i="102"/>
  <c r="A81" i="102" l="1"/>
  <c r="C81" i="102" s="1"/>
  <c r="B82" i="102"/>
  <c r="B83" i="102" l="1"/>
  <c r="A82" i="102"/>
  <c r="C82" i="102" s="1"/>
  <c r="B84" i="102" l="1"/>
  <c r="A83" i="102"/>
  <c r="C83" i="102" s="1"/>
  <c r="A84" i="102" l="1"/>
  <c r="C84" i="102" s="1"/>
  <c r="B85" i="102"/>
  <c r="A85" i="102" l="1"/>
  <c r="C85" i="102" s="1"/>
  <c r="B86" i="102"/>
  <c r="B87" i="102" l="1"/>
  <c r="A86" i="102"/>
  <c r="C86" i="102" s="1"/>
  <c r="B88" i="102" l="1"/>
  <c r="A87" i="102"/>
  <c r="C87" i="102" s="1"/>
  <c r="A88" i="102" l="1"/>
  <c r="C88" i="102" s="1"/>
  <c r="B89" i="102"/>
  <c r="A89" i="102" l="1"/>
  <c r="C89" i="102" s="1"/>
  <c r="B90" i="102"/>
  <c r="B91" i="102" l="1"/>
  <c r="A90" i="102"/>
  <c r="C90" i="102" s="1"/>
  <c r="B92" i="102" l="1"/>
  <c r="A91" i="102"/>
  <c r="C91" i="102" s="1"/>
  <c r="A92" i="102" l="1"/>
  <c r="C92" i="102" s="1"/>
  <c r="B93" i="102"/>
  <c r="A93" i="102" l="1"/>
  <c r="C93" i="102" s="1"/>
  <c r="B94" i="102"/>
  <c r="B95" i="102" l="1"/>
  <c r="A94" i="102"/>
  <c r="C94" i="102" s="1"/>
  <c r="B96" i="102" l="1"/>
  <c r="A95" i="102"/>
  <c r="C95" i="102" s="1"/>
  <c r="A96" i="102" l="1"/>
  <c r="C96" i="102" s="1"/>
  <c r="B97" i="102"/>
  <c r="A97" i="102" l="1"/>
  <c r="C97" i="102" s="1"/>
  <c r="B98" i="102"/>
  <c r="B99" i="102" l="1"/>
  <c r="A98" i="102"/>
  <c r="C98" i="102" s="1"/>
  <c r="B100" i="102" l="1"/>
  <c r="A99" i="102"/>
  <c r="C99" i="102" s="1"/>
  <c r="A100" i="102" l="1"/>
  <c r="C100" i="102" s="1"/>
  <c r="B101" i="102"/>
  <c r="A101" i="102" l="1"/>
  <c r="C101" i="102" s="1"/>
  <c r="B102" i="102"/>
  <c r="B103" i="102" l="1"/>
  <c r="A102" i="102"/>
  <c r="C102" i="102" s="1"/>
  <c r="B104" i="102" l="1"/>
  <c r="A103" i="102"/>
  <c r="C103" i="102" s="1"/>
  <c r="B105" i="102" l="1"/>
  <c r="A104" i="102"/>
  <c r="C104" i="102" s="1"/>
  <c r="A105" i="102" l="1"/>
  <c r="C105" i="102" s="1"/>
  <c r="B106" i="102"/>
  <c r="A106" i="102" l="1"/>
  <c r="C106" i="102" s="1"/>
  <c r="B107" i="102"/>
  <c r="A107" i="102" l="1"/>
  <c r="C107" i="102" s="1"/>
  <c r="B108" i="102"/>
  <c r="A108" i="102" l="1"/>
  <c r="C108" i="102" s="1"/>
  <c r="B109" i="102"/>
  <c r="B110" i="102" l="1"/>
  <c r="A109" i="102"/>
  <c r="C109" i="102" s="1"/>
  <c r="B111" i="102" l="1"/>
  <c r="A110" i="102"/>
  <c r="C110" i="102" s="1"/>
  <c r="A111" i="102" l="1"/>
  <c r="C111" i="102" s="1"/>
  <c r="B112" i="102"/>
  <c r="A112" i="102" l="1"/>
  <c r="C112" i="102" s="1"/>
  <c r="B113" i="102"/>
  <c r="B114" i="102" l="1"/>
  <c r="A113" i="102"/>
  <c r="C113" i="102" s="1"/>
  <c r="A114" i="102" l="1"/>
  <c r="C114" i="102" s="1"/>
  <c r="B115" i="102"/>
  <c r="A115" i="102" l="1"/>
  <c r="C115" i="102" s="1"/>
  <c r="B116" i="102"/>
  <c r="A116" i="102" l="1"/>
  <c r="C116" i="102" s="1"/>
  <c r="B117" i="102"/>
  <c r="B118" i="102" l="1"/>
  <c r="A117" i="102"/>
  <c r="C117" i="102" s="1"/>
  <c r="B119" i="102" l="1"/>
  <c r="A118" i="102"/>
  <c r="C118" i="102" s="1"/>
  <c r="A119" i="102" l="1"/>
  <c r="C119" i="102" s="1"/>
  <c r="B120" i="102"/>
  <c r="A120" i="102" l="1"/>
  <c r="C120" i="102" s="1"/>
  <c r="B121" i="102"/>
  <c r="B122" i="102" l="1"/>
  <c r="A121" i="102"/>
  <c r="C121" i="102" s="1"/>
  <c r="A122" i="102" l="1"/>
  <c r="C122" i="102" s="1"/>
  <c r="B123" i="102"/>
  <c r="A123" i="102" l="1"/>
  <c r="C123" i="102" s="1"/>
  <c r="B124" i="102"/>
  <c r="A124" i="102" l="1"/>
  <c r="C124" i="102" s="1"/>
  <c r="B125" i="102"/>
  <c r="B126" i="102" l="1"/>
  <c r="A125" i="102"/>
  <c r="C125" i="102" s="1"/>
  <c r="B127" i="102" l="1"/>
  <c r="A126" i="102"/>
  <c r="C126" i="102" s="1"/>
  <c r="A127" i="102" l="1"/>
  <c r="C127" i="102" s="1"/>
  <c r="B128" i="102"/>
  <c r="A128" i="102" l="1"/>
  <c r="C128" i="102" s="1"/>
  <c r="B129" i="102"/>
  <c r="B130" i="102" l="1"/>
  <c r="A129" i="102"/>
  <c r="C129" i="102" s="1"/>
  <c r="A130" i="102" l="1"/>
  <c r="C130" i="102" s="1"/>
  <c r="B131" i="102"/>
  <c r="A131" i="102" l="1"/>
  <c r="C131" i="102" s="1"/>
  <c r="B132" i="102"/>
  <c r="A132" i="102" l="1"/>
  <c r="C132" i="102" s="1"/>
  <c r="B133" i="102"/>
  <c r="B134" i="102" l="1"/>
  <c r="A133" i="102"/>
  <c r="C133" i="102" s="1"/>
  <c r="A134" i="102" l="1"/>
  <c r="C134" i="102" s="1"/>
  <c r="B135" i="102"/>
  <c r="B136" i="102" l="1"/>
  <c r="A135" i="102"/>
  <c r="C135" i="102" s="1"/>
  <c r="A136" i="102" l="1"/>
  <c r="C136" i="102" s="1"/>
  <c r="B137" i="102"/>
  <c r="A137" i="102" l="1"/>
  <c r="C137" i="102" s="1"/>
  <c r="B138" i="102"/>
  <c r="B139" i="102" l="1"/>
  <c r="A138" i="102"/>
  <c r="C138" i="102" s="1"/>
  <c r="B140" i="102" l="1"/>
  <c r="A139" i="102"/>
  <c r="C139" i="102" s="1"/>
  <c r="A140" i="102" l="1"/>
  <c r="C140" i="102" s="1"/>
  <c r="B141" i="102"/>
  <c r="A141" i="102" l="1"/>
  <c r="C141" i="102" s="1"/>
  <c r="B142" i="102"/>
  <c r="B143" i="102" l="1"/>
  <c r="A142" i="102"/>
  <c r="C142" i="102" s="1"/>
  <c r="B144" i="102" l="1"/>
  <c r="A143" i="102"/>
  <c r="C143" i="102" s="1"/>
  <c r="A144" i="102" l="1"/>
  <c r="C144" i="102" s="1"/>
  <c r="B145" i="102"/>
  <c r="A145" i="102" l="1"/>
  <c r="C145" i="102" s="1"/>
  <c r="B146" i="102"/>
  <c r="B147" i="102" l="1"/>
  <c r="A146" i="102"/>
  <c r="C146" i="102" s="1"/>
  <c r="B148" i="102" l="1"/>
  <c r="A147" i="102"/>
  <c r="C147" i="102" s="1"/>
  <c r="A148" i="102" l="1"/>
  <c r="C148" i="102" s="1"/>
  <c r="B149" i="102"/>
  <c r="A149" i="102" l="1"/>
  <c r="C149" i="102" s="1"/>
  <c r="B150" i="102"/>
  <c r="B151" i="102" l="1"/>
  <c r="A150" i="102"/>
  <c r="C150" i="102" s="1"/>
  <c r="B152" i="102" l="1"/>
  <c r="A151" i="102"/>
  <c r="C151" i="102" s="1"/>
  <c r="A152" i="102" l="1"/>
  <c r="C152" i="102" s="1"/>
  <c r="B153" i="102"/>
  <c r="A153" i="102" l="1"/>
  <c r="C153" i="102" s="1"/>
  <c r="B154" i="102"/>
  <c r="B155" i="102" l="1"/>
  <c r="A154" i="102"/>
  <c r="C154" i="102" s="1"/>
  <c r="B156" i="102" l="1"/>
  <c r="A155" i="102"/>
  <c r="C155" i="102" s="1"/>
  <c r="A156" i="102" l="1"/>
  <c r="C156" i="102" s="1"/>
  <c r="B157" i="102"/>
  <c r="A157" i="102" l="1"/>
  <c r="C157" i="102" s="1"/>
  <c r="B158" i="102"/>
  <c r="B159" i="102" l="1"/>
  <c r="A158" i="102"/>
  <c r="C158" i="102" s="1"/>
  <c r="B160" i="102" l="1"/>
  <c r="A159" i="102"/>
  <c r="C159" i="102" s="1"/>
  <c r="A160" i="102" l="1"/>
  <c r="C160" i="102" s="1"/>
  <c r="B161" i="102"/>
  <c r="A161" i="102" l="1"/>
  <c r="C161" i="102" s="1"/>
  <c r="B162" i="102"/>
  <c r="B163" i="102" l="1"/>
  <c r="A162" i="102"/>
  <c r="C162" i="102" s="1"/>
  <c r="B164" i="102" l="1"/>
  <c r="A163" i="102"/>
  <c r="C163" i="102" s="1"/>
  <c r="A164" i="102" l="1"/>
  <c r="C164" i="102" s="1"/>
  <c r="B165" i="102"/>
  <c r="A165" i="102" l="1"/>
  <c r="C165" i="102" s="1"/>
  <c r="B166" i="102"/>
  <c r="B167" i="102" l="1"/>
  <c r="A166" i="102"/>
  <c r="C166" i="102" s="1"/>
  <c r="B168" i="102" l="1"/>
  <c r="A167" i="102"/>
  <c r="C167" i="102" s="1"/>
  <c r="A168" i="102" l="1"/>
  <c r="C168" i="102" s="1"/>
  <c r="B169" i="102"/>
  <c r="A169" i="102" l="1"/>
  <c r="C169" i="102" s="1"/>
  <c r="B170" i="102"/>
  <c r="B171" i="102" l="1"/>
  <c r="A170" i="102"/>
  <c r="C170" i="102" s="1"/>
  <c r="B172" i="102" l="1"/>
  <c r="A171" i="102"/>
  <c r="C171" i="102" s="1"/>
  <c r="A172" i="102" l="1"/>
  <c r="C172" i="102" s="1"/>
  <c r="B173" i="102"/>
  <c r="A173" i="102" l="1"/>
  <c r="C173" i="102" s="1"/>
  <c r="B174" i="102"/>
  <c r="B175" i="102" l="1"/>
  <c r="A174" i="102"/>
  <c r="C174" i="102" s="1"/>
  <c r="A175" i="102" l="1"/>
  <c r="C175" i="102" s="1"/>
  <c r="B176" i="102"/>
  <c r="A176" i="102" l="1"/>
  <c r="C176" i="102" s="1"/>
  <c r="B177" i="102"/>
  <c r="B178" i="102" l="1"/>
  <c r="A177" i="102"/>
  <c r="C177" i="102" s="1"/>
  <c r="B179" i="102" l="1"/>
  <c r="A178" i="102"/>
  <c r="C178" i="102" s="1"/>
  <c r="A179" i="102" l="1"/>
  <c r="C179" i="102" s="1"/>
  <c r="B180" i="102"/>
  <c r="A180" i="102" l="1"/>
  <c r="C180" i="102" s="1"/>
  <c r="B181" i="102"/>
  <c r="B182" i="102" l="1"/>
  <c r="A181" i="102"/>
  <c r="C181" i="102" s="1"/>
  <c r="B183" i="102" l="1"/>
  <c r="A182" i="102"/>
  <c r="C182" i="102" s="1"/>
  <c r="A183" i="102" l="1"/>
  <c r="C183" i="102" s="1"/>
  <c r="B184" i="102"/>
  <c r="A184" i="102" l="1"/>
  <c r="C184" i="102" s="1"/>
  <c r="B185" i="102"/>
  <c r="B186" i="102" l="1"/>
  <c r="A185" i="102"/>
  <c r="C185" i="102" s="1"/>
  <c r="A186" i="102" l="1"/>
  <c r="C186" i="102" s="1"/>
  <c r="B187" i="102"/>
  <c r="A187" i="102" l="1"/>
  <c r="C187" i="102" s="1"/>
  <c r="B188" i="102"/>
  <c r="A188" i="102" l="1"/>
  <c r="C188" i="102" s="1"/>
  <c r="B189" i="102"/>
  <c r="B190" i="102" l="1"/>
  <c r="A189" i="102"/>
  <c r="C189" i="102" s="1"/>
  <c r="B191" i="102" l="1"/>
  <c r="A190" i="102"/>
  <c r="C190" i="102" s="1"/>
  <c r="A191" i="102" l="1"/>
  <c r="C191" i="102" s="1"/>
  <c r="B192" i="102"/>
  <c r="A192" i="102" l="1"/>
  <c r="C192" i="102" s="1"/>
  <c r="B193" i="102"/>
  <c r="B194" i="102" l="1"/>
  <c r="A193" i="102"/>
  <c r="C193" i="102" s="1"/>
  <c r="A194" i="102" l="1"/>
  <c r="C194" i="102" s="1"/>
  <c r="B195" i="102"/>
  <c r="A195" i="102" l="1"/>
  <c r="C195" i="102" s="1"/>
  <c r="B196" i="102"/>
  <c r="A196" i="102" l="1"/>
  <c r="C196" i="102" s="1"/>
  <c r="B197" i="102"/>
  <c r="B198" i="102" l="1"/>
  <c r="A197" i="102"/>
  <c r="C197" i="102" s="1"/>
  <c r="B199" i="102" l="1"/>
  <c r="A198" i="102"/>
  <c r="C198" i="102" s="1"/>
  <c r="A199" i="102" l="1"/>
  <c r="C199" i="102" s="1"/>
  <c r="B200" i="102"/>
  <c r="A200" i="102" l="1"/>
  <c r="C200" i="102" s="1"/>
  <c r="B201" i="102"/>
  <c r="B202" i="102" l="1"/>
  <c r="A201" i="102"/>
  <c r="C201" i="102" s="1"/>
  <c r="A202" i="102" l="1"/>
  <c r="C202" i="102" s="1"/>
  <c r="B203" i="102"/>
  <c r="A203" i="102" l="1"/>
  <c r="C203" i="102" s="1"/>
  <c r="B204" i="102"/>
  <c r="A204" i="102" l="1"/>
  <c r="C204" i="102" s="1"/>
  <c r="B205" i="102"/>
  <c r="B206" i="102" l="1"/>
  <c r="A205" i="102"/>
  <c r="C205" i="102" s="1"/>
  <c r="B207" i="102" l="1"/>
  <c r="A206" i="102"/>
  <c r="C206" i="102" s="1"/>
  <c r="A207" i="102" l="1"/>
  <c r="C207" i="102" s="1"/>
  <c r="B208" i="102"/>
  <c r="A208" i="102" l="1"/>
  <c r="C208" i="102" s="1"/>
  <c r="B209" i="102"/>
  <c r="B210" i="102" l="1"/>
  <c r="A209" i="102"/>
  <c r="C209" i="102" s="1"/>
  <c r="A210" i="102" l="1"/>
  <c r="C210" i="102" s="1"/>
  <c r="B211" i="102"/>
  <c r="A211" i="102" l="1"/>
  <c r="C211" i="102" s="1"/>
  <c r="B212" i="102"/>
  <c r="A212" i="102" l="1"/>
  <c r="C212" i="102" s="1"/>
  <c r="B213" i="102"/>
  <c r="B214" i="102" l="1"/>
  <c r="A213" i="102"/>
  <c r="C213" i="102" s="1"/>
  <c r="B215" i="102" l="1"/>
  <c r="A214" i="102"/>
  <c r="C214" i="102" s="1"/>
  <c r="A215" i="102" l="1"/>
  <c r="C215" i="102" s="1"/>
  <c r="B216" i="102"/>
  <c r="A216" i="102" l="1"/>
  <c r="C216" i="102" s="1"/>
  <c r="B217" i="102"/>
  <c r="B218" i="102" l="1"/>
  <c r="A217" i="102"/>
  <c r="C217" i="102" s="1"/>
  <c r="A218" i="102" l="1"/>
  <c r="C218" i="102" s="1"/>
  <c r="B219" i="102"/>
  <c r="A219" i="102" l="1"/>
  <c r="C219" i="102" s="1"/>
  <c r="B220" i="102"/>
  <c r="A220" i="102" l="1"/>
  <c r="C220" i="102" s="1"/>
  <c r="B221" i="102"/>
  <c r="B222" i="102" l="1"/>
  <c r="A221" i="102"/>
  <c r="C221" i="102" s="1"/>
  <c r="B223" i="102" l="1"/>
  <c r="A222" i="102"/>
  <c r="C222" i="102" s="1"/>
  <c r="A223" i="102" l="1"/>
  <c r="C223" i="102" s="1"/>
  <c r="B224" i="102"/>
  <c r="A224" i="102" l="1"/>
  <c r="C224" i="102" s="1"/>
  <c r="B225" i="102"/>
  <c r="B226" i="102" l="1"/>
  <c r="A225" i="102"/>
  <c r="C225" i="102" s="1"/>
  <c r="B227" i="102" l="1"/>
  <c r="A226" i="102"/>
  <c r="C226" i="102" s="1"/>
  <c r="A227" i="102" l="1"/>
  <c r="C227" i="102" s="1"/>
  <c r="B228" i="102"/>
  <c r="A228" i="102" l="1"/>
  <c r="C228" i="102" s="1"/>
  <c r="B229" i="102"/>
  <c r="B230" i="102" l="1"/>
  <c r="A229" i="102"/>
  <c r="C229" i="102" s="1"/>
  <c r="B231" i="102" l="1"/>
  <c r="A230" i="102"/>
  <c r="C230" i="102" s="1"/>
  <c r="A231" i="102" l="1"/>
  <c r="C231" i="102" s="1"/>
  <c r="B232" i="102"/>
  <c r="A232" i="102" l="1"/>
  <c r="C232" i="102" s="1"/>
  <c r="B233" i="102"/>
  <c r="B234" i="102" l="1"/>
  <c r="A233" i="102"/>
  <c r="C233" i="102" s="1"/>
  <c r="B235" i="102" l="1"/>
  <c r="A234" i="102"/>
  <c r="C234" i="102" s="1"/>
  <c r="A235" i="102" l="1"/>
  <c r="C235" i="102" s="1"/>
  <c r="B236" i="102"/>
  <c r="A236" i="102" l="1"/>
  <c r="C236" i="102" s="1"/>
  <c r="B237" i="102"/>
  <c r="B238" i="102" l="1"/>
  <c r="A237" i="102"/>
  <c r="C237" i="102" s="1"/>
  <c r="B239" i="102" l="1"/>
  <c r="A238" i="102"/>
  <c r="C238" i="102" s="1"/>
  <c r="A239" i="102" l="1"/>
  <c r="C239" i="102" s="1"/>
  <c r="B240" i="102"/>
  <c r="A240" i="102" l="1"/>
  <c r="C240" i="102" s="1"/>
  <c r="B241" i="102"/>
  <c r="B242" i="102" l="1"/>
  <c r="A241" i="102"/>
  <c r="C241" i="102" s="1"/>
  <c r="B243" i="102" l="1"/>
  <c r="A242" i="102"/>
  <c r="C242" i="102" s="1"/>
  <c r="A243" i="102" l="1"/>
  <c r="C243" i="102" s="1"/>
  <c r="B244" i="102"/>
  <c r="A244" i="102" l="1"/>
  <c r="C244" i="102" s="1"/>
  <c r="B245" i="102"/>
  <c r="B246" i="102" l="1"/>
  <c r="A245" i="102"/>
  <c r="C245" i="102" s="1"/>
  <c r="B247" i="102" l="1"/>
  <c r="A246" i="102"/>
  <c r="C246" i="102" s="1"/>
  <c r="A247" i="102" l="1"/>
  <c r="C247" i="102" s="1"/>
  <c r="B248" i="102"/>
  <c r="A248" i="102" l="1"/>
  <c r="C248" i="102" s="1"/>
  <c r="B249" i="102"/>
  <c r="B250" i="102" l="1"/>
  <c r="A249" i="102"/>
  <c r="C249" i="102" s="1"/>
  <c r="B251" i="102" l="1"/>
  <c r="A250" i="102"/>
  <c r="C250" i="102" s="1"/>
  <c r="A251" i="102" l="1"/>
  <c r="C251" i="102" s="1"/>
  <c r="B252" i="102"/>
  <c r="A252" i="102" l="1"/>
  <c r="C252" i="102" s="1"/>
  <c r="B253" i="102"/>
  <c r="B254" i="102" l="1"/>
  <c r="A253" i="102"/>
  <c r="C253" i="102" s="1"/>
  <c r="B255" i="102" l="1"/>
  <c r="A254" i="102"/>
  <c r="C254" i="102" s="1"/>
  <c r="A255" i="102" l="1"/>
  <c r="C255" i="102" s="1"/>
  <c r="B256" i="102"/>
  <c r="A256" i="102" l="1"/>
  <c r="C256" i="102" s="1"/>
  <c r="B257" i="102"/>
  <c r="B258" i="102" l="1"/>
  <c r="A257" i="102"/>
  <c r="C257" i="102" s="1"/>
  <c r="B259" i="102" l="1"/>
  <c r="A258" i="102"/>
  <c r="C258" i="102" s="1"/>
  <c r="A259" i="102" l="1"/>
  <c r="C259" i="102" s="1"/>
  <c r="B260" i="102"/>
  <c r="A260" i="102" l="1"/>
  <c r="C260" i="102" s="1"/>
  <c r="B261" i="102"/>
  <c r="B262" i="102" l="1"/>
  <c r="A261" i="102"/>
  <c r="C261" i="102" s="1"/>
  <c r="B263" i="102" l="1"/>
  <c r="A262" i="102"/>
  <c r="C262" i="102" s="1"/>
  <c r="A263" i="102" l="1"/>
  <c r="C263" i="102" s="1"/>
  <c r="B264" i="102"/>
  <c r="A264" i="102" l="1"/>
  <c r="C264" i="102" s="1"/>
  <c r="B265" i="102"/>
  <c r="B266" i="102" l="1"/>
  <c r="A265" i="102"/>
  <c r="C265" i="102" s="1"/>
  <c r="B267" i="102" l="1"/>
  <c r="A266" i="102"/>
  <c r="C266" i="102" s="1"/>
  <c r="A267" i="102" l="1"/>
  <c r="C267" i="102" s="1"/>
  <c r="B268" i="102"/>
  <c r="A268" i="102" l="1"/>
  <c r="C268" i="102" s="1"/>
  <c r="B269" i="102"/>
  <c r="B270" i="102" l="1"/>
  <c r="A269" i="102"/>
  <c r="C269" i="102" s="1"/>
  <c r="B271" i="102" l="1"/>
  <c r="A270" i="102"/>
  <c r="C270" i="102" s="1"/>
  <c r="A271" i="102" l="1"/>
  <c r="C271" i="102" s="1"/>
  <c r="B272" i="102"/>
  <c r="A272" i="102" l="1"/>
  <c r="C272" i="102" s="1"/>
  <c r="B273" i="102"/>
  <c r="B274" i="102" l="1"/>
  <c r="A273" i="102"/>
  <c r="C273" i="102" s="1"/>
  <c r="B275" i="102" l="1"/>
  <c r="A274" i="102"/>
  <c r="C274" i="102" s="1"/>
  <c r="A275" i="102" l="1"/>
  <c r="C275" i="102" s="1"/>
  <c r="B276" i="102"/>
  <c r="A276" i="102" l="1"/>
  <c r="C276" i="102" s="1"/>
  <c r="B277" i="102"/>
  <c r="B278" i="102" l="1"/>
  <c r="A277" i="102"/>
  <c r="C277" i="102" s="1"/>
  <c r="B279" i="102" l="1"/>
  <c r="A278" i="102"/>
  <c r="C278" i="102" s="1"/>
  <c r="A279" i="102" l="1"/>
  <c r="C279" i="102" s="1"/>
  <c r="B280" i="102"/>
  <c r="A280" i="102" l="1"/>
  <c r="C280" i="102" s="1"/>
  <c r="B281" i="102"/>
  <c r="B282" i="102" l="1"/>
  <c r="A281" i="102"/>
  <c r="C281" i="102" s="1"/>
  <c r="B283" i="102" l="1"/>
  <c r="A282" i="102"/>
  <c r="C282" i="102" s="1"/>
  <c r="A283" i="102" l="1"/>
  <c r="C283" i="102" s="1"/>
  <c r="B284" i="102"/>
  <c r="A284" i="102" l="1"/>
  <c r="C284" i="102" s="1"/>
  <c r="B285" i="102"/>
  <c r="B286" i="102" l="1"/>
  <c r="A285" i="102"/>
  <c r="C285" i="102" s="1"/>
  <c r="B287" i="102" l="1"/>
  <c r="A286" i="102"/>
  <c r="C286" i="102" s="1"/>
  <c r="A287" i="102" l="1"/>
  <c r="C287" i="102" s="1"/>
  <c r="B288" i="102"/>
  <c r="A288" i="102" l="1"/>
  <c r="C288" i="102" s="1"/>
  <c r="B289" i="102"/>
  <c r="B290" i="102" l="1"/>
  <c r="A289" i="102"/>
  <c r="C289" i="102" s="1"/>
  <c r="B291" i="102" l="1"/>
  <c r="A290" i="102"/>
  <c r="C290" i="102" s="1"/>
  <c r="A291" i="102" l="1"/>
  <c r="C291" i="102" s="1"/>
  <c r="B292" i="102"/>
  <c r="A292" i="102" l="1"/>
  <c r="C292" i="102" s="1"/>
  <c r="B293" i="102"/>
  <c r="A293" i="102" s="1"/>
  <c r="C293" i="102" l="1"/>
  <c r="Z7" i="102"/>
  <c r="N7" i="102"/>
  <c r="L7" i="102"/>
  <c r="E9" i="102"/>
  <c r="V7" i="102"/>
  <c r="Y8" i="102"/>
  <c r="I7" i="102"/>
  <c r="S8" i="102"/>
  <c r="Q7" i="102"/>
  <c r="AA9" i="102"/>
  <c r="M9" i="102"/>
  <c r="K8" i="102"/>
  <c r="Z8" i="102"/>
  <c r="R10" i="102"/>
  <c r="U10" i="102"/>
  <c r="T9" i="102"/>
  <c r="M7" i="102"/>
  <c r="K7" i="102"/>
  <c r="O7" i="102"/>
  <c r="Q10" i="102"/>
  <c r="L9" i="102"/>
  <c r="X10" i="102"/>
  <c r="R8" i="102"/>
  <c r="I8" i="102"/>
  <c r="Q8" i="102"/>
  <c r="J9" i="102"/>
  <c r="AA10" i="102"/>
  <c r="G9" i="102"/>
  <c r="M10" i="102"/>
  <c r="E8" i="102"/>
  <c r="G7" i="102"/>
  <c r="Z10" i="102"/>
  <c r="AA7" i="102"/>
  <c r="J8" i="102"/>
  <c r="V8" i="102"/>
  <c r="Y7" i="102"/>
  <c r="H10" i="102"/>
  <c r="S9" i="102"/>
  <c r="O10" i="102"/>
  <c r="H8" i="102"/>
  <c r="Y9" i="102"/>
  <c r="S7" i="102"/>
  <c r="E7" i="102"/>
  <c r="X12" i="102"/>
  <c r="L10" i="102"/>
  <c r="V9" i="102"/>
  <c r="U8" i="102"/>
  <c r="F10" i="102"/>
  <c r="W7" i="102"/>
  <c r="Z9" i="102"/>
  <c r="X8" i="102"/>
  <c r="U7" i="102"/>
  <c r="O8" i="102"/>
  <c r="H7" i="102"/>
  <c r="K9" i="102"/>
  <c r="M8" i="102"/>
  <c r="G10" i="102"/>
  <c r="F8" i="102"/>
  <c r="O9" i="102"/>
  <c r="T10" i="102"/>
  <c r="Y10" i="102"/>
  <c r="I9" i="102"/>
  <c r="Q9" i="102"/>
  <c r="W8" i="102"/>
  <c r="N8" i="102"/>
  <c r="AA8" i="102"/>
  <c r="J10" i="102"/>
  <c r="R9" i="102"/>
  <c r="U9" i="102"/>
  <c r="V10" i="102"/>
  <c r="X7" i="102"/>
  <c r="F9" i="102"/>
  <c r="T7" i="102"/>
  <c r="R7" i="102"/>
  <c r="S10" i="102"/>
  <c r="X9" i="102"/>
  <c r="J7" i="102"/>
  <c r="W9" i="102"/>
  <c r="W10" i="102"/>
  <c r="L8" i="102"/>
  <c r="N10" i="102"/>
  <c r="H11" i="102"/>
  <c r="N9" i="102"/>
  <c r="E10" i="102"/>
  <c r="K10" i="102"/>
  <c r="G8" i="102"/>
  <c r="H9" i="102"/>
  <c r="F7" i="102"/>
  <c r="R11" i="102"/>
  <c r="G11" i="102"/>
  <c r="I11" i="102"/>
  <c r="W11" i="102"/>
  <c r="M11" i="102"/>
  <c r="J11" i="102"/>
  <c r="I10" i="102"/>
  <c r="T8" i="102"/>
  <c r="X11" i="102"/>
  <c r="O11" i="102"/>
  <c r="AA11" i="102"/>
  <c r="T11" i="102"/>
  <c r="J12" i="102"/>
  <c r="N11" i="102"/>
  <c r="AA12" i="102"/>
  <c r="E11" i="102"/>
  <c r="Z11" i="102"/>
  <c r="Y11" i="102"/>
  <c r="S11" i="102"/>
  <c r="U11" i="102"/>
  <c r="F11" i="102"/>
  <c r="L11" i="102"/>
  <c r="O12" i="102"/>
  <c r="R12" i="102"/>
  <c r="K11" i="102"/>
  <c r="Q11" i="102"/>
  <c r="V11" i="102"/>
  <c r="T12" i="102"/>
  <c r="F12" i="102"/>
  <c r="N12" i="102"/>
  <c r="E12" i="102"/>
  <c r="Y12" i="102"/>
  <c r="L12" i="102"/>
  <c r="V12" i="102"/>
  <c r="M12" i="102"/>
  <c r="W12" i="102"/>
  <c r="I12" i="102"/>
  <c r="U12" i="102"/>
  <c r="H12" i="102"/>
  <c r="Z12" i="102"/>
  <c r="I13" i="102"/>
  <c r="S13" i="102"/>
  <c r="S12" i="102"/>
  <c r="K12" i="102"/>
  <c r="Q12" i="102"/>
  <c r="R13" i="102"/>
  <c r="N13" i="102"/>
  <c r="G12" i="102"/>
  <c r="T13" i="102"/>
  <c r="L13" i="102"/>
  <c r="F13" i="102"/>
  <c r="O13" i="102"/>
  <c r="AA13" i="102"/>
  <c r="H13" i="102"/>
  <c r="K13" i="102"/>
  <c r="E14" i="102"/>
  <c r="W14" i="102"/>
  <c r="R15" i="102"/>
  <c r="V14" i="102"/>
  <c r="Z13" i="102"/>
  <c r="U13" i="102"/>
  <c r="E13" i="102"/>
  <c r="W13" i="102"/>
  <c r="F15" i="102"/>
  <c r="F14" i="102"/>
  <c r="Y14" i="102"/>
  <c r="M14" i="102"/>
  <c r="I14" i="102"/>
  <c r="V13" i="102"/>
  <c r="G13" i="102"/>
  <c r="J13" i="102"/>
  <c r="X13" i="102"/>
  <c r="I15" i="102"/>
  <c r="G14" i="102"/>
  <c r="S14" i="102"/>
  <c r="M13" i="102"/>
  <c r="Y13" i="102"/>
  <c r="Q13" i="102"/>
  <c r="J14" i="102"/>
  <c r="K14" i="102"/>
  <c r="Q14" i="102"/>
  <c r="L14" i="102"/>
  <c r="X14" i="102"/>
  <c r="T14" i="102"/>
  <c r="R14" i="102"/>
  <c r="E17" i="102"/>
  <c r="I16" i="102"/>
  <c r="Y15" i="102"/>
  <c r="Z16" i="102"/>
  <c r="H14" i="102"/>
  <c r="O14" i="102"/>
  <c r="J16" i="102"/>
  <c r="X15" i="102"/>
  <c r="U17" i="102"/>
  <c r="R16" i="102"/>
  <c r="E15" i="102"/>
  <c r="M15" i="102"/>
  <c r="T15" i="102"/>
  <c r="N14" i="102"/>
  <c r="Q15" i="102"/>
  <c r="F16" i="102"/>
  <c r="X16" i="102"/>
  <c r="K15" i="102"/>
  <c r="U15" i="102"/>
  <c r="U16" i="102"/>
  <c r="L16" i="102"/>
  <c r="L15" i="102"/>
  <c r="Z14" i="102"/>
  <c r="AA14" i="102"/>
  <c r="U14" i="102"/>
  <c r="Y16" i="102"/>
  <c r="N16" i="102"/>
  <c r="S15" i="102"/>
  <c r="Z15" i="102"/>
  <c r="W16" i="102"/>
  <c r="K16" i="102"/>
  <c r="H15" i="102"/>
  <c r="AA15" i="102"/>
  <c r="S16" i="102"/>
  <c r="AA16" i="102"/>
  <c r="S18" i="102"/>
  <c r="O17" i="102"/>
  <c r="N15" i="102"/>
  <c r="F18" i="102"/>
  <c r="K17" i="102"/>
  <c r="T16" i="102"/>
  <c r="H18" i="102"/>
  <c r="G18" i="102"/>
  <c r="V15" i="102"/>
  <c r="J15" i="102"/>
  <c r="M17" i="102"/>
  <c r="I17" i="102"/>
  <c r="G16" i="102"/>
  <c r="AA19" i="102"/>
  <c r="T18" i="102"/>
  <c r="H16" i="102"/>
  <c r="X17" i="102"/>
  <c r="Q16" i="102"/>
  <c r="H19" i="102"/>
  <c r="Y17" i="102"/>
  <c r="G15" i="102"/>
  <c r="O15" i="102"/>
  <c r="J17" i="102"/>
  <c r="L18" i="102"/>
  <c r="M16" i="102"/>
  <c r="W15" i="102"/>
  <c r="E16" i="102"/>
  <c r="V16" i="102"/>
  <c r="O16" i="102"/>
  <c r="W17" i="102"/>
  <c r="M19" i="102"/>
  <c r="H17" i="102"/>
  <c r="Y19" i="102"/>
  <c r="T17" i="102"/>
  <c r="W18" i="102"/>
  <c r="G17" i="102"/>
  <c r="AA18" i="102"/>
  <c r="S19" i="102"/>
  <c r="K18" i="102"/>
  <c r="S17" i="102"/>
  <c r="R17" i="102"/>
  <c r="Z17" i="102"/>
  <c r="O19" i="102"/>
  <c r="R20" i="102"/>
  <c r="U18" i="102"/>
  <c r="Y18" i="102"/>
  <c r="V19" i="102"/>
  <c r="V18" i="102"/>
  <c r="E18" i="102"/>
  <c r="R18" i="102"/>
  <c r="F19" i="102"/>
  <c r="Q19" i="102"/>
  <c r="Y20" i="102"/>
  <c r="I18" i="102"/>
  <c r="M18" i="102"/>
  <c r="Z20" i="102"/>
  <c r="L17" i="102"/>
  <c r="J20" i="102"/>
  <c r="O18" i="102"/>
  <c r="J18" i="102"/>
  <c r="N18" i="102"/>
  <c r="Q18" i="102"/>
  <c r="V17" i="102"/>
  <c r="F17" i="102"/>
  <c r="N17" i="102"/>
  <c r="U20" i="102"/>
  <c r="Q17" i="102"/>
  <c r="AA17" i="102"/>
  <c r="U19" i="102"/>
  <c r="X18" i="102"/>
  <c r="I19" i="102"/>
  <c r="H21" i="102"/>
  <c r="I21" i="102"/>
  <c r="Z18" i="102"/>
  <c r="G21" i="102"/>
  <c r="Q21" i="102"/>
  <c r="J19" i="102"/>
  <c r="V20" i="102"/>
  <c r="L19" i="102"/>
  <c r="T19" i="102"/>
  <c r="R19" i="102"/>
  <c r="F20" i="102"/>
  <c r="N21" i="102"/>
  <c r="N19" i="102"/>
  <c r="T20" i="102"/>
  <c r="Q20" i="102"/>
  <c r="X19" i="102"/>
  <c r="I20" i="102"/>
  <c r="M20" i="102"/>
  <c r="K21" i="102"/>
  <c r="W20" i="102"/>
  <c r="N20" i="102"/>
  <c r="W19" i="102"/>
  <c r="M21" i="102"/>
  <c r="Y22" i="102"/>
  <c r="J21" i="102"/>
  <c r="E20" i="102"/>
  <c r="L20" i="102"/>
  <c r="K20" i="102"/>
  <c r="AA20" i="102"/>
  <c r="R22" i="102"/>
  <c r="G19" i="102"/>
  <c r="H20" i="102"/>
  <c r="E19" i="102"/>
  <c r="V22" i="102"/>
  <c r="Z19" i="102"/>
  <c r="K19" i="102"/>
  <c r="X20" i="102"/>
  <c r="N22" i="102"/>
  <c r="S20" i="102"/>
  <c r="O20" i="102"/>
  <c r="E21" i="102"/>
  <c r="G20" i="102"/>
  <c r="F21" i="102"/>
  <c r="X21" i="102"/>
  <c r="F23" i="102"/>
  <c r="T21" i="102"/>
  <c r="W21" i="102"/>
  <c r="L21" i="102"/>
  <c r="T23" i="102"/>
  <c r="Y21" i="102"/>
  <c r="Z21" i="102"/>
  <c r="E22" i="102"/>
  <c r="I22" i="102"/>
  <c r="R21" i="102"/>
  <c r="AA22" i="102"/>
  <c r="W22" i="102"/>
  <c r="Z22" i="102"/>
  <c r="J22" i="102"/>
  <c r="F22" i="102"/>
  <c r="O21" i="102"/>
  <c r="M22" i="102"/>
  <c r="V21" i="102"/>
  <c r="V23" i="102"/>
  <c r="O22" i="102"/>
  <c r="AA21" i="102"/>
  <c r="S23" i="102"/>
  <c r="Q22" i="102"/>
  <c r="K22" i="102"/>
  <c r="O23" i="102"/>
  <c r="T22" i="102"/>
  <c r="U21" i="102"/>
  <c r="U22" i="102"/>
  <c r="H22" i="102"/>
  <c r="G22" i="102"/>
  <c r="L22" i="102"/>
  <c r="G23" i="102"/>
  <c r="S22" i="102"/>
  <c r="S21" i="102"/>
  <c r="Q23" i="102"/>
  <c r="W23" i="102"/>
  <c r="I23" i="102"/>
  <c r="J23" i="102"/>
  <c r="AA23" i="102"/>
  <c r="L23" i="102"/>
  <c r="X22" i="102"/>
  <c r="Y23" i="102"/>
  <c r="M23" i="102"/>
  <c r="N23" i="102"/>
  <c r="I24" i="102"/>
  <c r="Z23" i="102"/>
  <c r="Z24" i="102"/>
  <c r="K23" i="102"/>
  <c r="R23" i="102"/>
  <c r="U23" i="102"/>
  <c r="L24" i="102"/>
  <c r="G24" i="102"/>
  <c r="V24" i="102"/>
  <c r="E23" i="102"/>
  <c r="H23" i="102"/>
  <c r="K25" i="102"/>
  <c r="X23" i="102"/>
  <c r="X24" i="102"/>
  <c r="I27" i="102"/>
  <c r="G25" i="102"/>
  <c r="N25" i="102"/>
  <c r="M25" i="102"/>
  <c r="Z26" i="102"/>
  <c r="F24" i="102"/>
  <c r="L25" i="102"/>
  <c r="W24" i="102"/>
  <c r="AA25" i="102"/>
  <c r="H24" i="102"/>
  <c r="R27" i="102"/>
  <c r="T25" i="102"/>
  <c r="F26" i="102"/>
  <c r="T24" i="102"/>
  <c r="Q24" i="102"/>
  <c r="M24" i="102"/>
  <c r="H26" i="102"/>
  <c r="R24" i="102"/>
  <c r="X25" i="102"/>
  <c r="I26" i="102"/>
  <c r="J25" i="102"/>
  <c r="R25" i="102"/>
  <c r="K24" i="102"/>
  <c r="Y24" i="102"/>
  <c r="U24" i="102"/>
  <c r="W26" i="102"/>
  <c r="O24" i="102"/>
  <c r="J26" i="102"/>
  <c r="O25" i="102"/>
  <c r="V25" i="102"/>
  <c r="S26" i="102"/>
  <c r="Z25" i="102"/>
  <c r="I25" i="102"/>
  <c r="J24" i="102"/>
  <c r="E25" i="102"/>
  <c r="Y26" i="102"/>
  <c r="AA24" i="102"/>
  <c r="H25" i="102"/>
  <c r="S24" i="102"/>
  <c r="W25" i="102"/>
  <c r="N24" i="102"/>
  <c r="E24" i="102"/>
  <c r="X26" i="102"/>
  <c r="M26" i="102"/>
  <c r="S25" i="102"/>
  <c r="V27" i="102"/>
  <c r="Q25" i="102"/>
  <c r="Y25" i="102"/>
  <c r="U25" i="102"/>
  <c r="F25" i="102"/>
  <c r="O26" i="102"/>
  <c r="T26" i="102"/>
  <c r="N26" i="102"/>
  <c r="O28" i="102"/>
  <c r="AA26" i="102"/>
  <c r="L28" i="102"/>
  <c r="E26" i="102"/>
  <c r="X27" i="102"/>
  <c r="F28" i="102"/>
  <c r="G26" i="102"/>
  <c r="Q26" i="102"/>
  <c r="H27" i="102"/>
  <c r="R26" i="102"/>
  <c r="L27" i="102"/>
  <c r="I28" i="102"/>
  <c r="E27" i="102"/>
  <c r="U26" i="102"/>
  <c r="T27" i="102"/>
  <c r="O27" i="102"/>
  <c r="Z27" i="102"/>
  <c r="L26" i="102"/>
  <c r="X28" i="102"/>
  <c r="U27" i="102"/>
  <c r="U28" i="102"/>
  <c r="V26" i="102"/>
  <c r="K26" i="102"/>
  <c r="M28" i="102"/>
  <c r="J28" i="102"/>
  <c r="AA27" i="102"/>
  <c r="F27" i="102"/>
  <c r="N27" i="102"/>
  <c r="S27" i="102"/>
  <c r="G27" i="102"/>
  <c r="G28" i="102"/>
  <c r="Q28" i="102"/>
  <c r="Q27" i="102"/>
  <c r="K27" i="102"/>
  <c r="W27" i="102"/>
  <c r="K28" i="102"/>
  <c r="E28" i="102"/>
  <c r="R28" i="102"/>
  <c r="AA28" i="102"/>
  <c r="J27" i="102"/>
  <c r="M27" i="102"/>
  <c r="Z28" i="102"/>
  <c r="Y27" i="102"/>
  <c r="W28" i="102"/>
  <c r="H28" i="102"/>
  <c r="N28" i="102"/>
  <c r="V28" i="102"/>
  <c r="T28" i="102"/>
  <c r="Y28" i="102"/>
  <c r="S28" i="102"/>
  <c r="F17" i="91" l="1"/>
  <c r="E17" i="91"/>
  <c r="D17" i="91"/>
  <c r="E9" i="99" l="1"/>
  <c r="E8" i="99" l="1"/>
  <c r="E10" i="99" s="1"/>
  <c r="G22" i="99"/>
  <c r="E14" i="82" l="1"/>
  <c r="F17" i="83" l="1"/>
  <c r="D14" i="82"/>
  <c r="F18" i="99" l="1"/>
  <c r="F16" i="83"/>
  <c r="I17" i="83"/>
  <c r="F17" i="99" l="1"/>
  <c r="E17" i="99" s="1"/>
  <c r="F14" i="82"/>
  <c r="H24" i="83"/>
  <c r="G24" i="83"/>
  <c r="H16" i="83" l="1"/>
  <c r="G16" i="83"/>
  <c r="G21" i="83" l="1"/>
  <c r="G28" i="83" s="1"/>
  <c r="I16" i="83"/>
  <c r="F14" i="83" l="1"/>
  <c r="F15" i="99" l="1"/>
  <c r="I14" i="83"/>
  <c r="F20" i="83"/>
  <c r="F19" i="83"/>
  <c r="F18" i="83"/>
  <c r="F15" i="83"/>
  <c r="F13" i="83"/>
  <c r="F20" i="99" l="1"/>
  <c r="I19" i="83"/>
  <c r="F14" i="99"/>
  <c r="F16" i="99"/>
  <c r="I15" i="83"/>
  <c r="F19" i="99"/>
  <c r="I18" i="83"/>
  <c r="F21" i="99"/>
  <c r="I20" i="83"/>
  <c r="F22" i="99" l="1"/>
  <c r="A12" i="83"/>
  <c r="A13" i="83" s="1"/>
  <c r="A14" i="83" s="1"/>
  <c r="A15" i="83" s="1"/>
  <c r="A16" i="83" s="1"/>
  <c r="A17" i="83" l="1"/>
  <c r="A18" i="83" s="1"/>
  <c r="A19" i="83" s="1"/>
  <c r="A20" i="83" s="1"/>
  <c r="A21" i="83" s="1"/>
  <c r="A22" i="83" s="1"/>
  <c r="A23" i="83" s="1"/>
  <c r="A24" i="83" s="1"/>
  <c r="A25" i="83" s="1"/>
  <c r="A26" i="83" s="1"/>
  <c r="A27" i="83" s="1"/>
  <c r="A28" i="83" s="1"/>
  <c r="H22" i="99"/>
  <c r="D12" i="82" l="1"/>
  <c r="D13" i="82"/>
  <c r="D16" i="82"/>
  <c r="D15" i="82"/>
  <c r="J48" i="51"/>
  <c r="K48" i="51" s="1"/>
  <c r="F18" i="38" s="1"/>
  <c r="E15" i="38" s="1"/>
  <c r="B15" i="71" a="1"/>
  <c r="B15" i="71" s="1"/>
  <c r="B14" i="71" a="1"/>
  <c r="B14" i="71" s="1"/>
  <c r="G14" i="71"/>
  <c r="H14" i="71"/>
  <c r="I14" i="71"/>
  <c r="B13" i="71" a="1"/>
  <c r="C13" i="71" s="1"/>
  <c r="B16" i="71" a="1"/>
  <c r="B16" i="71" s="1"/>
  <c r="I16" i="71"/>
  <c r="M16" i="71"/>
  <c r="B17" i="71" a="1"/>
  <c r="B17" i="71" s="1"/>
  <c r="L17" i="71" l="1"/>
  <c r="E16" i="71"/>
  <c r="M15" i="71"/>
  <c r="I15" i="71"/>
  <c r="L14" i="71"/>
  <c r="D14" i="71"/>
  <c r="H15" i="71"/>
  <c r="F14" i="71"/>
  <c r="K15" i="71"/>
  <c r="I17" i="71"/>
  <c r="E14" i="71"/>
  <c r="M13" i="71"/>
  <c r="E17" i="71"/>
  <c r="J13" i="71"/>
  <c r="K14" i="71"/>
  <c r="C14" i="71"/>
  <c r="N14" i="71" s="1"/>
  <c r="G15" i="71"/>
  <c r="E13" i="71"/>
  <c r="C15" i="71"/>
  <c r="M17" i="71"/>
  <c r="B13" i="71"/>
  <c r="L15" i="71"/>
  <c r="M14" i="71"/>
  <c r="H17" i="71"/>
  <c r="D17" i="71"/>
  <c r="I13" i="71"/>
  <c r="J14" i="71"/>
  <c r="E15" i="71"/>
  <c r="F13" i="71"/>
  <c r="D15" i="71"/>
  <c r="E32" i="38"/>
  <c r="K17" i="71"/>
  <c r="G17" i="71"/>
  <c r="C17" i="71"/>
  <c r="L16" i="71"/>
  <c r="H16" i="71"/>
  <c r="D16" i="71"/>
  <c r="J17" i="71"/>
  <c r="F17" i="71"/>
  <c r="K16" i="71"/>
  <c r="G16" i="71"/>
  <c r="C16" i="71"/>
  <c r="L13" i="71"/>
  <c r="H13" i="71"/>
  <c r="D13" i="71"/>
  <c r="J15" i="71"/>
  <c r="F15" i="71"/>
  <c r="J16" i="71"/>
  <c r="F16" i="71"/>
  <c r="K13" i="71"/>
  <c r="G13" i="71"/>
  <c r="C18" i="95"/>
  <c r="G17" i="95"/>
  <c r="E17" i="95"/>
  <c r="E16" i="95"/>
  <c r="G16" i="95" s="1"/>
  <c r="E15" i="95"/>
  <c r="G15" i="95" s="1"/>
  <c r="E14" i="95"/>
  <c r="G14" i="95" s="1"/>
  <c r="E13" i="95"/>
  <c r="G13" i="95" s="1"/>
  <c r="F12" i="95"/>
  <c r="F18" i="95" s="1"/>
  <c r="F15" i="38" s="1"/>
  <c r="E12" i="95"/>
  <c r="E11" i="95"/>
  <c r="G11" i="95" s="1"/>
  <c r="E10" i="95"/>
  <c r="G10" i="95" s="1"/>
  <c r="E9" i="95"/>
  <c r="G9" i="95" s="1"/>
  <c r="E8" i="95"/>
  <c r="G8" i="95" s="1"/>
  <c r="E7" i="95"/>
  <c r="G7" i="95" s="1"/>
  <c r="E6" i="95"/>
  <c r="E18" i="95" s="1"/>
  <c r="E24" i="82" l="1"/>
  <c r="F32" i="38"/>
  <c r="E33" i="38" s="1"/>
  <c r="G18" i="95"/>
  <c r="N16" i="71"/>
  <c r="G12" i="95"/>
  <c r="N15" i="71"/>
  <c r="N17" i="71"/>
  <c r="N13" i="71"/>
  <c r="G6" i="95"/>
  <c r="G94" i="81" l="1"/>
  <c r="G95" i="81" s="1"/>
  <c r="R36" i="81"/>
  <c r="Q36" i="81"/>
  <c r="P36" i="81"/>
  <c r="O36" i="81"/>
  <c r="N36" i="81"/>
  <c r="M36" i="81"/>
  <c r="L36" i="81"/>
  <c r="K36" i="81"/>
  <c r="I15" i="80" s="1"/>
  <c r="J36" i="81"/>
  <c r="F36" i="81" s="1"/>
  <c r="I36" i="81"/>
  <c r="H36" i="81"/>
  <c r="G36" i="81"/>
  <c r="R35" i="81"/>
  <c r="Q35" i="81"/>
  <c r="P35" i="81"/>
  <c r="N14" i="80" s="1"/>
  <c r="O35" i="81"/>
  <c r="N35" i="81"/>
  <c r="M35" i="81"/>
  <c r="L35" i="81"/>
  <c r="K35" i="81"/>
  <c r="J35" i="81"/>
  <c r="I35" i="81"/>
  <c r="H35" i="81"/>
  <c r="F14" i="80" s="1"/>
  <c r="G35" i="81"/>
  <c r="F35" i="81" s="1"/>
  <c r="R34" i="81"/>
  <c r="Q34" i="81"/>
  <c r="P34" i="81"/>
  <c r="O34" i="81"/>
  <c r="N34" i="81"/>
  <c r="M34" i="81"/>
  <c r="L34" i="81"/>
  <c r="K34" i="81"/>
  <c r="J34" i="81"/>
  <c r="I34" i="81"/>
  <c r="H34" i="81"/>
  <c r="G34" i="81"/>
  <c r="R33" i="81"/>
  <c r="P12" i="80" s="1"/>
  <c r="Q33" i="81"/>
  <c r="P33" i="81"/>
  <c r="O33" i="81"/>
  <c r="N33" i="81"/>
  <c r="M33" i="81"/>
  <c r="L33" i="81"/>
  <c r="K33" i="81"/>
  <c r="J33" i="81"/>
  <c r="H12" i="80" s="1"/>
  <c r="I33" i="81"/>
  <c r="F33" i="81" s="1"/>
  <c r="H33" i="81"/>
  <c r="G33" i="81"/>
  <c r="R32" i="81"/>
  <c r="Q32" i="81"/>
  <c r="P32" i="81"/>
  <c r="O32" i="81"/>
  <c r="N32" i="81"/>
  <c r="M32" i="81"/>
  <c r="L32" i="81"/>
  <c r="K32" i="81"/>
  <c r="J32" i="81"/>
  <c r="I32" i="81"/>
  <c r="H32" i="81"/>
  <c r="G32" i="81"/>
  <c r="F32" i="81" s="1"/>
  <c r="R31" i="81"/>
  <c r="Q31" i="81"/>
  <c r="P31" i="81"/>
  <c r="O31" i="81"/>
  <c r="N31" i="81"/>
  <c r="M31" i="81"/>
  <c r="L31" i="81"/>
  <c r="J10" i="80" s="1"/>
  <c r="K31" i="81"/>
  <c r="F31" i="81" s="1"/>
  <c r="J31" i="81"/>
  <c r="I31" i="81"/>
  <c r="H31" i="81"/>
  <c r="G31" i="81"/>
  <c r="R30" i="81"/>
  <c r="Q30" i="81"/>
  <c r="O9" i="80" s="1"/>
  <c r="P30" i="81"/>
  <c r="O30" i="81"/>
  <c r="N30" i="81"/>
  <c r="M30" i="81"/>
  <c r="L30" i="81"/>
  <c r="K30" i="81"/>
  <c r="J30" i="81"/>
  <c r="I30" i="81"/>
  <c r="G9" i="80" s="1"/>
  <c r="H30" i="81"/>
  <c r="G30" i="81"/>
  <c r="R29" i="81"/>
  <c r="R37" i="81" s="1"/>
  <c r="Q29" i="81"/>
  <c r="Q37" i="81" s="1"/>
  <c r="P29" i="81"/>
  <c r="P37" i="81" s="1"/>
  <c r="O29" i="81"/>
  <c r="N29" i="81"/>
  <c r="L8" i="80" s="1"/>
  <c r="L16" i="80" s="1"/>
  <c r="L21" i="80" s="1"/>
  <c r="L29" i="80" s="1"/>
  <c r="L30" i="80" s="1"/>
  <c r="L33" i="80" s="1"/>
  <c r="M29" i="81"/>
  <c r="M37" i="81" s="1"/>
  <c r="L29" i="81"/>
  <c r="L37" i="81" s="1"/>
  <c r="K29" i="81"/>
  <c r="K37" i="81" s="1"/>
  <c r="J29" i="81"/>
  <c r="J37" i="81" s="1"/>
  <c r="H29" i="81"/>
  <c r="H37" i="81" s="1"/>
  <c r="G29" i="81"/>
  <c r="R26" i="81"/>
  <c r="Q26" i="81"/>
  <c r="P26" i="81"/>
  <c r="O26" i="81"/>
  <c r="N26" i="81"/>
  <c r="M26" i="81"/>
  <c r="L26" i="81"/>
  <c r="K26" i="81"/>
  <c r="J26" i="81"/>
  <c r="I26" i="81"/>
  <c r="H26" i="81"/>
  <c r="G26" i="81"/>
  <c r="F25" i="81"/>
  <c r="F24" i="81"/>
  <c r="F23" i="81"/>
  <c r="F22" i="81"/>
  <c r="F21" i="81"/>
  <c r="F20" i="81"/>
  <c r="F19" i="81"/>
  <c r="F18" i="81"/>
  <c r="F26" i="81" s="1"/>
  <c r="R15" i="81"/>
  <c r="Q15" i="81"/>
  <c r="P15" i="81"/>
  <c r="O15" i="81"/>
  <c r="N15" i="81"/>
  <c r="M15" i="81"/>
  <c r="L15" i="81"/>
  <c r="K15" i="81"/>
  <c r="J15" i="81"/>
  <c r="I15" i="81"/>
  <c r="H15" i="81"/>
  <c r="G15" i="81"/>
  <c r="F14" i="81"/>
  <c r="F13" i="81"/>
  <c r="F12" i="81"/>
  <c r="F11" i="81"/>
  <c r="F10" i="81"/>
  <c r="F9" i="81"/>
  <c r="F8" i="81"/>
  <c r="I7" i="81"/>
  <c r="I29" i="81" s="1"/>
  <c r="F7" i="81"/>
  <c r="G74" i="80"/>
  <c r="G73" i="80"/>
  <c r="E73" i="80"/>
  <c r="G72" i="80"/>
  <c r="G71" i="80"/>
  <c r="A43" i="80"/>
  <c r="A42" i="80"/>
  <c r="A41" i="80"/>
  <c r="A40" i="80"/>
  <c r="A39" i="80"/>
  <c r="A38" i="80"/>
  <c r="A37" i="80"/>
  <c r="A36" i="80"/>
  <c r="A35" i="80"/>
  <c r="A34" i="80"/>
  <c r="A33" i="80"/>
  <c r="A32" i="80"/>
  <c r="A31" i="80"/>
  <c r="J30" i="80"/>
  <c r="J33" i="80" s="1"/>
  <c r="A30" i="80"/>
  <c r="A29" i="80"/>
  <c r="A28" i="80"/>
  <c r="P27" i="80"/>
  <c r="O27" i="80"/>
  <c r="N27" i="80"/>
  <c r="M27" i="80"/>
  <c r="L27" i="80"/>
  <c r="K27" i="80"/>
  <c r="J27" i="80"/>
  <c r="I27" i="80"/>
  <c r="H27" i="80"/>
  <c r="G27" i="80"/>
  <c r="F27" i="80"/>
  <c r="Q27" i="80" s="1"/>
  <c r="E27" i="80"/>
  <c r="A27" i="80"/>
  <c r="A26" i="80"/>
  <c r="A25" i="80"/>
  <c r="Q24" i="80"/>
  <c r="A24" i="80"/>
  <c r="A23" i="80"/>
  <c r="A22" i="80"/>
  <c r="A21" i="80"/>
  <c r="Q20" i="80"/>
  <c r="F20" i="80"/>
  <c r="Q19" i="80"/>
  <c r="A19" i="80"/>
  <c r="A18" i="80"/>
  <c r="A17" i="80"/>
  <c r="A16" i="80"/>
  <c r="P15" i="80"/>
  <c r="O15" i="80"/>
  <c r="N15" i="80"/>
  <c r="M15" i="80"/>
  <c r="L15" i="80"/>
  <c r="K15" i="80"/>
  <c r="J15" i="80"/>
  <c r="H15" i="80"/>
  <c r="G15" i="80"/>
  <c r="F15" i="80"/>
  <c r="E15" i="80"/>
  <c r="Q15" i="80" s="1"/>
  <c r="A15" i="80"/>
  <c r="P14" i="80"/>
  <c r="O14" i="80"/>
  <c r="M14" i="80"/>
  <c r="L14" i="80"/>
  <c r="K14" i="80"/>
  <c r="J14" i="80"/>
  <c r="I14" i="80"/>
  <c r="H14" i="80"/>
  <c r="G14" i="80"/>
  <c r="E14" i="80"/>
  <c r="A14" i="80"/>
  <c r="P13" i="80"/>
  <c r="O13" i="80"/>
  <c r="N13" i="80"/>
  <c r="M13" i="80"/>
  <c r="L13" i="80"/>
  <c r="J13" i="80"/>
  <c r="I13" i="80"/>
  <c r="H13" i="80"/>
  <c r="G13" i="80"/>
  <c r="F13" i="80"/>
  <c r="E13" i="80"/>
  <c r="A13" i="80"/>
  <c r="O12" i="80"/>
  <c r="N12" i="80"/>
  <c r="M12" i="80"/>
  <c r="L12" i="80"/>
  <c r="K12" i="80"/>
  <c r="J12" i="80"/>
  <c r="I12" i="80"/>
  <c r="G12" i="80"/>
  <c r="F12" i="80"/>
  <c r="E12" i="80"/>
  <c r="A12" i="80"/>
  <c r="P11" i="80"/>
  <c r="O11" i="80"/>
  <c r="N11" i="80"/>
  <c r="M11" i="80"/>
  <c r="L11" i="80"/>
  <c r="K11" i="80"/>
  <c r="J11" i="80"/>
  <c r="I11" i="80"/>
  <c r="H11" i="80"/>
  <c r="G11" i="80"/>
  <c r="F11" i="80"/>
  <c r="E11" i="80"/>
  <c r="Q11" i="80" s="1"/>
  <c r="A11" i="80"/>
  <c r="P10" i="80"/>
  <c r="O10" i="80"/>
  <c r="N10" i="80"/>
  <c r="M10" i="80"/>
  <c r="L10" i="80"/>
  <c r="K10" i="80"/>
  <c r="I10" i="80"/>
  <c r="H10" i="80"/>
  <c r="G10" i="80"/>
  <c r="F10" i="80"/>
  <c r="E10" i="80"/>
  <c r="Q10" i="80" s="1"/>
  <c r="A10" i="80"/>
  <c r="Q9" i="80"/>
  <c r="P9" i="80"/>
  <c r="N9" i="80"/>
  <c r="M9" i="80"/>
  <c r="L9" i="80"/>
  <c r="K9" i="80"/>
  <c r="J9" i="80"/>
  <c r="I9" i="80"/>
  <c r="H9" i="80"/>
  <c r="F9" i="80"/>
  <c r="E9" i="80"/>
  <c r="A9" i="80"/>
  <c r="P8" i="80"/>
  <c r="P16" i="80" s="1"/>
  <c r="P21" i="80" s="1"/>
  <c r="P29" i="80" s="1"/>
  <c r="P30" i="80" s="1"/>
  <c r="P33" i="80" s="1"/>
  <c r="O8" i="80"/>
  <c r="O16" i="80" s="1"/>
  <c r="O21" i="80" s="1"/>
  <c r="O29" i="80" s="1"/>
  <c r="O30" i="80" s="1"/>
  <c r="O33" i="80" s="1"/>
  <c r="N8" i="80"/>
  <c r="N16" i="80" s="1"/>
  <c r="N21" i="80" s="1"/>
  <c r="N29" i="80" s="1"/>
  <c r="N30" i="80" s="1"/>
  <c r="N33" i="80" s="1"/>
  <c r="M8" i="80"/>
  <c r="K8" i="80"/>
  <c r="J8" i="80"/>
  <c r="J16" i="80" s="1"/>
  <c r="J21" i="80" s="1"/>
  <c r="J29" i="80" s="1"/>
  <c r="I8" i="80"/>
  <c r="I16" i="80" s="1"/>
  <c r="I21" i="80" s="1"/>
  <c r="I29" i="80" s="1"/>
  <c r="I30" i="80" s="1"/>
  <c r="I33" i="80" s="1"/>
  <c r="H8" i="80"/>
  <c r="H16" i="80" s="1"/>
  <c r="H21" i="80" s="1"/>
  <c r="H29" i="80" s="1"/>
  <c r="H30" i="80" s="1"/>
  <c r="H33" i="80" s="1"/>
  <c r="G8" i="80"/>
  <c r="Q8" i="80" s="1"/>
  <c r="F8" i="80"/>
  <c r="F16" i="80" s="1"/>
  <c r="F21" i="80" s="1"/>
  <c r="F29" i="80" s="1"/>
  <c r="F30" i="80" s="1"/>
  <c r="F33" i="80" s="1"/>
  <c r="E8" i="80"/>
  <c r="A8" i="80"/>
  <c r="A7" i="80"/>
  <c r="M13" i="78"/>
  <c r="L13" i="78"/>
  <c r="K13" i="78"/>
  <c r="J13" i="78"/>
  <c r="I13" i="78"/>
  <c r="H13" i="78"/>
  <c r="G13" i="78"/>
  <c r="F13" i="78"/>
  <c r="E13" i="78"/>
  <c r="D13" i="78"/>
  <c r="C13" i="78"/>
  <c r="B13" i="78"/>
  <c r="N12" i="78"/>
  <c r="P12" i="78" s="1"/>
  <c r="M12" i="78"/>
  <c r="L12" i="78"/>
  <c r="K12" i="78"/>
  <c r="J12" i="78"/>
  <c r="I12" i="78"/>
  <c r="H12" i="78"/>
  <c r="G12" i="78"/>
  <c r="F12" i="78"/>
  <c r="E12" i="78"/>
  <c r="D12" i="78"/>
  <c r="C12" i="78"/>
  <c r="B12" i="78"/>
  <c r="M11" i="78"/>
  <c r="L11" i="78"/>
  <c r="K11" i="78"/>
  <c r="J11" i="78"/>
  <c r="I11" i="78"/>
  <c r="H11" i="78"/>
  <c r="G11" i="78"/>
  <c r="F11" i="78"/>
  <c r="E11" i="78"/>
  <c r="D11" i="78"/>
  <c r="C11" i="78"/>
  <c r="B11" i="78"/>
  <c r="N10" i="78"/>
  <c r="P9" i="78"/>
  <c r="N9" i="78"/>
  <c r="N8" i="78"/>
  <c r="N11" i="78" s="1"/>
  <c r="P11" i="78" s="1"/>
  <c r="P7" i="78"/>
  <c r="N6" i="78"/>
  <c r="P6" i="78" s="1"/>
  <c r="P5" i="78"/>
  <c r="N5" i="78"/>
  <c r="N4" i="78"/>
  <c r="P4" i="78" s="1"/>
  <c r="E41" i="77"/>
  <c r="D41" i="77"/>
  <c r="D35" i="77"/>
  <c r="M34" i="77"/>
  <c r="D34" i="77"/>
  <c r="D33" i="77"/>
  <c r="D32" i="77"/>
  <c r="B26" i="77"/>
  <c r="H24" i="77"/>
  <c r="E23" i="77"/>
  <c r="J17" i="77"/>
  <c r="G17" i="77"/>
  <c r="D38" i="75"/>
  <c r="C38" i="75"/>
  <c r="E37" i="75"/>
  <c r="E36" i="75"/>
  <c r="E35" i="75"/>
  <c r="E34" i="75"/>
  <c r="E33" i="75"/>
  <c r="E32" i="75"/>
  <c r="E18" i="75"/>
  <c r="E17" i="75"/>
  <c r="E16" i="75"/>
  <c r="E15" i="75"/>
  <c r="E14" i="75"/>
  <c r="I85" i="74"/>
  <c r="N84" i="74"/>
  <c r="M84" i="74"/>
  <c r="L84" i="74"/>
  <c r="K84" i="74"/>
  <c r="J84" i="74"/>
  <c r="I84" i="74"/>
  <c r="H84" i="74"/>
  <c r="G84" i="74"/>
  <c r="F84" i="74"/>
  <c r="E84" i="74"/>
  <c r="D84" i="74"/>
  <c r="C84" i="74"/>
  <c r="M83" i="74"/>
  <c r="L83" i="74"/>
  <c r="K83" i="74"/>
  <c r="J83" i="74"/>
  <c r="I83" i="74"/>
  <c r="H83" i="74"/>
  <c r="G83" i="74"/>
  <c r="F83" i="74"/>
  <c r="E83" i="74"/>
  <c r="D83" i="74"/>
  <c r="C83" i="74"/>
  <c r="M82" i="74"/>
  <c r="L82" i="74"/>
  <c r="K82" i="74"/>
  <c r="J82" i="74"/>
  <c r="I82" i="74"/>
  <c r="H82" i="74"/>
  <c r="G82" i="74"/>
  <c r="F82" i="74"/>
  <c r="E82" i="74"/>
  <c r="D82" i="74"/>
  <c r="C82" i="74"/>
  <c r="M81" i="74"/>
  <c r="M85" i="74" s="1"/>
  <c r="L81" i="74"/>
  <c r="L85" i="74" s="1"/>
  <c r="K81" i="74"/>
  <c r="K85" i="74" s="1"/>
  <c r="J81" i="74"/>
  <c r="J85" i="74" s="1"/>
  <c r="I81" i="74"/>
  <c r="H81" i="74"/>
  <c r="G81" i="74"/>
  <c r="G85" i="74" s="1"/>
  <c r="F81" i="74"/>
  <c r="E81" i="74"/>
  <c r="E85" i="74" s="1"/>
  <c r="D81" i="74"/>
  <c r="D85" i="74" s="1"/>
  <c r="C81" i="74"/>
  <c r="C85" i="74" s="1"/>
  <c r="N79" i="74"/>
  <c r="O79" i="74" s="1"/>
  <c r="N78" i="74"/>
  <c r="N83" i="74" s="1"/>
  <c r="M6" i="72" s="1"/>
  <c r="M20" i="72" s="1"/>
  <c r="P24" i="77" s="1"/>
  <c r="O77" i="74"/>
  <c r="O76" i="74"/>
  <c r="O70" i="74"/>
  <c r="O82" i="74" s="1"/>
  <c r="N70" i="74"/>
  <c r="N82" i="74" s="1"/>
  <c r="M5" i="72" s="1"/>
  <c r="O69" i="74"/>
  <c r="O66" i="74"/>
  <c r="O81" i="74" s="1"/>
  <c r="N66" i="74"/>
  <c r="N81" i="74" s="1"/>
  <c r="O65" i="74"/>
  <c r="N57" i="74"/>
  <c r="M57" i="74"/>
  <c r="L57" i="74"/>
  <c r="K57" i="74"/>
  <c r="J57" i="74"/>
  <c r="I57" i="74"/>
  <c r="H57" i="74"/>
  <c r="G57" i="74"/>
  <c r="F57" i="74"/>
  <c r="E57" i="74"/>
  <c r="D57" i="74"/>
  <c r="C57" i="74"/>
  <c r="M56" i="74"/>
  <c r="L56" i="74"/>
  <c r="K56" i="74"/>
  <c r="J56" i="74"/>
  <c r="I56" i="74"/>
  <c r="H56" i="74"/>
  <c r="G56" i="74"/>
  <c r="F56" i="74"/>
  <c r="E56" i="74"/>
  <c r="D56" i="74"/>
  <c r="C56" i="74"/>
  <c r="M55" i="74"/>
  <c r="L55" i="74"/>
  <c r="K55" i="74"/>
  <c r="J55" i="74"/>
  <c r="I55" i="74"/>
  <c r="H55" i="74"/>
  <c r="G55" i="74"/>
  <c r="F55" i="74"/>
  <c r="E55" i="74"/>
  <c r="D55" i="74"/>
  <c r="C55" i="74"/>
  <c r="O52" i="74"/>
  <c r="O57" i="74" s="1"/>
  <c r="N52" i="74"/>
  <c r="O51" i="74"/>
  <c r="O50" i="74"/>
  <c r="O45" i="74"/>
  <c r="N45" i="74"/>
  <c r="O44" i="74"/>
  <c r="O43" i="74"/>
  <c r="O41" i="74"/>
  <c r="O55" i="74" s="1"/>
  <c r="N41" i="74"/>
  <c r="N55" i="74" s="1"/>
  <c r="O40" i="74"/>
  <c r="O39" i="74"/>
  <c r="O37" i="74"/>
  <c r="O56" i="74" s="1"/>
  <c r="N37" i="74"/>
  <c r="N56" i="74" s="1"/>
  <c r="O36" i="74"/>
  <c r="O35" i="74"/>
  <c r="K25" i="74"/>
  <c r="G25" i="74"/>
  <c r="C25" i="74"/>
  <c r="N24" i="74"/>
  <c r="M24" i="74"/>
  <c r="L24" i="74"/>
  <c r="K24" i="74"/>
  <c r="J24" i="74"/>
  <c r="I24" i="74"/>
  <c r="H24" i="74"/>
  <c r="G24" i="74"/>
  <c r="F24" i="74"/>
  <c r="E24" i="74"/>
  <c r="D24" i="74"/>
  <c r="C24" i="74"/>
  <c r="N23" i="74"/>
  <c r="N25" i="74" s="1"/>
  <c r="M23" i="74"/>
  <c r="M25" i="74" s="1"/>
  <c r="K23" i="74"/>
  <c r="J23" i="74"/>
  <c r="J25" i="74" s="1"/>
  <c r="I23" i="74"/>
  <c r="I25" i="74" s="1"/>
  <c r="H23" i="74"/>
  <c r="H25" i="74" s="1"/>
  <c r="G23" i="74"/>
  <c r="F23" i="74"/>
  <c r="F25" i="74" s="1"/>
  <c r="E23" i="74"/>
  <c r="E25" i="74" s="1"/>
  <c r="D23" i="74"/>
  <c r="D25" i="74" s="1"/>
  <c r="C23" i="74"/>
  <c r="N21" i="74"/>
  <c r="O21" i="74" s="1"/>
  <c r="O20" i="74"/>
  <c r="O84" i="74" s="1"/>
  <c r="O19" i="74"/>
  <c r="L18" i="74"/>
  <c r="O18" i="74" s="1"/>
  <c r="O17" i="74"/>
  <c r="O16" i="74"/>
  <c r="O24" i="74" s="1"/>
  <c r="O15" i="74"/>
  <c r="O11" i="74"/>
  <c r="K21" i="72"/>
  <c r="C21" i="72"/>
  <c r="M19" i="72"/>
  <c r="P23" i="77" s="1"/>
  <c r="E19" i="72"/>
  <c r="H23" i="77" s="1"/>
  <c r="I18" i="72"/>
  <c r="M15" i="72"/>
  <c r="L15" i="72"/>
  <c r="K15" i="72"/>
  <c r="J15" i="72"/>
  <c r="I15" i="72"/>
  <c r="H15" i="72"/>
  <c r="G15" i="72"/>
  <c r="F15" i="72"/>
  <c r="E15" i="72"/>
  <c r="D15" i="72"/>
  <c r="C15" i="72"/>
  <c r="B15" i="72"/>
  <c r="N14" i="72"/>
  <c r="O14" i="72" s="1"/>
  <c r="N13" i="72"/>
  <c r="O13" i="72" s="1"/>
  <c r="N12" i="72"/>
  <c r="O12" i="72" s="1"/>
  <c r="N11" i="72"/>
  <c r="M7" i="72"/>
  <c r="M21" i="72" s="1"/>
  <c r="L7" i="72"/>
  <c r="L21" i="72" s="1"/>
  <c r="K7" i="72"/>
  <c r="J7" i="72"/>
  <c r="J21" i="72" s="1"/>
  <c r="I7" i="72"/>
  <c r="I21" i="72" s="1"/>
  <c r="H7" i="72"/>
  <c r="H21" i="72" s="1"/>
  <c r="H34" i="72" s="1"/>
  <c r="G7" i="72"/>
  <c r="G21" i="72" s="1"/>
  <c r="F7" i="72"/>
  <c r="F21" i="72" s="1"/>
  <c r="E7" i="72"/>
  <c r="E21" i="72" s="1"/>
  <c r="D7" i="72"/>
  <c r="D21" i="72" s="1"/>
  <c r="C7" i="72"/>
  <c r="B7" i="72"/>
  <c r="L6" i="72"/>
  <c r="L20" i="72" s="1"/>
  <c r="O24" i="77" s="1"/>
  <c r="K6" i="72"/>
  <c r="K20" i="72" s="1"/>
  <c r="N24" i="77" s="1"/>
  <c r="J6" i="72"/>
  <c r="J20" i="72" s="1"/>
  <c r="M24" i="77" s="1"/>
  <c r="M41" i="77" s="1"/>
  <c r="M43" i="77" s="1"/>
  <c r="I6" i="72"/>
  <c r="I20" i="72" s="1"/>
  <c r="L24" i="77" s="1"/>
  <c r="H6" i="72"/>
  <c r="H20" i="72" s="1"/>
  <c r="K24" i="77" s="1"/>
  <c r="G6" i="72"/>
  <c r="G20" i="72" s="1"/>
  <c r="J24" i="77" s="1"/>
  <c r="F6" i="72"/>
  <c r="F20" i="72" s="1"/>
  <c r="I24" i="77" s="1"/>
  <c r="E6" i="72"/>
  <c r="E20" i="72" s="1"/>
  <c r="D6" i="72"/>
  <c r="D20" i="72" s="1"/>
  <c r="G24" i="77" s="1"/>
  <c r="C6" i="72"/>
  <c r="C20" i="72" s="1"/>
  <c r="F24" i="77" s="1"/>
  <c r="B6" i="72"/>
  <c r="B20" i="72" s="1"/>
  <c r="E24" i="77" s="1"/>
  <c r="E34" i="77" s="1"/>
  <c r="L5" i="72"/>
  <c r="L19" i="72" s="1"/>
  <c r="O23" i="77" s="1"/>
  <c r="K5" i="72"/>
  <c r="K19" i="72" s="1"/>
  <c r="N23" i="77" s="1"/>
  <c r="J5" i="72"/>
  <c r="J19" i="72" s="1"/>
  <c r="M23" i="77" s="1"/>
  <c r="I5" i="72"/>
  <c r="I19" i="72" s="1"/>
  <c r="L23" i="77" s="1"/>
  <c r="H5" i="72"/>
  <c r="H19" i="72" s="1"/>
  <c r="K23" i="77" s="1"/>
  <c r="F5" i="72"/>
  <c r="F19" i="72" s="1"/>
  <c r="I23" i="77" s="1"/>
  <c r="E5" i="72"/>
  <c r="D5" i="72"/>
  <c r="D19" i="72" s="1"/>
  <c r="G23" i="77" s="1"/>
  <c r="C5" i="72"/>
  <c r="C19" i="72" s="1"/>
  <c r="F23" i="77" s="1"/>
  <c r="B5" i="72"/>
  <c r="B19" i="72" s="1"/>
  <c r="L4" i="72"/>
  <c r="L18" i="72" s="1"/>
  <c r="K4" i="72"/>
  <c r="K18" i="72" s="1"/>
  <c r="J4" i="72"/>
  <c r="I4" i="72"/>
  <c r="I8" i="72" s="1"/>
  <c r="H4" i="72"/>
  <c r="H18" i="72" s="1"/>
  <c r="G4" i="72"/>
  <c r="G18" i="72" s="1"/>
  <c r="J22" i="77" s="1"/>
  <c r="F4" i="72"/>
  <c r="F18" i="72" s="1"/>
  <c r="I22" i="77" s="1"/>
  <c r="E4" i="72"/>
  <c r="E18" i="72" s="1"/>
  <c r="D4" i="72"/>
  <c r="C4" i="72"/>
  <c r="C18" i="72" s="1"/>
  <c r="B4" i="72"/>
  <c r="J2" i="72"/>
  <c r="M20" i="77" s="1"/>
  <c r="M30" i="77" s="1"/>
  <c r="H2" i="72"/>
  <c r="K20" i="77" s="1"/>
  <c r="K30" i="77" s="1"/>
  <c r="F2" i="72"/>
  <c r="I20" i="77" s="1"/>
  <c r="I30" i="77" s="1"/>
  <c r="B2" i="72"/>
  <c r="E20" i="77" s="1"/>
  <c r="E30" i="77" s="1"/>
  <c r="L54" i="71"/>
  <c r="J54" i="71"/>
  <c r="F54" i="71"/>
  <c r="D54" i="71"/>
  <c r="B54" i="71"/>
  <c r="I53" i="71"/>
  <c r="L52" i="71"/>
  <c r="H52" i="71"/>
  <c r="F52" i="71"/>
  <c r="D52" i="71"/>
  <c r="H46" i="71"/>
  <c r="M45" i="71"/>
  <c r="E45" i="71"/>
  <c r="M33" i="71"/>
  <c r="K33" i="71"/>
  <c r="I33" i="71"/>
  <c r="E33" i="71"/>
  <c r="C33" i="71"/>
  <c r="D28" i="71"/>
  <c r="M26" i="71"/>
  <c r="M53" i="71" s="1"/>
  <c r="L26" i="71"/>
  <c r="L53" i="71" s="1"/>
  <c r="K26" i="71"/>
  <c r="K53" i="71" s="1"/>
  <c r="J26" i="71"/>
  <c r="J53" i="71" s="1"/>
  <c r="I26" i="71"/>
  <c r="H26" i="71"/>
  <c r="H54" i="71" s="1"/>
  <c r="G26" i="71"/>
  <c r="G53" i="71" s="1"/>
  <c r="F26" i="71"/>
  <c r="F53" i="71" s="1"/>
  <c r="E26" i="71"/>
  <c r="E53" i="71" s="1"/>
  <c r="D26" i="71"/>
  <c r="D53" i="71" s="1"/>
  <c r="C26" i="71"/>
  <c r="C53" i="71" s="1"/>
  <c r="B26" i="71"/>
  <c r="B53" i="71" s="1"/>
  <c r="O25" i="71"/>
  <c r="N25" i="71"/>
  <c r="O24" i="71"/>
  <c r="N24" i="71"/>
  <c r="N23" i="71"/>
  <c r="N26" i="71" s="1"/>
  <c r="N20" i="71"/>
  <c r="N18" i="71"/>
  <c r="M18" i="71"/>
  <c r="L18" i="71"/>
  <c r="K18" i="71"/>
  <c r="K46" i="71" s="1"/>
  <c r="J18" i="71"/>
  <c r="J46" i="71" s="1"/>
  <c r="I18" i="71"/>
  <c r="H18" i="71"/>
  <c r="G18" i="71"/>
  <c r="G46" i="71" s="1"/>
  <c r="F18" i="71"/>
  <c r="F46" i="71" s="1"/>
  <c r="E18" i="71"/>
  <c r="D18" i="71"/>
  <c r="C18" i="71"/>
  <c r="C46" i="71" s="1"/>
  <c r="B18" i="71"/>
  <c r="B46" i="71" s="1"/>
  <c r="O17" i="71"/>
  <c r="O16" i="71"/>
  <c r="O15" i="71"/>
  <c r="O14" i="71"/>
  <c r="O13" i="71"/>
  <c r="M8" i="71"/>
  <c r="L8" i="71"/>
  <c r="L45" i="71" s="1"/>
  <c r="K8" i="71"/>
  <c r="J8" i="71"/>
  <c r="I8" i="71"/>
  <c r="H8" i="71"/>
  <c r="H45" i="71" s="1"/>
  <c r="G8" i="71"/>
  <c r="G45" i="71" s="1"/>
  <c r="F8" i="71"/>
  <c r="E8" i="71"/>
  <c r="D8" i="71"/>
  <c r="D45" i="71" s="1"/>
  <c r="C8" i="71"/>
  <c r="N8" i="71" s="1"/>
  <c r="O8" i="71" s="1"/>
  <c r="B8" i="71"/>
  <c r="M7" i="71"/>
  <c r="L7" i="71"/>
  <c r="J7" i="71"/>
  <c r="J45" i="71" s="1"/>
  <c r="I7" i="71"/>
  <c r="I45" i="71" s="1"/>
  <c r="H7" i="71"/>
  <c r="G7" i="71"/>
  <c r="F7" i="71"/>
  <c r="F45" i="71" s="1"/>
  <c r="E7" i="71"/>
  <c r="D7" i="71"/>
  <c r="C7" i="71"/>
  <c r="C45" i="71" s="1"/>
  <c r="B7" i="71"/>
  <c r="B45" i="71" s="1"/>
  <c r="M6" i="71"/>
  <c r="L6" i="71"/>
  <c r="K6" i="71"/>
  <c r="J6" i="71"/>
  <c r="I6" i="71"/>
  <c r="H6" i="71"/>
  <c r="G6" i="71"/>
  <c r="F6" i="71"/>
  <c r="E6" i="71"/>
  <c r="D6" i="71"/>
  <c r="C6" i="71"/>
  <c r="B6" i="71"/>
  <c r="M5" i="71"/>
  <c r="L5" i="71"/>
  <c r="K5" i="71"/>
  <c r="J5" i="71"/>
  <c r="J9" i="71" s="1"/>
  <c r="I5" i="71"/>
  <c r="H5" i="71"/>
  <c r="G5" i="71"/>
  <c r="G9" i="71" s="1"/>
  <c r="F5" i="71"/>
  <c r="F9" i="71" s="1"/>
  <c r="E5" i="71"/>
  <c r="D5" i="71"/>
  <c r="C5" i="71"/>
  <c r="B5" i="71"/>
  <c r="B9" i="71" s="1"/>
  <c r="M4" i="71"/>
  <c r="L4" i="71"/>
  <c r="L9" i="71" s="1"/>
  <c r="K4" i="71"/>
  <c r="K52" i="71" s="1"/>
  <c r="J4" i="71"/>
  <c r="J52" i="71" s="1"/>
  <c r="I4" i="71"/>
  <c r="H4" i="71"/>
  <c r="H9" i="71" s="1"/>
  <c r="G4" i="71"/>
  <c r="F4" i="71"/>
  <c r="E4" i="71"/>
  <c r="D4" i="71"/>
  <c r="D9" i="71" s="1"/>
  <c r="C4" i="71"/>
  <c r="C52" i="71" s="1"/>
  <c r="B4" i="71"/>
  <c r="B52" i="71" s="1"/>
  <c r="M2" i="71"/>
  <c r="M2" i="72" s="1"/>
  <c r="P20" i="77" s="1"/>
  <c r="P30" i="77" s="1"/>
  <c r="L2" i="71"/>
  <c r="L2" i="72" s="1"/>
  <c r="O20" i="77" s="1"/>
  <c r="O30" i="77" s="1"/>
  <c r="K2" i="71"/>
  <c r="K2" i="72" s="1"/>
  <c r="N20" i="77" s="1"/>
  <c r="N30" i="77" s="1"/>
  <c r="J2" i="71"/>
  <c r="I2" i="71"/>
  <c r="I2" i="72" s="1"/>
  <c r="L20" i="77" s="1"/>
  <c r="L30" i="77" s="1"/>
  <c r="H2" i="71"/>
  <c r="G2" i="71"/>
  <c r="G2" i="72" s="1"/>
  <c r="J20" i="77" s="1"/>
  <c r="J30" i="77" s="1"/>
  <c r="F2" i="71"/>
  <c r="E2" i="71"/>
  <c r="E2" i="72" s="1"/>
  <c r="H20" i="77" s="1"/>
  <c r="H30" i="77" s="1"/>
  <c r="D2" i="71"/>
  <c r="D2" i="72" s="1"/>
  <c r="G20" i="77" s="1"/>
  <c r="G30" i="77" s="1"/>
  <c r="C2" i="71"/>
  <c r="C2" i="72" s="1"/>
  <c r="F20" i="77" s="1"/>
  <c r="F30" i="77" s="1"/>
  <c r="B2" i="71"/>
  <c r="D24" i="70"/>
  <c r="C24" i="70"/>
  <c r="E23" i="70"/>
  <c r="F23" i="70" s="1"/>
  <c r="M11" i="69" s="1"/>
  <c r="F22" i="70"/>
  <c r="L11" i="69" s="1"/>
  <c r="E22" i="70"/>
  <c r="E21" i="70"/>
  <c r="F21" i="70" s="1"/>
  <c r="K11" i="69" s="1"/>
  <c r="F20" i="70"/>
  <c r="J11" i="69" s="1"/>
  <c r="J13" i="69" s="1"/>
  <c r="M49" i="80" s="1"/>
  <c r="E20" i="70"/>
  <c r="E19" i="70"/>
  <c r="F19" i="70" s="1"/>
  <c r="E18" i="70"/>
  <c r="E17" i="70"/>
  <c r="F17" i="70" s="1"/>
  <c r="G11" i="69" s="1"/>
  <c r="F16" i="70"/>
  <c r="F11" i="69" s="1"/>
  <c r="E16" i="70"/>
  <c r="E15" i="70"/>
  <c r="F15" i="70" s="1"/>
  <c r="E11" i="69" s="1"/>
  <c r="F14" i="70"/>
  <c r="D11" i="69" s="1"/>
  <c r="E14" i="70"/>
  <c r="E13" i="70"/>
  <c r="F13" i="70" s="1"/>
  <c r="F24" i="70" s="1"/>
  <c r="F12" i="70"/>
  <c r="B11" i="69" s="1"/>
  <c r="E12" i="70"/>
  <c r="A12" i="70"/>
  <c r="A13" i="70" s="1"/>
  <c r="A14" i="70" s="1"/>
  <c r="A15" i="70" s="1"/>
  <c r="A16" i="70" s="1"/>
  <c r="A17" i="70" s="1"/>
  <c r="A18" i="70" s="1"/>
  <c r="A19" i="70" s="1"/>
  <c r="A20" i="70" s="1"/>
  <c r="A21" i="70" s="1"/>
  <c r="A22" i="70" s="1"/>
  <c r="A23" i="70" s="1"/>
  <c r="A24" i="70" s="1"/>
  <c r="F11" i="70"/>
  <c r="F18" i="70" s="1"/>
  <c r="H11" i="69" s="1"/>
  <c r="H13" i="69" s="1"/>
  <c r="K49" i="80" s="1"/>
  <c r="A11" i="70"/>
  <c r="M12" i="69"/>
  <c r="L12" i="69"/>
  <c r="L13" i="69" s="1"/>
  <c r="O49" i="80" s="1"/>
  <c r="K12" i="69"/>
  <c r="K13" i="69" s="1"/>
  <c r="N49" i="80" s="1"/>
  <c r="J12" i="69"/>
  <c r="I12" i="69"/>
  <c r="H12" i="69"/>
  <c r="G12" i="69"/>
  <c r="F12" i="69"/>
  <c r="E12" i="69"/>
  <c r="E13" i="69" s="1"/>
  <c r="H49" i="80" s="1"/>
  <c r="D12" i="69"/>
  <c r="D13" i="69" s="1"/>
  <c r="G49" i="80" s="1"/>
  <c r="C12" i="69"/>
  <c r="C13" i="69" s="1"/>
  <c r="F49" i="80" s="1"/>
  <c r="B12" i="69"/>
  <c r="I11" i="69"/>
  <c r="C11" i="69"/>
  <c r="D8" i="69"/>
  <c r="D4" i="68" s="1"/>
  <c r="M7" i="69"/>
  <c r="M29" i="72" s="1"/>
  <c r="L7" i="69"/>
  <c r="L33" i="71" s="1"/>
  <c r="K7" i="69"/>
  <c r="K29" i="72" s="1"/>
  <c r="J7" i="69"/>
  <c r="I7" i="69"/>
  <c r="I29" i="72" s="1"/>
  <c r="H7" i="69"/>
  <c r="H33" i="71" s="1"/>
  <c r="G7" i="69"/>
  <c r="G29" i="72" s="1"/>
  <c r="F7" i="69"/>
  <c r="E7" i="69"/>
  <c r="E29" i="72" s="1"/>
  <c r="D7" i="69"/>
  <c r="N7" i="69" s="1"/>
  <c r="O7" i="69" s="1"/>
  <c r="C7" i="69"/>
  <c r="C29" i="72" s="1"/>
  <c r="B7" i="69"/>
  <c r="K6" i="69"/>
  <c r="G6" i="69"/>
  <c r="M5" i="69"/>
  <c r="L5" i="69"/>
  <c r="L6" i="69" s="1"/>
  <c r="K5" i="69"/>
  <c r="J5" i="69"/>
  <c r="I5" i="69"/>
  <c r="H5" i="69"/>
  <c r="H6" i="69" s="1"/>
  <c r="H8" i="69" s="1"/>
  <c r="H4" i="68" s="1"/>
  <c r="G5" i="69"/>
  <c r="F5" i="69"/>
  <c r="N5" i="69" s="1"/>
  <c r="E5" i="69"/>
  <c r="D5" i="69"/>
  <c r="D6" i="69" s="1"/>
  <c r="C5" i="69"/>
  <c r="B5" i="69"/>
  <c r="M4" i="69"/>
  <c r="M6" i="69" s="1"/>
  <c r="M8" i="69" s="1"/>
  <c r="M4" i="68" s="1"/>
  <c r="L4" i="69"/>
  <c r="K4" i="69"/>
  <c r="J4" i="69"/>
  <c r="J6" i="69" s="1"/>
  <c r="I4" i="69"/>
  <c r="I6" i="69" s="1"/>
  <c r="I8" i="69" s="1"/>
  <c r="I4" i="68" s="1"/>
  <c r="H4" i="69"/>
  <c r="G4" i="69"/>
  <c r="F4" i="69"/>
  <c r="E4" i="69"/>
  <c r="E6" i="69" s="1"/>
  <c r="E8" i="69" s="1"/>
  <c r="E4" i="68" s="1"/>
  <c r="D4" i="69"/>
  <c r="C4" i="69"/>
  <c r="C6" i="69" s="1"/>
  <c r="B4" i="69"/>
  <c r="N4" i="69" s="1"/>
  <c r="N25" i="68"/>
  <c r="C25" i="68"/>
  <c r="B25" i="68"/>
  <c r="N24" i="68"/>
  <c r="C24" i="68"/>
  <c r="B24" i="68"/>
  <c r="G20" i="68"/>
  <c r="G19" i="68"/>
  <c r="G18" i="68"/>
  <c r="G17" i="68"/>
  <c r="G15" i="68"/>
  <c r="G83" i="51"/>
  <c r="G84" i="51" s="1"/>
  <c r="R36" i="51"/>
  <c r="Q36" i="51"/>
  <c r="P36" i="51"/>
  <c r="O36" i="51"/>
  <c r="N36" i="51"/>
  <c r="M36" i="51"/>
  <c r="L15" i="50" s="1"/>
  <c r="L36" i="51"/>
  <c r="K36" i="51"/>
  <c r="J36" i="51"/>
  <c r="I36" i="51"/>
  <c r="H36" i="51"/>
  <c r="G36" i="51"/>
  <c r="F36" i="51" s="1"/>
  <c r="R35" i="51"/>
  <c r="Q14" i="50" s="1"/>
  <c r="Q35" i="51"/>
  <c r="P35" i="51"/>
  <c r="O35" i="51"/>
  <c r="N35" i="51"/>
  <c r="M14" i="50" s="1"/>
  <c r="M35" i="51"/>
  <c r="L35" i="51"/>
  <c r="K14" i="50" s="1"/>
  <c r="K35" i="51"/>
  <c r="J35" i="51"/>
  <c r="I14" i="50" s="1"/>
  <c r="I35" i="51"/>
  <c r="H35" i="51"/>
  <c r="G35" i="51"/>
  <c r="F35" i="51"/>
  <c r="R34" i="51"/>
  <c r="Q34" i="51"/>
  <c r="P13" i="50" s="1"/>
  <c r="P34" i="51"/>
  <c r="O34" i="51"/>
  <c r="N13" i="50" s="1"/>
  <c r="N34" i="51"/>
  <c r="M34" i="51"/>
  <c r="L34" i="51"/>
  <c r="K34" i="51"/>
  <c r="J13" i="50" s="1"/>
  <c r="J34" i="51"/>
  <c r="I34" i="51"/>
  <c r="H13" i="50" s="1"/>
  <c r="H34" i="51"/>
  <c r="G34" i="51"/>
  <c r="R33" i="51"/>
  <c r="Q33" i="51"/>
  <c r="P33" i="51"/>
  <c r="O33" i="51"/>
  <c r="N33" i="51"/>
  <c r="M33" i="51"/>
  <c r="L33" i="51"/>
  <c r="K12" i="50" s="1"/>
  <c r="K33" i="51"/>
  <c r="J33" i="51"/>
  <c r="I33" i="51"/>
  <c r="H33" i="51"/>
  <c r="F33" i="51" s="1"/>
  <c r="G33" i="51"/>
  <c r="R32" i="51"/>
  <c r="Q32" i="51"/>
  <c r="P11" i="50" s="1"/>
  <c r="P32" i="51"/>
  <c r="O32" i="51"/>
  <c r="N32" i="51"/>
  <c r="M32" i="51"/>
  <c r="L32" i="51"/>
  <c r="K32" i="51"/>
  <c r="J32" i="51"/>
  <c r="I32" i="51"/>
  <c r="H11" i="50" s="1"/>
  <c r="H32" i="51"/>
  <c r="G32" i="51"/>
  <c r="R31" i="51"/>
  <c r="Q10" i="50" s="1"/>
  <c r="Q16" i="50" s="1"/>
  <c r="Q21" i="50" s="1"/>
  <c r="Q31" i="50" s="1"/>
  <c r="Q32" i="50" s="1"/>
  <c r="Q35" i="50" s="1"/>
  <c r="Q37" i="50" s="1"/>
  <c r="Q38" i="50" s="1"/>
  <c r="Q31" i="51"/>
  <c r="P31" i="51"/>
  <c r="O10" i="50" s="1"/>
  <c r="O31" i="51"/>
  <c r="N31" i="51"/>
  <c r="M10" i="50" s="1"/>
  <c r="M31" i="51"/>
  <c r="L31" i="51"/>
  <c r="K31" i="51"/>
  <c r="J31" i="51"/>
  <c r="J37" i="51" s="1"/>
  <c r="I31" i="51"/>
  <c r="H31" i="51"/>
  <c r="F31" i="51" s="1"/>
  <c r="G31" i="51"/>
  <c r="R30" i="51"/>
  <c r="Q30" i="51"/>
  <c r="P30" i="51"/>
  <c r="O30" i="51"/>
  <c r="N9" i="50" s="1"/>
  <c r="N30" i="51"/>
  <c r="M30" i="51"/>
  <c r="L9" i="50" s="1"/>
  <c r="L30" i="51"/>
  <c r="K30" i="51"/>
  <c r="J9" i="50" s="1"/>
  <c r="J30" i="51"/>
  <c r="I30" i="51"/>
  <c r="H30" i="51"/>
  <c r="G30" i="51"/>
  <c r="R29" i="51"/>
  <c r="R37" i="51" s="1"/>
  <c r="Q29" i="51"/>
  <c r="Q37" i="51" s="1"/>
  <c r="P29" i="51"/>
  <c r="P37" i="51" s="1"/>
  <c r="O29" i="51"/>
  <c r="O37" i="51" s="1"/>
  <c r="N29" i="51"/>
  <c r="M29" i="51"/>
  <c r="L29" i="51"/>
  <c r="L37" i="51" s="1"/>
  <c r="K29" i="51"/>
  <c r="J29" i="51"/>
  <c r="H29" i="51"/>
  <c r="H37" i="51" s="1"/>
  <c r="G29" i="51"/>
  <c r="R26" i="51"/>
  <c r="Q26" i="51"/>
  <c r="P26" i="51"/>
  <c r="O26" i="51"/>
  <c r="N26" i="51"/>
  <c r="M26" i="51"/>
  <c r="L26" i="51"/>
  <c r="K26" i="51"/>
  <c r="J26" i="51"/>
  <c r="I26" i="51"/>
  <c r="H26" i="51"/>
  <c r="G26" i="51"/>
  <c r="F25" i="51"/>
  <c r="F24" i="51"/>
  <c r="F23" i="51"/>
  <c r="F22" i="51"/>
  <c r="F21" i="51"/>
  <c r="F20" i="51"/>
  <c r="F19" i="51"/>
  <c r="F18" i="51"/>
  <c r="R15" i="51"/>
  <c r="Q15" i="51"/>
  <c r="P15" i="51"/>
  <c r="O15" i="51"/>
  <c r="N15" i="51"/>
  <c r="M15" i="51"/>
  <c r="L15" i="51"/>
  <c r="K15" i="51"/>
  <c r="J15" i="51"/>
  <c r="H15" i="51"/>
  <c r="G15" i="51"/>
  <c r="F14" i="51"/>
  <c r="F13" i="51"/>
  <c r="F12" i="51"/>
  <c r="F11" i="51"/>
  <c r="F10" i="51"/>
  <c r="F9" i="51"/>
  <c r="F8" i="51"/>
  <c r="I7" i="51"/>
  <c r="P29" i="50"/>
  <c r="O29" i="50"/>
  <c r="M29" i="50"/>
  <c r="L29" i="50"/>
  <c r="H29" i="50"/>
  <c r="G29" i="50"/>
  <c r="R28" i="50"/>
  <c r="Q27" i="50"/>
  <c r="Q29" i="50" s="1"/>
  <c r="P27" i="50"/>
  <c r="O27" i="50"/>
  <c r="N27" i="50"/>
  <c r="N29" i="50" s="1"/>
  <c r="M27" i="50"/>
  <c r="L27" i="50"/>
  <c r="K27" i="50"/>
  <c r="K29" i="50" s="1"/>
  <c r="J27" i="50"/>
  <c r="J29" i="50" s="1"/>
  <c r="I27" i="50"/>
  <c r="I29" i="50" s="1"/>
  <c r="H27" i="50"/>
  <c r="G27" i="50"/>
  <c r="F27" i="50"/>
  <c r="F29" i="50" s="1"/>
  <c r="R24" i="50"/>
  <c r="K20" i="50"/>
  <c r="G20" i="50"/>
  <c r="R20" i="50" s="1"/>
  <c r="L19" i="50"/>
  <c r="R19" i="50" s="1"/>
  <c r="Q15" i="50"/>
  <c r="P15" i="50"/>
  <c r="O15" i="50"/>
  <c r="N15" i="50"/>
  <c r="R15" i="50" s="1"/>
  <c r="M15" i="50"/>
  <c r="K15" i="50"/>
  <c r="J15" i="50"/>
  <c r="I15" i="50"/>
  <c r="H15" i="50"/>
  <c r="G15" i="50"/>
  <c r="F15" i="50"/>
  <c r="P14" i="50"/>
  <c r="O14" i="50"/>
  <c r="N14" i="50"/>
  <c r="L14" i="50"/>
  <c r="J14" i="50"/>
  <c r="H14" i="50"/>
  <c r="G14" i="50"/>
  <c r="F14" i="50"/>
  <c r="Q13" i="50"/>
  <c r="O13" i="50"/>
  <c r="M13" i="50"/>
  <c r="L13" i="50"/>
  <c r="K13" i="50"/>
  <c r="I13" i="50"/>
  <c r="G13" i="50"/>
  <c r="Q12" i="50"/>
  <c r="P12" i="50"/>
  <c r="O12" i="50"/>
  <c r="N12" i="50"/>
  <c r="M12" i="50"/>
  <c r="L12" i="50"/>
  <c r="J12" i="50"/>
  <c r="I12" i="50"/>
  <c r="H12" i="50"/>
  <c r="G12" i="50"/>
  <c r="F12" i="50"/>
  <c r="R11" i="50"/>
  <c r="Q11" i="50"/>
  <c r="O11" i="50"/>
  <c r="N11" i="50"/>
  <c r="M11" i="50"/>
  <c r="L11" i="50"/>
  <c r="K11" i="50"/>
  <c r="J11" i="50"/>
  <c r="I11" i="50"/>
  <c r="G11" i="50"/>
  <c r="F11" i="50"/>
  <c r="P10" i="50"/>
  <c r="N10" i="50"/>
  <c r="L10" i="50"/>
  <c r="K10" i="50"/>
  <c r="J10" i="50"/>
  <c r="H10" i="50"/>
  <c r="F10" i="50"/>
  <c r="Q9" i="50"/>
  <c r="P9" i="50"/>
  <c r="O9" i="50"/>
  <c r="M9" i="50"/>
  <c r="K9" i="50"/>
  <c r="I9" i="50"/>
  <c r="H9" i="50"/>
  <c r="G9" i="50"/>
  <c r="Q8" i="50"/>
  <c r="P8" i="50"/>
  <c r="O8" i="50"/>
  <c r="N8" i="50"/>
  <c r="M8" i="50"/>
  <c r="M16" i="50" s="1"/>
  <c r="M21" i="50" s="1"/>
  <c r="M31" i="50" s="1"/>
  <c r="M32" i="50" s="1"/>
  <c r="M35" i="50" s="1"/>
  <c r="M37" i="50" s="1"/>
  <c r="M38" i="50" s="1"/>
  <c r="L8" i="50"/>
  <c r="K8" i="50"/>
  <c r="K16" i="50" s="1"/>
  <c r="K21" i="50" s="1"/>
  <c r="K31" i="50" s="1"/>
  <c r="K32" i="50" s="1"/>
  <c r="K35" i="50" s="1"/>
  <c r="K37" i="50" s="1"/>
  <c r="K38" i="50" s="1"/>
  <c r="J8" i="50"/>
  <c r="I8" i="50"/>
  <c r="F8" i="50"/>
  <c r="M14" i="49"/>
  <c r="K14" i="49"/>
  <c r="I14" i="49"/>
  <c r="F13" i="49"/>
  <c r="C13" i="49"/>
  <c r="N12" i="49"/>
  <c r="N14" i="49" s="1"/>
  <c r="M12" i="49"/>
  <c r="L12" i="49"/>
  <c r="L14" i="49" s="1"/>
  <c r="K12" i="49"/>
  <c r="J12" i="49"/>
  <c r="J14" i="49" s="1"/>
  <c r="I12" i="49"/>
  <c r="H12" i="49"/>
  <c r="H14" i="49" s="1"/>
  <c r="G12" i="49"/>
  <c r="G14" i="49" s="1"/>
  <c r="F12" i="49"/>
  <c r="E12" i="49"/>
  <c r="E14" i="49" s="1"/>
  <c r="D12" i="49"/>
  <c r="D14" i="49" s="1"/>
  <c r="C12" i="49"/>
  <c r="C14" i="49" s="1"/>
  <c r="O11" i="49"/>
  <c r="O10" i="49"/>
  <c r="O9" i="49"/>
  <c r="O8" i="49"/>
  <c r="O12" i="49" s="1"/>
  <c r="O7" i="49"/>
  <c r="C15" i="38" s="1"/>
  <c r="O6" i="49"/>
  <c r="C14" i="38" s="1"/>
  <c r="D10" i="82" s="1"/>
  <c r="O5" i="49"/>
  <c r="P4" i="49"/>
  <c r="O4" i="49"/>
  <c r="O3" i="49"/>
  <c r="O2" i="49"/>
  <c r="F35" i="38"/>
  <c r="A31" i="38"/>
  <c r="A32" i="38" s="1"/>
  <c r="A33" i="38" s="1"/>
  <c r="A34" i="38" s="1"/>
  <c r="A35" i="38" s="1"/>
  <c r="A36" i="38" s="1"/>
  <c r="A37" i="38" s="1"/>
  <c r="A38" i="38" s="1"/>
  <c r="A39" i="38" s="1"/>
  <c r="A40" i="38" s="1"/>
  <c r="A41" i="38" s="1"/>
  <c r="A42" i="38" s="1"/>
  <c r="A43" i="38" s="1"/>
  <c r="C20" i="38"/>
  <c r="D19" i="38"/>
  <c r="C35" i="38"/>
  <c r="D35" i="38" s="1"/>
  <c r="F17" i="38"/>
  <c r="C34" i="38"/>
  <c r="C33" i="38"/>
  <c r="C31" i="38"/>
  <c r="A14" i="38"/>
  <c r="A15" i="38" s="1"/>
  <c r="A16" i="38" s="1"/>
  <c r="A17" i="38" s="1"/>
  <c r="A18" i="38" s="1"/>
  <c r="A19" i="38" s="1"/>
  <c r="A20" i="38" s="1"/>
  <c r="A21" i="38" s="1"/>
  <c r="A22" i="38" s="1"/>
  <c r="A23" i="38" s="1"/>
  <c r="A24" i="38" s="1"/>
  <c r="A25" i="38" s="1"/>
  <c r="A26" i="38" s="1"/>
  <c r="C32" i="92"/>
  <c r="C30" i="92"/>
  <c r="D29" i="92"/>
  <c r="D32" i="92" s="1"/>
  <c r="C29" i="92"/>
  <c r="C21" i="92"/>
  <c r="D20" i="92"/>
  <c r="C20" i="92"/>
  <c r="D19" i="92"/>
  <c r="D21" i="92" s="1"/>
  <c r="C19" i="92"/>
  <c r="D18" i="92"/>
  <c r="C18" i="92"/>
  <c r="D9" i="92"/>
  <c r="C9" i="92"/>
  <c r="D8" i="92"/>
  <c r="C8" i="92"/>
  <c r="C10" i="92" s="1"/>
  <c r="D7" i="92"/>
  <c r="C7" i="92"/>
  <c r="K30" i="86"/>
  <c r="F30" i="86"/>
  <c r="D30" i="86"/>
  <c r="L29" i="86"/>
  <c r="F29" i="86"/>
  <c r="C29" i="86"/>
  <c r="J28" i="86"/>
  <c r="H28" i="86"/>
  <c r="F28" i="86"/>
  <c r="B28" i="86"/>
  <c r="K27" i="86"/>
  <c r="I27" i="86"/>
  <c r="E27" i="86"/>
  <c r="C27" i="86"/>
  <c r="L26" i="86"/>
  <c r="H26" i="86"/>
  <c r="F26" i="86"/>
  <c r="D26" i="86"/>
  <c r="K25" i="86"/>
  <c r="I25" i="86"/>
  <c r="G25" i="86"/>
  <c r="C25" i="86"/>
  <c r="L24" i="86"/>
  <c r="J24" i="86"/>
  <c r="F24" i="86"/>
  <c r="D24" i="86"/>
  <c r="B24" i="86"/>
  <c r="I23" i="86"/>
  <c r="G23" i="86"/>
  <c r="E23" i="86"/>
  <c r="L22" i="86"/>
  <c r="J22" i="86"/>
  <c r="H22" i="86"/>
  <c r="D22" i="86"/>
  <c r="B22" i="86"/>
  <c r="K21" i="86"/>
  <c r="G21" i="86"/>
  <c r="E21" i="86"/>
  <c r="C21" i="86"/>
  <c r="J20" i="86"/>
  <c r="H20" i="86"/>
  <c r="F20" i="86"/>
  <c r="B20" i="86"/>
  <c r="L19" i="86"/>
  <c r="J19" i="86"/>
  <c r="F19" i="86"/>
  <c r="D19" i="86"/>
  <c r="B19" i="86"/>
  <c r="L14" i="86"/>
  <c r="L30" i="86" s="1"/>
  <c r="K14" i="86"/>
  <c r="J14" i="86"/>
  <c r="J30" i="86" s="1"/>
  <c r="I14" i="86"/>
  <c r="I30" i="86" s="1"/>
  <c r="H14" i="86"/>
  <c r="H30" i="86" s="1"/>
  <c r="G14" i="86"/>
  <c r="G30" i="86" s="1"/>
  <c r="F14" i="86"/>
  <c r="E14" i="86"/>
  <c r="E30" i="86" s="1"/>
  <c r="D14" i="86"/>
  <c r="C14" i="86"/>
  <c r="C30" i="86" s="1"/>
  <c r="B14" i="86"/>
  <c r="B30" i="86" s="1"/>
  <c r="L13" i="86"/>
  <c r="K13" i="86"/>
  <c r="K29" i="86" s="1"/>
  <c r="J13" i="86"/>
  <c r="J29" i="86" s="1"/>
  <c r="I13" i="86"/>
  <c r="I29" i="86" s="1"/>
  <c r="H13" i="86"/>
  <c r="H29" i="86" s="1"/>
  <c r="G13" i="86"/>
  <c r="G29" i="86" s="1"/>
  <c r="F13" i="86"/>
  <c r="E13" i="86"/>
  <c r="E29" i="86" s="1"/>
  <c r="D13" i="86"/>
  <c r="D29" i="86" s="1"/>
  <c r="C13" i="86"/>
  <c r="B13" i="86"/>
  <c r="B29" i="86" s="1"/>
  <c r="L12" i="86"/>
  <c r="L28" i="86" s="1"/>
  <c r="K12" i="86"/>
  <c r="K28" i="86" s="1"/>
  <c r="J12" i="86"/>
  <c r="I12" i="86"/>
  <c r="I28" i="86" s="1"/>
  <c r="H12" i="86"/>
  <c r="G12" i="86"/>
  <c r="G28" i="86" s="1"/>
  <c r="F12" i="86"/>
  <c r="E12" i="86"/>
  <c r="E28" i="86" s="1"/>
  <c r="D12" i="86"/>
  <c r="D28" i="86" s="1"/>
  <c r="C12" i="86"/>
  <c r="C28" i="86" s="1"/>
  <c r="B12" i="86"/>
  <c r="L11" i="86"/>
  <c r="L27" i="86" s="1"/>
  <c r="K11" i="86"/>
  <c r="J11" i="86"/>
  <c r="J27" i="86" s="1"/>
  <c r="I11" i="86"/>
  <c r="H11" i="86"/>
  <c r="H27" i="86" s="1"/>
  <c r="G11" i="86"/>
  <c r="G27" i="86" s="1"/>
  <c r="F11" i="86"/>
  <c r="F27" i="86" s="1"/>
  <c r="E11" i="86"/>
  <c r="D11" i="86"/>
  <c r="D27" i="86" s="1"/>
  <c r="C11" i="86"/>
  <c r="B11" i="86"/>
  <c r="B27" i="86" s="1"/>
  <c r="L10" i="86"/>
  <c r="K10" i="86"/>
  <c r="K26" i="86" s="1"/>
  <c r="J10" i="86"/>
  <c r="J26" i="86" s="1"/>
  <c r="I10" i="86"/>
  <c r="I26" i="86" s="1"/>
  <c r="H10" i="86"/>
  <c r="G10" i="86"/>
  <c r="G26" i="86" s="1"/>
  <c r="F10" i="86"/>
  <c r="E10" i="86"/>
  <c r="E26" i="86" s="1"/>
  <c r="D10" i="86"/>
  <c r="C10" i="86"/>
  <c r="C26" i="86" s="1"/>
  <c r="B10" i="86"/>
  <c r="B26" i="86" s="1"/>
  <c r="L9" i="86"/>
  <c r="L25" i="86" s="1"/>
  <c r="K9" i="86"/>
  <c r="J9" i="86"/>
  <c r="J25" i="86" s="1"/>
  <c r="I9" i="86"/>
  <c r="H9" i="86"/>
  <c r="H25" i="86" s="1"/>
  <c r="G9" i="86"/>
  <c r="F9" i="86"/>
  <c r="F25" i="86" s="1"/>
  <c r="E9" i="86"/>
  <c r="E25" i="86" s="1"/>
  <c r="D9" i="86"/>
  <c r="D25" i="86" s="1"/>
  <c r="C9" i="86"/>
  <c r="B9" i="86"/>
  <c r="B25" i="86" s="1"/>
  <c r="L8" i="86"/>
  <c r="K8" i="86"/>
  <c r="K24" i="86" s="1"/>
  <c r="J8" i="86"/>
  <c r="I8" i="86"/>
  <c r="I24" i="86" s="1"/>
  <c r="H8" i="86"/>
  <c r="H24" i="86" s="1"/>
  <c r="G8" i="86"/>
  <c r="G24" i="86" s="1"/>
  <c r="F8" i="86"/>
  <c r="E8" i="86"/>
  <c r="E24" i="86" s="1"/>
  <c r="D8" i="86"/>
  <c r="C8" i="86"/>
  <c r="C24" i="86" s="1"/>
  <c r="B8" i="86"/>
  <c r="L7" i="86"/>
  <c r="L23" i="86" s="1"/>
  <c r="K7" i="86"/>
  <c r="K23" i="86" s="1"/>
  <c r="J7" i="86"/>
  <c r="J23" i="86" s="1"/>
  <c r="I7" i="86"/>
  <c r="H7" i="86"/>
  <c r="H23" i="86" s="1"/>
  <c r="G7" i="86"/>
  <c r="F7" i="86"/>
  <c r="F15" i="86" s="1"/>
  <c r="F16" i="86" s="1"/>
  <c r="E7" i="86"/>
  <c r="D7" i="86"/>
  <c r="D23" i="86" s="1"/>
  <c r="C7" i="86"/>
  <c r="C23" i="86" s="1"/>
  <c r="B7" i="86"/>
  <c r="B23" i="86" s="1"/>
  <c r="L6" i="86"/>
  <c r="K6" i="86"/>
  <c r="K22" i="86" s="1"/>
  <c r="J6" i="86"/>
  <c r="I6" i="86"/>
  <c r="I22" i="86" s="1"/>
  <c r="H6" i="86"/>
  <c r="G6" i="86"/>
  <c r="G22" i="86" s="1"/>
  <c r="F6" i="86"/>
  <c r="F22" i="86" s="1"/>
  <c r="E6" i="86"/>
  <c r="E22" i="86" s="1"/>
  <c r="D6" i="86"/>
  <c r="C6" i="86"/>
  <c r="C22" i="86" s="1"/>
  <c r="B6" i="86"/>
  <c r="L5" i="86"/>
  <c r="L21" i="86" s="1"/>
  <c r="K5" i="86"/>
  <c r="J5" i="86"/>
  <c r="J15" i="86" s="1"/>
  <c r="J16" i="86" s="1"/>
  <c r="I5" i="86"/>
  <c r="I21" i="86" s="1"/>
  <c r="H5" i="86"/>
  <c r="H21" i="86" s="1"/>
  <c r="G5" i="86"/>
  <c r="F5" i="86"/>
  <c r="F21" i="86" s="1"/>
  <c r="E5" i="86"/>
  <c r="D5" i="86"/>
  <c r="D21" i="86" s="1"/>
  <c r="C5" i="86"/>
  <c r="B5" i="86"/>
  <c r="B21" i="86" s="1"/>
  <c r="L4" i="86"/>
  <c r="L20" i="86" s="1"/>
  <c r="K4" i="86"/>
  <c r="K20" i="86" s="1"/>
  <c r="J4" i="86"/>
  <c r="I4" i="86"/>
  <c r="I20" i="86" s="1"/>
  <c r="H4" i="86"/>
  <c r="G4" i="86"/>
  <c r="G20" i="86" s="1"/>
  <c r="F4" i="86"/>
  <c r="E4" i="86"/>
  <c r="E20" i="86" s="1"/>
  <c r="D4" i="86"/>
  <c r="D20" i="86" s="1"/>
  <c r="C4" i="86"/>
  <c r="C20" i="86" s="1"/>
  <c r="B4" i="86"/>
  <c r="M3" i="86"/>
  <c r="M19" i="86" s="1"/>
  <c r="M31" i="86" s="1"/>
  <c r="L3" i="86"/>
  <c r="K3" i="86"/>
  <c r="K19" i="86" s="1"/>
  <c r="J3" i="86"/>
  <c r="I3" i="86"/>
  <c r="I19" i="86" s="1"/>
  <c r="H3" i="86"/>
  <c r="H19" i="86" s="1"/>
  <c r="G3" i="86"/>
  <c r="G19" i="86" s="1"/>
  <c r="F3" i="86"/>
  <c r="E3" i="86"/>
  <c r="E19" i="86" s="1"/>
  <c r="E31" i="86" s="1"/>
  <c r="D3" i="86"/>
  <c r="C3" i="86"/>
  <c r="C19" i="86" s="1"/>
  <c r="C31" i="86" s="1"/>
  <c r="B3" i="86"/>
  <c r="E26" i="83"/>
  <c r="E25" i="83"/>
  <c r="D22" i="82" s="1"/>
  <c r="J8" i="83"/>
  <c r="J6" i="83"/>
  <c r="D24" i="82"/>
  <c r="F24" i="82" s="1"/>
  <c r="A10" i="82"/>
  <c r="G31" i="86" l="1"/>
  <c r="H33" i="86"/>
  <c r="F27" i="83" s="1"/>
  <c r="F26" i="99" s="1"/>
  <c r="H31" i="86"/>
  <c r="D31" i="86"/>
  <c r="I31" i="86"/>
  <c r="B31" i="86"/>
  <c r="K31" i="86"/>
  <c r="L31" i="86"/>
  <c r="L15" i="86"/>
  <c r="L16" i="86" s="1"/>
  <c r="B15" i="86"/>
  <c r="D10" i="92"/>
  <c r="D37" i="92" s="1"/>
  <c r="D40" i="92" s="1"/>
  <c r="F26" i="83" s="1"/>
  <c r="N6" i="69"/>
  <c r="I13" i="69"/>
  <c r="L49" i="80" s="1"/>
  <c r="C15" i="86"/>
  <c r="C16" i="86" s="1"/>
  <c r="K15" i="86"/>
  <c r="K16" i="86" s="1"/>
  <c r="F23" i="86"/>
  <c r="F31" i="86" s="1"/>
  <c r="F14" i="49"/>
  <c r="L16" i="50"/>
  <c r="L21" i="50" s="1"/>
  <c r="L31" i="50" s="1"/>
  <c r="L32" i="50" s="1"/>
  <c r="L35" i="50" s="1"/>
  <c r="L37" i="50" s="1"/>
  <c r="L38" i="50" s="1"/>
  <c r="R12" i="50"/>
  <c r="I15" i="51"/>
  <c r="F7" i="51"/>
  <c r="I29" i="51"/>
  <c r="G37" i="51"/>
  <c r="F29" i="72"/>
  <c r="F33" i="71"/>
  <c r="F59" i="71" s="1"/>
  <c r="I52" i="71"/>
  <c r="N52" i="71" s="1"/>
  <c r="B8" i="72"/>
  <c r="J8" i="72"/>
  <c r="G41" i="77"/>
  <c r="G43" i="77" s="1"/>
  <c r="G34" i="77"/>
  <c r="O41" i="77"/>
  <c r="O43" i="77" s="1"/>
  <c r="O34" i="77"/>
  <c r="O36" i="80"/>
  <c r="O37" i="80" s="1"/>
  <c r="O47" i="80"/>
  <c r="D15" i="86"/>
  <c r="D16" i="86" s="1"/>
  <c r="N11" i="69"/>
  <c r="B13" i="69"/>
  <c r="E49" i="80" s="1"/>
  <c r="L47" i="77"/>
  <c r="L33" i="77"/>
  <c r="B21" i="72"/>
  <c r="N7" i="72"/>
  <c r="N21" i="72" s="1"/>
  <c r="M25" i="77"/>
  <c r="M35" i="77" s="1"/>
  <c r="J34" i="72"/>
  <c r="P36" i="80"/>
  <c r="P37" i="80" s="1"/>
  <c r="P47" i="80"/>
  <c r="E15" i="86"/>
  <c r="E16" i="86" s="1"/>
  <c r="M15" i="86"/>
  <c r="O13" i="49"/>
  <c r="O14" i="49" s="1"/>
  <c r="N16" i="50"/>
  <c r="N21" i="50" s="1"/>
  <c r="N31" i="50" s="1"/>
  <c r="N32" i="50" s="1"/>
  <c r="N35" i="50" s="1"/>
  <c r="N37" i="50" s="1"/>
  <c r="N38" i="50" s="1"/>
  <c r="N6" i="71"/>
  <c r="O6" i="71" s="1"/>
  <c r="D18" i="72"/>
  <c r="O22" i="77"/>
  <c r="L22" i="72"/>
  <c r="L33" i="72" s="1"/>
  <c r="M33" i="77"/>
  <c r="M47" i="77"/>
  <c r="P33" i="77"/>
  <c r="P47" i="77"/>
  <c r="H36" i="80"/>
  <c r="H37" i="80" s="1"/>
  <c r="H47" i="80"/>
  <c r="O16" i="50"/>
  <c r="O21" i="50" s="1"/>
  <c r="O31" i="50" s="1"/>
  <c r="O32" i="50" s="1"/>
  <c r="O35" i="50" s="1"/>
  <c r="O37" i="50" s="1"/>
  <c r="O38" i="50" s="1"/>
  <c r="K37" i="51"/>
  <c r="F6" i="69"/>
  <c r="F8" i="69" s="1"/>
  <c r="F4" i="68" s="1"/>
  <c r="M13" i="69"/>
  <c r="P49" i="80" s="1"/>
  <c r="D55" i="71"/>
  <c r="E33" i="77"/>
  <c r="E47" i="77"/>
  <c r="I47" i="80"/>
  <c r="I36" i="80"/>
  <c r="I37" i="80" s="1"/>
  <c r="J47" i="80"/>
  <c r="J36" i="80"/>
  <c r="J37" i="80" s="1"/>
  <c r="F29" i="51"/>
  <c r="G15" i="86"/>
  <c r="G16" i="86" s="1"/>
  <c r="G8" i="50"/>
  <c r="P16" i="50"/>
  <c r="P21" i="50" s="1"/>
  <c r="P31" i="50" s="1"/>
  <c r="P32" i="50" s="1"/>
  <c r="P35" i="50" s="1"/>
  <c r="P37" i="50" s="1"/>
  <c r="P38" i="50" s="1"/>
  <c r="F26" i="51"/>
  <c r="F32" i="51"/>
  <c r="B29" i="72"/>
  <c r="B33" i="71"/>
  <c r="J29" i="72"/>
  <c r="J8" i="69"/>
  <c r="J4" i="68" s="1"/>
  <c r="J33" i="71"/>
  <c r="L8" i="69"/>
  <c r="L4" i="68" s="1"/>
  <c r="F13" i="69"/>
  <c r="I49" i="80" s="1"/>
  <c r="E9" i="71"/>
  <c r="E52" i="71"/>
  <c r="M9" i="71"/>
  <c r="M52" i="71"/>
  <c r="I9" i="71"/>
  <c r="I32" i="77"/>
  <c r="I26" i="77"/>
  <c r="I46" i="77"/>
  <c r="I50" i="77" s="1"/>
  <c r="K41" i="77"/>
  <c r="K43" i="77" s="1"/>
  <c r="K34" i="77"/>
  <c r="P41" i="77"/>
  <c r="P43" i="77" s="1"/>
  <c r="P34" i="77"/>
  <c r="F16" i="50"/>
  <c r="F21" i="50" s="1"/>
  <c r="F31" i="50" s="1"/>
  <c r="F32" i="50" s="1"/>
  <c r="F35" i="50" s="1"/>
  <c r="H15" i="86"/>
  <c r="H16" i="86" s="1"/>
  <c r="I10" i="50"/>
  <c r="I16" i="50" s="1"/>
  <c r="I21" i="50" s="1"/>
  <c r="I31" i="50" s="1"/>
  <c r="I32" i="50" s="1"/>
  <c r="I35" i="50" s="1"/>
  <c r="I37" i="50" s="1"/>
  <c r="I38" i="50" s="1"/>
  <c r="M37" i="51"/>
  <c r="F34" i="51"/>
  <c r="F13" i="50"/>
  <c r="R13" i="50" s="1"/>
  <c r="G13" i="69"/>
  <c r="J49" i="80" s="1"/>
  <c r="H59" i="71"/>
  <c r="H55" i="71"/>
  <c r="H56" i="71" s="1"/>
  <c r="J59" i="71"/>
  <c r="J32" i="77"/>
  <c r="J46" i="77"/>
  <c r="D8" i="72"/>
  <c r="F22" i="72"/>
  <c r="F33" i="72" s="1"/>
  <c r="E43" i="77"/>
  <c r="G10" i="50"/>
  <c r="R10" i="50" s="1"/>
  <c r="F30" i="51"/>
  <c r="I15" i="86"/>
  <c r="I16" i="86" s="1"/>
  <c r="J21" i="86"/>
  <c r="J31" i="86" s="1"/>
  <c r="J16" i="50"/>
  <c r="J21" i="50" s="1"/>
  <c r="J31" i="50" s="1"/>
  <c r="J32" i="50" s="1"/>
  <c r="J35" i="50" s="1"/>
  <c r="J37" i="50" s="1"/>
  <c r="J38" i="50" s="1"/>
  <c r="F9" i="50"/>
  <c r="R9" i="50" s="1"/>
  <c r="R14" i="50"/>
  <c r="N37" i="51"/>
  <c r="D29" i="72"/>
  <c r="D33" i="71"/>
  <c r="D59" i="71" s="1"/>
  <c r="G52" i="71"/>
  <c r="I54" i="71"/>
  <c r="L55" i="71"/>
  <c r="L56" i="71" s="1"/>
  <c r="L59" i="71"/>
  <c r="J25" i="77"/>
  <c r="J35" i="77" s="1"/>
  <c r="G34" i="72"/>
  <c r="L8" i="72"/>
  <c r="L29" i="72"/>
  <c r="H85" i="74"/>
  <c r="G5" i="72"/>
  <c r="G19" i="72" s="1"/>
  <c r="J23" i="77" s="1"/>
  <c r="C37" i="38"/>
  <c r="D37" i="38" s="1"/>
  <c r="D17" i="82"/>
  <c r="I33" i="77"/>
  <c r="I47" i="77"/>
  <c r="R27" i="50"/>
  <c r="R29" i="50" s="1"/>
  <c r="E24" i="70"/>
  <c r="N5" i="71"/>
  <c r="O5" i="71" s="1"/>
  <c r="D47" i="71"/>
  <c r="L47" i="71"/>
  <c r="H53" i="71"/>
  <c r="N53" i="71" s="1"/>
  <c r="C54" i="71"/>
  <c r="K54" i="71"/>
  <c r="F55" i="71"/>
  <c r="F56" i="71" s="1"/>
  <c r="F22" i="77"/>
  <c r="C22" i="72"/>
  <c r="C33" i="72" s="1"/>
  <c r="N22" i="77"/>
  <c r="K22" i="72"/>
  <c r="K33" i="72" s="1"/>
  <c r="J41" i="77"/>
  <c r="J43" i="77" s="1"/>
  <c r="J34" i="77"/>
  <c r="L25" i="77"/>
  <c r="L35" i="77" s="1"/>
  <c r="I34" i="72"/>
  <c r="C8" i="72"/>
  <c r="K8" i="72"/>
  <c r="H29" i="72"/>
  <c r="N85" i="74"/>
  <c r="Q12" i="80"/>
  <c r="C32" i="38"/>
  <c r="D11" i="82"/>
  <c r="D15" i="38"/>
  <c r="B6" i="69"/>
  <c r="B8" i="69" s="1"/>
  <c r="G8" i="69"/>
  <c r="G4" i="68" s="1"/>
  <c r="N4" i="71"/>
  <c r="N28" i="71"/>
  <c r="E54" i="71"/>
  <c r="M54" i="71"/>
  <c r="H22" i="77"/>
  <c r="E22" i="72"/>
  <c r="E33" i="72" s="1"/>
  <c r="M4" i="72"/>
  <c r="L41" i="77"/>
  <c r="L43" i="77" s="1"/>
  <c r="L34" i="77"/>
  <c r="E8" i="72"/>
  <c r="B18" i="72"/>
  <c r="O23" i="74"/>
  <c r="F30" i="81"/>
  <c r="K47" i="77"/>
  <c r="K33" i="77"/>
  <c r="Q24" i="77"/>
  <c r="G25" i="77"/>
  <c r="G35" i="77" s="1"/>
  <c r="D34" i="72"/>
  <c r="O25" i="77"/>
  <c r="O35" i="77" s="1"/>
  <c r="L34" i="72"/>
  <c r="F8" i="72"/>
  <c r="H41" i="77"/>
  <c r="H43" i="77" s="1"/>
  <c r="H34" i="77"/>
  <c r="H47" i="71"/>
  <c r="L46" i="71"/>
  <c r="G54" i="71"/>
  <c r="B55" i="71"/>
  <c r="J55" i="71"/>
  <c r="J56" i="71" s="1"/>
  <c r="F41" i="77"/>
  <c r="F43" i="77" s="1"/>
  <c r="F34" i="77"/>
  <c r="N41" i="77"/>
  <c r="N43" i="77" s="1"/>
  <c r="N34" i="77"/>
  <c r="H25" i="77"/>
  <c r="H35" i="77" s="1"/>
  <c r="E34" i="72"/>
  <c r="P25" i="77"/>
  <c r="P35" i="77" s="1"/>
  <c r="M34" i="72"/>
  <c r="L22" i="77"/>
  <c r="I22" i="72"/>
  <c r="I33" i="72" s="1"/>
  <c r="F85" i="74"/>
  <c r="E38" i="75"/>
  <c r="M16" i="80"/>
  <c r="M21" i="80" s="1"/>
  <c r="M29" i="80" s="1"/>
  <c r="M30" i="80" s="1"/>
  <c r="M33" i="80" s="1"/>
  <c r="F15" i="81"/>
  <c r="L47" i="80"/>
  <c r="L36" i="80"/>
  <c r="L37" i="80" s="1"/>
  <c r="C9" i="71"/>
  <c r="O23" i="71"/>
  <c r="G33" i="71"/>
  <c r="H22" i="72"/>
  <c r="H33" i="72" s="1"/>
  <c r="K22" i="77"/>
  <c r="I25" i="77"/>
  <c r="I35" i="77" s="1"/>
  <c r="F34" i="72"/>
  <c r="H8" i="72"/>
  <c r="N15" i="72"/>
  <c r="J18" i="72"/>
  <c r="F25" i="77"/>
  <c r="F35" i="77" s="1"/>
  <c r="C34" i="72"/>
  <c r="K25" i="77"/>
  <c r="K35" i="77" s="1"/>
  <c r="N13" i="78"/>
  <c r="P13" i="78" s="1"/>
  <c r="P10" i="78"/>
  <c r="E16" i="80"/>
  <c r="E21" i="80" s="1"/>
  <c r="E29" i="80" s="1"/>
  <c r="E30" i="80" s="1"/>
  <c r="E33" i="80" s="1"/>
  <c r="N36" i="80"/>
  <c r="N37" i="80" s="1"/>
  <c r="N47" i="80"/>
  <c r="G16" i="80"/>
  <c r="G21" i="80" s="1"/>
  <c r="G29" i="80" s="1"/>
  <c r="G30" i="80" s="1"/>
  <c r="G33" i="80" s="1"/>
  <c r="I37" i="81"/>
  <c r="F29" i="81"/>
  <c r="O37" i="81"/>
  <c r="F34" i="38"/>
  <c r="E34" i="38" s="1"/>
  <c r="D34" i="38" s="1"/>
  <c r="E17" i="38"/>
  <c r="C8" i="69"/>
  <c r="C4" i="68" s="1"/>
  <c r="K8" i="69"/>
  <c r="K4" i="68" s="1"/>
  <c r="F33" i="77"/>
  <c r="F47" i="77"/>
  <c r="N33" i="77"/>
  <c r="N47" i="77"/>
  <c r="O11" i="72"/>
  <c r="O15" i="72" s="1"/>
  <c r="F36" i="80"/>
  <c r="F37" i="80" s="1"/>
  <c r="F47" i="80"/>
  <c r="Q14" i="80"/>
  <c r="G37" i="81"/>
  <c r="N37" i="81"/>
  <c r="D31" i="71"/>
  <c r="D32" i="71" s="1"/>
  <c r="D34" i="71" s="1"/>
  <c r="D5" i="68" s="1"/>
  <c r="G33" i="77"/>
  <c r="G47" i="77"/>
  <c r="O33" i="77"/>
  <c r="O47" i="77"/>
  <c r="I41" i="77"/>
  <c r="I43" i="77" s="1"/>
  <c r="I34" i="77"/>
  <c r="Q34" i="77" s="1"/>
  <c r="R34" i="77" s="1"/>
  <c r="N6" i="72"/>
  <c r="N20" i="72" s="1"/>
  <c r="H33" i="77"/>
  <c r="H47" i="77"/>
  <c r="N25" i="77"/>
  <c r="N35" i="77" s="1"/>
  <c r="K34" i="72"/>
  <c r="K13" i="80"/>
  <c r="Q13" i="80" s="1"/>
  <c r="Q16" i="80" s="1"/>
  <c r="Q21" i="80" s="1"/>
  <c r="Q29" i="80" s="1"/>
  <c r="Q30" i="80" s="1"/>
  <c r="F34" i="81"/>
  <c r="N53" i="74"/>
  <c r="O53" i="74" s="1"/>
  <c r="L23" i="74"/>
  <c r="O78" i="74"/>
  <c r="O83" i="74" s="1"/>
  <c r="O85" i="74" s="1"/>
  <c r="P8" i="78"/>
  <c r="F25" i="99"/>
  <c r="D26" i="99"/>
  <c r="E26" i="99" s="1"/>
  <c r="D18" i="99"/>
  <c r="E18" i="99" s="1"/>
  <c r="D21" i="99"/>
  <c r="E21" i="99" s="1"/>
  <c r="D16" i="99"/>
  <c r="E16" i="99" s="1"/>
  <c r="D20" i="99"/>
  <c r="E20" i="99" s="1"/>
  <c r="D15" i="99"/>
  <c r="E15" i="99" s="1"/>
  <c r="D19" i="99"/>
  <c r="E19" i="99" s="1"/>
  <c r="D14" i="99"/>
  <c r="E14" i="99" s="1"/>
  <c r="J17" i="83"/>
  <c r="A11" i="82"/>
  <c r="A12" i="82" s="1"/>
  <c r="A13" i="82" s="1"/>
  <c r="E19" i="83"/>
  <c r="D20" i="38"/>
  <c r="J14" i="83"/>
  <c r="D23" i="82"/>
  <c r="I27" i="83"/>
  <c r="E22" i="82"/>
  <c r="F22" i="82" s="1"/>
  <c r="H21" i="83"/>
  <c r="F25" i="83"/>
  <c r="F24" i="99" s="1"/>
  <c r="E24" i="99" s="1"/>
  <c r="I26" i="83"/>
  <c r="I13" i="83"/>
  <c r="F21" i="83"/>
  <c r="J15" i="83"/>
  <c r="I8" i="83"/>
  <c r="E38" i="38"/>
  <c r="E40" i="38" s="1"/>
  <c r="E42" i="38" s="1"/>
  <c r="E43" i="38" s="1"/>
  <c r="H28" i="71"/>
  <c r="H31" i="71" s="1"/>
  <c r="H32" i="71" s="1"/>
  <c r="H34" i="71" s="1"/>
  <c r="H5" i="68" s="1"/>
  <c r="C47" i="71"/>
  <c r="L28" i="71"/>
  <c r="L31" i="71" s="1"/>
  <c r="L32" i="71" s="1"/>
  <c r="L34" i="71" s="1"/>
  <c r="L5" i="68" s="1"/>
  <c r="D46" i="71"/>
  <c r="G47" i="71"/>
  <c r="G48" i="71" s="1"/>
  <c r="G49" i="71" s="1"/>
  <c r="D48" i="71"/>
  <c r="D49" i="71" s="1"/>
  <c r="D58" i="71"/>
  <c r="H48" i="71"/>
  <c r="H49" i="71" s="1"/>
  <c r="H58" i="71"/>
  <c r="H60" i="71" s="1"/>
  <c r="L48" i="71"/>
  <c r="L49" i="71" s="1"/>
  <c r="L58" i="71"/>
  <c r="L60" i="71" s="1"/>
  <c r="L35" i="71" s="1"/>
  <c r="E47" i="71"/>
  <c r="E46" i="71"/>
  <c r="E28" i="71"/>
  <c r="E31" i="71" s="1"/>
  <c r="E32" i="71" s="1"/>
  <c r="E34" i="71" s="1"/>
  <c r="E5" i="68" s="1"/>
  <c r="I47" i="71"/>
  <c r="I46" i="71"/>
  <c r="I28" i="71"/>
  <c r="I31" i="71" s="1"/>
  <c r="I32" i="71" s="1"/>
  <c r="I34" i="71" s="1"/>
  <c r="I5" i="68" s="1"/>
  <c r="M47" i="71"/>
  <c r="M46" i="71"/>
  <c r="M28" i="71"/>
  <c r="M31" i="71" s="1"/>
  <c r="M32" i="71" s="1"/>
  <c r="M34" i="71" s="1"/>
  <c r="M5" i="68" s="1"/>
  <c r="C28" i="71"/>
  <c r="C31" i="71" s="1"/>
  <c r="C32" i="71" s="1"/>
  <c r="C34" i="71" s="1"/>
  <c r="C5" i="68" s="1"/>
  <c r="G28" i="71"/>
  <c r="G31" i="71" s="1"/>
  <c r="G32" i="71" s="1"/>
  <c r="G34" i="71" s="1"/>
  <c r="G5" i="68" s="1"/>
  <c r="K28" i="71"/>
  <c r="B47" i="71"/>
  <c r="F47" i="71"/>
  <c r="J47" i="71"/>
  <c r="B28" i="71"/>
  <c r="F28" i="71"/>
  <c r="F31" i="71" s="1"/>
  <c r="F32" i="71" s="1"/>
  <c r="J28" i="71"/>
  <c r="J31" i="71" s="1"/>
  <c r="J32" i="71" s="1"/>
  <c r="J34" i="71" s="1"/>
  <c r="J5" i="68" s="1"/>
  <c r="D33" i="38"/>
  <c r="E21" i="82"/>
  <c r="C36" i="38"/>
  <c r="D36" i="38" s="1"/>
  <c r="D18" i="38"/>
  <c r="D31" i="38"/>
  <c r="D14" i="38"/>
  <c r="E13" i="83" s="1"/>
  <c r="E10" i="82" s="1"/>
  <c r="C21" i="38"/>
  <c r="D17" i="38"/>
  <c r="B4" i="68" l="1"/>
  <c r="N4" i="68" s="1"/>
  <c r="C16" i="68" s="1"/>
  <c r="C21" i="68" s="1"/>
  <c r="N8" i="69"/>
  <c r="O4" i="68" s="1"/>
  <c r="F37" i="81"/>
  <c r="G22" i="72"/>
  <c r="G33" i="72" s="1"/>
  <c r="M18" i="72"/>
  <c r="M8" i="72"/>
  <c r="N29" i="72"/>
  <c r="O29" i="72" s="1"/>
  <c r="J33" i="77"/>
  <c r="J36" i="77" s="1"/>
  <c r="J47" i="77"/>
  <c r="M47" i="80"/>
  <c r="M36" i="80"/>
  <c r="M37" i="80" s="1"/>
  <c r="G59" i="71"/>
  <c r="G55" i="71"/>
  <c r="G56" i="71" s="1"/>
  <c r="O25" i="74"/>
  <c r="M55" i="71"/>
  <c r="M56" i="71" s="1"/>
  <c r="M59" i="71"/>
  <c r="K59" i="71"/>
  <c r="K55" i="71"/>
  <c r="K56" i="71" s="1"/>
  <c r="Q43" i="77"/>
  <c r="F37" i="50"/>
  <c r="Q47" i="77"/>
  <c r="O46" i="77"/>
  <c r="O50" i="77" s="1"/>
  <c r="O32" i="77"/>
  <c r="O36" i="77" s="1"/>
  <c r="O26" i="77"/>
  <c r="E25" i="77"/>
  <c r="B34" i="72"/>
  <c r="N34" i="72" s="1"/>
  <c r="Q41" i="77"/>
  <c r="R41" i="77" s="1"/>
  <c r="H35" i="71"/>
  <c r="M22" i="77"/>
  <c r="J22" i="72"/>
  <c r="J33" i="72" s="1"/>
  <c r="E22" i="77"/>
  <c r="B22" i="72"/>
  <c r="B33" i="72" s="1"/>
  <c r="E55" i="71"/>
  <c r="E56" i="71" s="1"/>
  <c r="E59" i="71"/>
  <c r="C59" i="71"/>
  <c r="C55" i="71"/>
  <c r="C56" i="71" s="1"/>
  <c r="G16" i="50"/>
  <c r="G21" i="50" s="1"/>
  <c r="G31" i="50" s="1"/>
  <c r="G32" i="50" s="1"/>
  <c r="G35" i="50" s="1"/>
  <c r="G37" i="50" s="1"/>
  <c r="G38" i="50" s="1"/>
  <c r="Q33" i="77"/>
  <c r="R33" i="77" s="1"/>
  <c r="N4" i="72"/>
  <c r="K26" i="77"/>
  <c r="K46" i="77"/>
  <c r="K50" i="77" s="1"/>
  <c r="K32" i="77"/>
  <c r="K36" i="77" s="1"/>
  <c r="F46" i="77"/>
  <c r="F50" i="77" s="1"/>
  <c r="F32" i="77"/>
  <c r="F36" i="77" s="1"/>
  <c r="F26" i="77"/>
  <c r="O15" i="86"/>
  <c r="B16" i="86"/>
  <c r="B56" i="71"/>
  <c r="I36" i="77"/>
  <c r="E47" i="80"/>
  <c r="E36" i="80"/>
  <c r="Q33" i="80"/>
  <c r="Q36" i="80" s="1"/>
  <c r="O7" i="72"/>
  <c r="I59" i="71"/>
  <c r="I55" i="71"/>
  <c r="I56" i="71" s="1"/>
  <c r="Q23" i="77"/>
  <c r="G22" i="77"/>
  <c r="D22" i="72"/>
  <c r="D33" i="72" s="1"/>
  <c r="H8" i="50"/>
  <c r="I37" i="51"/>
  <c r="J26" i="77"/>
  <c r="O6" i="72"/>
  <c r="L46" i="77"/>
  <c r="L50" i="77" s="1"/>
  <c r="L32" i="77"/>
  <c r="L36" i="77" s="1"/>
  <c r="L26" i="77"/>
  <c r="O4" i="71"/>
  <c r="N5" i="72"/>
  <c r="N33" i="71"/>
  <c r="O33" i="71" s="1"/>
  <c r="F37" i="51"/>
  <c r="B59" i="71"/>
  <c r="Q49" i="80"/>
  <c r="F44" i="51"/>
  <c r="F15" i="51"/>
  <c r="D32" i="38"/>
  <c r="E14" i="83"/>
  <c r="E11" i="82" s="1"/>
  <c r="F11" i="82" s="1"/>
  <c r="G36" i="80"/>
  <c r="G37" i="80" s="1"/>
  <c r="G47" i="80"/>
  <c r="H46" i="77"/>
  <c r="H50" i="77" s="1"/>
  <c r="H32" i="77"/>
  <c r="H36" i="77" s="1"/>
  <c r="H26" i="77"/>
  <c r="D60" i="71"/>
  <c r="D35" i="71" s="1"/>
  <c r="F34" i="71"/>
  <c r="F5" i="68" s="1"/>
  <c r="L25" i="74"/>
  <c r="K7" i="71"/>
  <c r="G8" i="72"/>
  <c r="K16" i="80"/>
  <c r="K21" i="80" s="1"/>
  <c r="K29" i="80" s="1"/>
  <c r="K30" i="80" s="1"/>
  <c r="K33" i="80" s="1"/>
  <c r="N46" i="77"/>
  <c r="N50" i="77" s="1"/>
  <c r="N32" i="77"/>
  <c r="N36" i="77" s="1"/>
  <c r="N26" i="77"/>
  <c r="J50" i="77"/>
  <c r="D56" i="71"/>
  <c r="N54" i="71"/>
  <c r="E16" i="82"/>
  <c r="F16" i="82" s="1"/>
  <c r="E16" i="83"/>
  <c r="A14" i="82"/>
  <c r="A15" i="82" s="1"/>
  <c r="A16" i="82" s="1"/>
  <c r="A17" i="82" s="1"/>
  <c r="A18" i="82" s="1"/>
  <c r="A19" i="82" s="1"/>
  <c r="A20" i="82" s="1"/>
  <c r="A21" i="82" s="1"/>
  <c r="A22" i="82" s="1"/>
  <c r="A23" i="82" s="1"/>
  <c r="A24" i="82" s="1"/>
  <c r="A25" i="82" s="1"/>
  <c r="A26" i="82" s="1"/>
  <c r="A27" i="82" s="1"/>
  <c r="A28" i="82" s="1"/>
  <c r="A29" i="82" s="1"/>
  <c r="A30" i="82" s="1"/>
  <c r="A31" i="82" s="1"/>
  <c r="E20" i="83"/>
  <c r="E17" i="82" s="1"/>
  <c r="E25" i="99"/>
  <c r="F21" i="82"/>
  <c r="G14" i="82"/>
  <c r="E22" i="99"/>
  <c r="F22" i="83"/>
  <c r="E23" i="82"/>
  <c r="F23" i="82" s="1"/>
  <c r="E18" i="83"/>
  <c r="G11" i="82"/>
  <c r="G12" i="82"/>
  <c r="J27" i="83"/>
  <c r="I25" i="83"/>
  <c r="H28" i="83"/>
  <c r="F27" i="99" s="1"/>
  <c r="E27" i="99" s="1"/>
  <c r="J26" i="83"/>
  <c r="J20" i="83"/>
  <c r="I21" i="83"/>
  <c r="J13" i="83"/>
  <c r="J18" i="83"/>
  <c r="J19" i="83"/>
  <c r="J16" i="83"/>
  <c r="D18" i="82"/>
  <c r="D38" i="38"/>
  <c r="N46" i="71"/>
  <c r="G58" i="71"/>
  <c r="G60" i="71" s="1"/>
  <c r="G35" i="71" s="1"/>
  <c r="C48" i="71"/>
  <c r="C49" i="71" s="1"/>
  <c r="C58" i="71"/>
  <c r="C60" i="71" s="1"/>
  <c r="C35" i="71" s="1"/>
  <c r="F58" i="71"/>
  <c r="F60" i="71" s="1"/>
  <c r="F35" i="71" s="1"/>
  <c r="F48" i="71"/>
  <c r="F49" i="71" s="1"/>
  <c r="M58" i="71"/>
  <c r="M48" i="71"/>
  <c r="M49" i="71" s="1"/>
  <c r="B31" i="71"/>
  <c r="B32" i="71"/>
  <c r="B34" i="71" s="1"/>
  <c r="B58" i="71"/>
  <c r="B48" i="71"/>
  <c r="E58" i="71"/>
  <c r="E60" i="71" s="1"/>
  <c r="E35" i="71" s="1"/>
  <c r="E48" i="71"/>
  <c r="E49" i="71" s="1"/>
  <c r="J58" i="71"/>
  <c r="J60" i="71" s="1"/>
  <c r="J35" i="71" s="1"/>
  <c r="J48" i="71"/>
  <c r="J49" i="71" s="1"/>
  <c r="I58" i="71"/>
  <c r="I60" i="71" s="1"/>
  <c r="I35" i="71" s="1"/>
  <c r="I48" i="71"/>
  <c r="I49" i="71" s="1"/>
  <c r="C38" i="38"/>
  <c r="F24" i="83"/>
  <c r="J52" i="77" l="1"/>
  <c r="J37" i="77"/>
  <c r="H11" i="82"/>
  <c r="N55" i="71"/>
  <c r="N33" i="72"/>
  <c r="L38" i="72" s="1"/>
  <c r="P22" i="77"/>
  <c r="M22" i="72"/>
  <c r="M33" i="72" s="1"/>
  <c r="N18" i="72"/>
  <c r="N8" i="72"/>
  <c r="O4" i="72"/>
  <c r="K47" i="80"/>
  <c r="K36" i="80"/>
  <c r="K37" i="80" s="1"/>
  <c r="H16" i="50"/>
  <c r="H21" i="50" s="1"/>
  <c r="H31" i="50" s="1"/>
  <c r="H32" i="50" s="1"/>
  <c r="H35" i="50" s="1"/>
  <c r="H37" i="50" s="1"/>
  <c r="H38" i="50" s="1"/>
  <c r="R8" i="50"/>
  <c r="R16" i="50" s="1"/>
  <c r="R21" i="50" s="1"/>
  <c r="R31" i="50" s="1"/>
  <c r="R32" i="50" s="1"/>
  <c r="E37" i="80"/>
  <c r="E40" i="80" s="1"/>
  <c r="F40" i="80" s="1"/>
  <c r="G40" i="80" s="1"/>
  <c r="H40" i="80" s="1"/>
  <c r="I40" i="80" s="1"/>
  <c r="J40" i="80" s="1"/>
  <c r="E39" i="80"/>
  <c r="F39" i="80" s="1"/>
  <c r="G39" i="80" s="1"/>
  <c r="H39" i="80" s="1"/>
  <c r="I39" i="80" s="1"/>
  <c r="J39" i="80" s="1"/>
  <c r="M46" i="77"/>
  <c r="M50" i="77" s="1"/>
  <c r="M32" i="77"/>
  <c r="M36" i="77" s="1"/>
  <c r="M26" i="77"/>
  <c r="Q47" i="80"/>
  <c r="F52" i="77"/>
  <c r="F37" i="77"/>
  <c r="N19" i="72"/>
  <c r="O5" i="72"/>
  <c r="O52" i="77"/>
  <c r="O37" i="77"/>
  <c r="K45" i="71"/>
  <c r="N45" i="71" s="1"/>
  <c r="N7" i="71"/>
  <c r="K9" i="71"/>
  <c r="K31" i="71" s="1"/>
  <c r="K32" i="71" s="1"/>
  <c r="K34" i="71" s="1"/>
  <c r="K5" i="68" s="1"/>
  <c r="K47" i="71"/>
  <c r="H52" i="77"/>
  <c r="H37" i="77"/>
  <c r="L52" i="77"/>
  <c r="L37" i="77"/>
  <c r="G46" i="77"/>
  <c r="G50" i="77" s="1"/>
  <c r="G32" i="77"/>
  <c r="G36" i="77" s="1"/>
  <c r="G26" i="77"/>
  <c r="F40" i="50"/>
  <c r="G40" i="50" s="1"/>
  <c r="F38" i="50"/>
  <c r="F41" i="50" s="1"/>
  <c r="G41" i="50" s="1"/>
  <c r="M60" i="71"/>
  <c r="M35" i="71" s="1"/>
  <c r="N59" i="71"/>
  <c r="I52" i="77"/>
  <c r="I37" i="77"/>
  <c r="K37" i="77"/>
  <c r="K52" i="77"/>
  <c r="N52" i="77"/>
  <c r="N37" i="77"/>
  <c r="E46" i="77"/>
  <c r="E32" i="77"/>
  <c r="E26" i="77"/>
  <c r="Q37" i="80"/>
  <c r="Q40" i="80" s="1"/>
  <c r="Q39" i="80"/>
  <c r="N56" i="71"/>
  <c r="Q25" i="77"/>
  <c r="E35" i="77"/>
  <c r="Q35" i="77" s="1"/>
  <c r="R35" i="77" s="1"/>
  <c r="E13" i="82"/>
  <c r="E15" i="82"/>
  <c r="H14" i="82"/>
  <c r="H15" i="82"/>
  <c r="F23" i="99"/>
  <c r="G23" i="99"/>
  <c r="F17" i="82"/>
  <c r="G23" i="82"/>
  <c r="G13" i="82"/>
  <c r="I22" i="83"/>
  <c r="G17" i="82"/>
  <c r="H17" i="82" s="1"/>
  <c r="G16" i="82"/>
  <c r="H16" i="82" s="1"/>
  <c r="G15" i="82"/>
  <c r="G10" i="82"/>
  <c r="G24" i="82"/>
  <c r="J25" i="83"/>
  <c r="J21" i="83"/>
  <c r="D25" i="82"/>
  <c r="B60" i="71"/>
  <c r="N34" i="71"/>
  <c r="B5" i="68"/>
  <c r="B49" i="71"/>
  <c r="F10" i="82"/>
  <c r="I24" i="83"/>
  <c r="F28" i="83"/>
  <c r="N47" i="71" l="1"/>
  <c r="N9" i="71"/>
  <c r="O7" i="71"/>
  <c r="G52" i="77"/>
  <c r="G37" i="77"/>
  <c r="E36" i="77"/>
  <c r="L53" i="77"/>
  <c r="I26" i="72"/>
  <c r="I32" i="72" s="1"/>
  <c r="I35" i="72" s="1"/>
  <c r="I6" i="68" s="1"/>
  <c r="I8" i="68" s="1"/>
  <c r="O53" i="77"/>
  <c r="L26" i="72"/>
  <c r="L32" i="72" s="1"/>
  <c r="L35" i="72" s="1"/>
  <c r="L6" i="68" s="1"/>
  <c r="L8" i="68" s="1"/>
  <c r="O48" i="80" s="1"/>
  <c r="O50" i="80" s="1"/>
  <c r="C26" i="72"/>
  <c r="C32" i="72" s="1"/>
  <c r="C35" i="72" s="1"/>
  <c r="C6" i="68" s="1"/>
  <c r="C8" i="68" s="1"/>
  <c r="F53" i="77"/>
  <c r="I53" i="77"/>
  <c r="F26" i="72"/>
  <c r="F32" i="72" s="1"/>
  <c r="F35" i="72" s="1"/>
  <c r="F6" i="68" s="1"/>
  <c r="F8" i="68" s="1"/>
  <c r="E50" i="77"/>
  <c r="M52" i="77"/>
  <c r="M37" i="77"/>
  <c r="O8" i="72"/>
  <c r="H41" i="50"/>
  <c r="I41" i="50" s="1"/>
  <c r="J41" i="50" s="1"/>
  <c r="K41" i="50" s="1"/>
  <c r="L41" i="50" s="1"/>
  <c r="M41" i="50" s="1"/>
  <c r="N41" i="50" s="1"/>
  <c r="O41" i="50" s="1"/>
  <c r="P41" i="50" s="1"/>
  <c r="Q41" i="50" s="1"/>
  <c r="H53" i="77"/>
  <c r="E26" i="72"/>
  <c r="E32" i="72" s="1"/>
  <c r="E35" i="72" s="1"/>
  <c r="E6" i="68" s="1"/>
  <c r="E8" i="68" s="1"/>
  <c r="J38" i="72"/>
  <c r="G38" i="72"/>
  <c r="C38" i="72"/>
  <c r="P46" i="77"/>
  <c r="P50" i="77" s="1"/>
  <c r="P32" i="77"/>
  <c r="P36" i="77" s="1"/>
  <c r="P26" i="77"/>
  <c r="Q26" i="77" s="1"/>
  <c r="Q22" i="77"/>
  <c r="K26" i="72"/>
  <c r="K32" i="72" s="1"/>
  <c r="K35" i="72" s="1"/>
  <c r="K6" i="68" s="1"/>
  <c r="N53" i="77"/>
  <c r="H40" i="50"/>
  <c r="I40" i="50" s="1"/>
  <c r="J40" i="50" s="1"/>
  <c r="K40" i="50" s="1"/>
  <c r="L40" i="50" s="1"/>
  <c r="M40" i="50" s="1"/>
  <c r="N40" i="50" s="1"/>
  <c r="O40" i="50" s="1"/>
  <c r="P40" i="50" s="1"/>
  <c r="Q40" i="50" s="1"/>
  <c r="K48" i="71"/>
  <c r="K58" i="71"/>
  <c r="N31" i="71"/>
  <c r="N32" i="71" s="1"/>
  <c r="K39" i="80"/>
  <c r="L39" i="80" s="1"/>
  <c r="M39" i="80" s="1"/>
  <c r="N39" i="80" s="1"/>
  <c r="O39" i="80" s="1"/>
  <c r="P39" i="80" s="1"/>
  <c r="N22" i="72"/>
  <c r="K53" i="77"/>
  <c r="H26" i="72"/>
  <c r="H32" i="72" s="1"/>
  <c r="H35" i="72" s="1"/>
  <c r="H6" i="68" s="1"/>
  <c r="H8" i="68" s="1"/>
  <c r="K8" i="68"/>
  <c r="N48" i="80" s="1"/>
  <c r="N50" i="80" s="1"/>
  <c r="R35" i="50"/>
  <c r="R37" i="50" s="1"/>
  <c r="K40" i="80"/>
  <c r="L40" i="80" s="1"/>
  <c r="M40" i="80" s="1"/>
  <c r="N40" i="80" s="1"/>
  <c r="O40" i="80" s="1"/>
  <c r="P40" i="80" s="1"/>
  <c r="J53" i="77"/>
  <c r="G26" i="72"/>
  <c r="G32" i="72" s="1"/>
  <c r="G35" i="72" s="1"/>
  <c r="G6" i="68" s="1"/>
  <c r="G8" i="68" s="1"/>
  <c r="F13" i="82"/>
  <c r="F15" i="82"/>
  <c r="H13" i="82"/>
  <c r="H23" i="99"/>
  <c r="E23" i="99"/>
  <c r="E28" i="99" s="1"/>
  <c r="F28" i="99"/>
  <c r="H23" i="82"/>
  <c r="H24" i="82"/>
  <c r="G22" i="82"/>
  <c r="H10" i="82"/>
  <c r="G18" i="82"/>
  <c r="G19" i="82" s="1"/>
  <c r="B35" i="71"/>
  <c r="N5" i="68"/>
  <c r="O5" i="68" s="1"/>
  <c r="M40" i="71"/>
  <c r="J24" i="83"/>
  <c r="I28" i="83"/>
  <c r="I48" i="80" l="1"/>
  <c r="I50" i="80" s="1"/>
  <c r="F27" i="68"/>
  <c r="Q32" i="77"/>
  <c r="R32" i="77" s="1"/>
  <c r="K60" i="71"/>
  <c r="N58" i="71"/>
  <c r="F48" i="80"/>
  <c r="F50" i="80" s="1"/>
  <c r="C27" i="68"/>
  <c r="R40" i="50"/>
  <c r="R38" i="50"/>
  <c r="R41" i="50" s="1"/>
  <c r="K49" i="71"/>
  <c r="N49" i="71" s="1"/>
  <c r="N48" i="71"/>
  <c r="G53" i="77"/>
  <c r="D26" i="72"/>
  <c r="D32" i="72" s="1"/>
  <c r="D35" i="72" s="1"/>
  <c r="D6" i="68" s="1"/>
  <c r="D8" i="68" s="1"/>
  <c r="J48" i="80"/>
  <c r="J50" i="80" s="1"/>
  <c r="G27" i="68"/>
  <c r="J26" i="72"/>
  <c r="J32" i="72" s="1"/>
  <c r="J35" i="72" s="1"/>
  <c r="J6" i="68" s="1"/>
  <c r="J8" i="68" s="1"/>
  <c r="M48" i="80" s="1"/>
  <c r="M50" i="80" s="1"/>
  <c r="M53" i="77"/>
  <c r="E52" i="77"/>
  <c r="E37" i="77"/>
  <c r="Q36" i="77"/>
  <c r="H27" i="68"/>
  <c r="K48" i="80"/>
  <c r="K50" i="80" s="1"/>
  <c r="Q46" i="77"/>
  <c r="J40" i="71"/>
  <c r="C40" i="71"/>
  <c r="G40" i="71"/>
  <c r="P52" i="77"/>
  <c r="P37" i="77"/>
  <c r="E27" i="68"/>
  <c r="H48" i="80"/>
  <c r="H50" i="80" s="1"/>
  <c r="Q50" i="77"/>
  <c r="I27" i="68"/>
  <c r="L48" i="80"/>
  <c r="L50" i="80" s="1"/>
  <c r="H22" i="82"/>
  <c r="D16" i="68"/>
  <c r="G21" i="82"/>
  <c r="J28" i="83"/>
  <c r="G48" i="80" l="1"/>
  <c r="G50" i="80" s="1"/>
  <c r="D27" i="68"/>
  <c r="Q37" i="77"/>
  <c r="R52" i="77"/>
  <c r="K35" i="71"/>
  <c r="N60" i="71"/>
  <c r="N35" i="71" s="1"/>
  <c r="P53" i="77"/>
  <c r="M26" i="72"/>
  <c r="M32" i="72" s="1"/>
  <c r="M35" i="72" s="1"/>
  <c r="M6" i="68" s="1"/>
  <c r="M8" i="68" s="1"/>
  <c r="P48" i="80" s="1"/>
  <c r="P50" i="80" s="1"/>
  <c r="Q52" i="77"/>
  <c r="Q53" i="77" s="1"/>
  <c r="B26" i="72"/>
  <c r="E53" i="77"/>
  <c r="D21" i="68"/>
  <c r="H21" i="82"/>
  <c r="G25" i="82"/>
  <c r="N26" i="72" l="1"/>
  <c r="B32" i="72"/>
  <c r="N32" i="72" l="1"/>
  <c r="N35" i="72" s="1"/>
  <c r="B35" i="72"/>
  <c r="B6" i="68" s="1"/>
  <c r="N6" i="68" l="1"/>
  <c r="B8" i="68"/>
  <c r="O6" i="68"/>
  <c r="B27" i="68" l="1"/>
  <c r="E48" i="80"/>
  <c r="E16" i="68"/>
  <c r="E21" i="68" s="1"/>
  <c r="N8" i="68"/>
  <c r="E50" i="80" l="1"/>
  <c r="E53" i="80" s="1"/>
  <c r="Q48" i="80"/>
  <c r="Q50" i="80" s="1"/>
  <c r="N27" i="68"/>
  <c r="F16" i="38"/>
  <c r="F38" i="38" l="1"/>
  <c r="E16" i="38"/>
  <c r="F21" i="38"/>
  <c r="F53" i="80"/>
  <c r="E56" i="80"/>
  <c r="E63" i="80" s="1"/>
  <c r="E57" i="80" l="1"/>
  <c r="E21" i="38"/>
  <c r="E23" i="38" s="1"/>
  <c r="E25" i="38" s="1"/>
  <c r="E26" i="38" s="1"/>
  <c r="D16" i="38"/>
  <c r="F56" i="80"/>
  <c r="F63" i="80" s="1"/>
  <c r="G53" i="80"/>
  <c r="F57" i="80" l="1"/>
  <c r="E61" i="80"/>
  <c r="E64" i="80"/>
  <c r="E58" i="80"/>
  <c r="E59" i="80" s="1"/>
  <c r="H53" i="80"/>
  <c r="G56" i="80"/>
  <c r="G63" i="80" s="1"/>
  <c r="E15" i="83"/>
  <c r="D21" i="38"/>
  <c r="E62" i="80" l="1"/>
  <c r="E65" i="80"/>
  <c r="E79" i="80"/>
  <c r="E80" i="80" s="1"/>
  <c r="H56" i="80"/>
  <c r="H63" i="80" s="1"/>
  <c r="I53" i="80"/>
  <c r="H57" i="80"/>
  <c r="H58" i="80"/>
  <c r="E12" i="82"/>
  <c r="E21" i="83"/>
  <c r="G57" i="80"/>
  <c r="F64" i="80"/>
  <c r="F61" i="80"/>
  <c r="F58" i="80"/>
  <c r="F62" i="80" l="1"/>
  <c r="F79" i="80" s="1"/>
  <c r="F80" i="80" s="1"/>
  <c r="F65" i="80"/>
  <c r="F12" i="82"/>
  <c r="F18" i="82" s="1"/>
  <c r="F25" i="82" s="1"/>
  <c r="F26" i="82" s="1"/>
  <c r="E18" i="82"/>
  <c r="E25" i="82" s="1"/>
  <c r="H12" i="82"/>
  <c r="H18" i="82" s="1"/>
  <c r="H25" i="82" s="1"/>
  <c r="H65" i="80"/>
  <c r="H62" i="80"/>
  <c r="J53" i="80"/>
  <c r="I56" i="80"/>
  <c r="I63" i="80" s="1"/>
  <c r="I57" i="80"/>
  <c r="E22" i="83"/>
  <c r="E28" i="83" s="1"/>
  <c r="H61" i="80"/>
  <c r="H64" i="80"/>
  <c r="G64" i="80"/>
  <c r="G61" i="80"/>
  <c r="G58" i="80"/>
  <c r="E66" i="80"/>
  <c r="F59" i="80"/>
  <c r="H59" i="80"/>
  <c r="G59" i="80" l="1"/>
  <c r="G62" i="80"/>
  <c r="G79" i="80" s="1"/>
  <c r="G80" i="80" s="1"/>
  <c r="G65" i="80"/>
  <c r="G66" i="80"/>
  <c r="I58" i="80"/>
  <c r="I64" i="80"/>
  <c r="I61" i="80"/>
  <c r="J56" i="80"/>
  <c r="J63" i="80" s="1"/>
  <c r="K53" i="80"/>
  <c r="J57" i="80"/>
  <c r="J58" i="80"/>
  <c r="F66" i="80"/>
  <c r="H66" i="80"/>
  <c r="H79" i="80"/>
  <c r="H80" i="80" s="1"/>
  <c r="I79" i="80" l="1"/>
  <c r="I80" i="80" s="1"/>
  <c r="I66" i="80"/>
  <c r="I65" i="80"/>
  <c r="I62" i="80"/>
  <c r="J65" i="80"/>
  <c r="J62" i="80"/>
  <c r="K56" i="80"/>
  <c r="K63" i="80" s="1"/>
  <c r="L53" i="80"/>
  <c r="J59" i="80"/>
  <c r="J64" i="80"/>
  <c r="J61" i="80"/>
  <c r="J79" i="80" s="1"/>
  <c r="J80" i="80" s="1"/>
  <c r="I59" i="80"/>
  <c r="J66" i="80" l="1"/>
  <c r="K57" i="80"/>
  <c r="M53" i="80"/>
  <c r="L56" i="80"/>
  <c r="L63" i="80" s="1"/>
  <c r="L57" i="80" l="1"/>
  <c r="N53" i="80"/>
  <c r="M56" i="80"/>
  <c r="M63" i="80" s="1"/>
  <c r="K58" i="80"/>
  <c r="K61" i="80"/>
  <c r="K64" i="80"/>
  <c r="K62" i="80" l="1"/>
  <c r="K66" i="80" s="1"/>
  <c r="K65" i="80"/>
  <c r="K59" i="80"/>
  <c r="M57" i="80"/>
  <c r="L58" i="80"/>
  <c r="L61" i="80"/>
  <c r="L64" i="80"/>
  <c r="L59" i="80"/>
  <c r="K79" i="80"/>
  <c r="K80" i="80" s="1"/>
  <c r="O53" i="80"/>
  <c r="N56" i="80"/>
  <c r="N63" i="80" s="1"/>
  <c r="M58" i="80" l="1"/>
  <c r="M61" i="80"/>
  <c r="M64" i="80"/>
  <c r="M59" i="80"/>
  <c r="L62" i="80"/>
  <c r="L79" i="80" s="1"/>
  <c r="L80" i="80" s="1"/>
  <c r="L65" i="80"/>
  <c r="O56" i="80"/>
  <c r="O63" i="80" s="1"/>
  <c r="P53" i="80"/>
  <c r="N57" i="80"/>
  <c r="P56" i="80" l="1"/>
  <c r="P63" i="80" s="1"/>
  <c r="N61" i="80"/>
  <c r="N64" i="80"/>
  <c r="N58" i="80"/>
  <c r="O57" i="80"/>
  <c r="L66" i="80"/>
  <c r="M65" i="80"/>
  <c r="M62" i="80"/>
  <c r="M79" i="80" s="1"/>
  <c r="M80" i="80" s="1"/>
  <c r="D27" i="82"/>
  <c r="D28" i="82" s="1"/>
  <c r="D30" i="82" s="1"/>
  <c r="D31" i="82" s="1"/>
  <c r="H27" i="82"/>
  <c r="H28" i="82" s="1"/>
  <c r="H30" i="82" s="1"/>
  <c r="H31" i="82" s="1"/>
  <c r="F27" i="82"/>
  <c r="F28" i="82" s="1"/>
  <c r="F30" i="82" s="1"/>
  <c r="F31" i="82" s="1"/>
  <c r="G27" i="82"/>
  <c r="G28" i="82" s="1"/>
  <c r="G30" i="82" s="1"/>
  <c r="G31" i="82" s="1"/>
  <c r="E27" i="82"/>
  <c r="E28" i="82" s="1"/>
  <c r="E30" i="82" s="1"/>
  <c r="E31" i="82" s="1"/>
  <c r="N59" i="80" l="1"/>
  <c r="N65" i="80"/>
  <c r="N62" i="80"/>
  <c r="N79" i="80" s="1"/>
  <c r="N80" i="80" s="1"/>
  <c r="N66" i="80"/>
  <c r="O61" i="80"/>
  <c r="O64" i="80"/>
  <c r="O58" i="80"/>
  <c r="M66" i="80"/>
  <c r="P57" i="80"/>
  <c r="P58" i="80" s="1"/>
  <c r="P65" i="80" l="1"/>
  <c r="P62" i="80"/>
  <c r="P59" i="80"/>
  <c r="O79" i="80"/>
  <c r="O80" i="80" s="1"/>
  <c r="O66" i="80"/>
  <c r="P61" i="80"/>
  <c r="P64" i="80"/>
  <c r="O59" i="80"/>
  <c r="O65" i="80"/>
  <c r="O62" i="80"/>
  <c r="P79" i="80" l="1"/>
  <c r="P80" i="80" s="1"/>
  <c r="N10" i="68" s="1"/>
  <c r="F16" i="68" s="1"/>
  <c r="Q62" i="80"/>
  <c r="P66" i="80"/>
  <c r="Q65" i="80"/>
  <c r="Q66" i="80" l="1"/>
  <c r="F21" i="68"/>
  <c r="G16" i="68"/>
  <c r="G21" i="68" s="1"/>
  <c r="E31" i="99" l="1"/>
  <c r="E33" i="99" l="1"/>
  <c r="E32" i="99"/>
  <c r="E35" i="99" s="1"/>
  <c r="E36" i="99"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Annette Moore</author>
  </authors>
  <commentList>
    <comment ref="F12" authorId="0" shapeId="0">
      <text>
        <r>
          <rPr>
            <sz val="8"/>
            <color indexed="81"/>
            <rFont val="Tahoma"/>
            <family val="2"/>
          </rPr>
          <t xml:space="preserve">
Includes $(924) true-up for June'18 due to lower volumes
</t>
        </r>
      </text>
    </comment>
  </commentList>
</comments>
</file>

<file path=xl/comments3.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comments4.xml><?xml version="1.0" encoding="utf-8"?>
<comments xmlns="http://schemas.openxmlformats.org/spreadsheetml/2006/main">
  <authors>
    <author>Annette Moore</author>
  </authors>
  <commentList>
    <comment ref="F20" authorId="0" shape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<sst xmlns="http://schemas.openxmlformats.org/spreadsheetml/2006/main" count="1610" uniqueCount="1020">
  <si>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</si>
  <si>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</si>
  <si>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</si>
  <si>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</si>
  <si>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</si>
  <si>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</si>
  <si>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</si>
  <si>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</si>
  <si>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</si>
  <si>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</si>
  <si>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</si>
  <si>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</si>
  <si>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</si>
  <si>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</si>
  <si>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</si>
  <si>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WHEELING (565)</t>
  </si>
  <si>
    <t>SALES TO OTHER UTILITIES (447)</t>
  </si>
  <si>
    <t>PURCH/SALES OF NON-CORE GAS (456)</t>
  </si>
  <si>
    <t>Centralia Equity</t>
  </si>
  <si>
    <t>Total Normalizing Adjustments</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</si>
  <si>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</si>
  <si>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</si>
  <si>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</si>
  <si>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</si>
  <si>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</si>
  <si>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</si>
  <si>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Debit</t>
  </si>
  <si>
    <t>Orders</t>
  </si>
  <si>
    <t>12 Months</t>
  </si>
  <si>
    <t>Removal of GAAP-Only Fuel Valuation</t>
  </si>
  <si>
    <t>FOR THE TWELVE MONTHS ENDED Dec 31, 2018</t>
  </si>
  <si>
    <t>CO Order</t>
  </si>
  <si>
    <t>Fiscal year/period</t>
  </si>
  <si>
    <t>K1/001/2018</t>
  </si>
  <si>
    <t>K1/002/2018</t>
  </si>
  <si>
    <t>K1/003/2018</t>
  </si>
  <si>
    <t>K1/004/2018</t>
  </si>
  <si>
    <t>K1/005/2018</t>
  </si>
  <si>
    <t>K1/006/2018</t>
  </si>
  <si>
    <t>K1/007/2018</t>
  </si>
  <si>
    <t>K1/008/2018</t>
  </si>
  <si>
    <t>K1/009/2018</t>
  </si>
  <si>
    <t>K1/010/2018</t>
  </si>
  <si>
    <t>K1/011/2018</t>
  </si>
  <si>
    <t>K1/012/2018</t>
  </si>
  <si>
    <t>Overall Result</t>
  </si>
  <si>
    <t>RR_E447</t>
  </si>
  <si>
    <t>RR_4E47</t>
  </si>
  <si>
    <t>45600080</t>
  </si>
  <si>
    <t>Othr Elect Rev - Sale of Non-Core Gas</t>
  </si>
  <si>
    <t>Sales of Non Core Gas</t>
  </si>
  <si>
    <t>45600081</t>
  </si>
  <si>
    <t>Othr Elect Rev - Cost Non-Core Gas sold</t>
  </si>
  <si>
    <t>RR_501E</t>
  </si>
  <si>
    <t>RR_547E</t>
  </si>
  <si>
    <t>RR_555E</t>
  </si>
  <si>
    <t>RR_E555</t>
  </si>
  <si>
    <t>RR_557E</t>
  </si>
  <si>
    <t>RR_565E</t>
  </si>
  <si>
    <t>Less Fixed Costs Deferral</t>
  </si>
  <si>
    <t>Over/underabsorption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</si>
  <si>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</si>
  <si>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</si>
  <si>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</si>
  <si>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</si>
  <si>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</si>
  <si>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</si>
  <si>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</si>
  <si>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</si>
  <si>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</si>
  <si>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</si>
  <si>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</si>
  <si>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</si>
  <si>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</si>
  <si>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</si>
  <si>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</si>
  <si>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</si>
  <si>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 xml:space="preserve">Dec 19, 2017 -    </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</si>
  <si>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</si>
  <si>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</si>
  <si>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</si>
  <si>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</si>
  <si>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</si>
  <si>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</si>
  <si>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</si>
  <si>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</si>
  <si>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</si>
  <si>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</si>
  <si>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</si>
  <si>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</si>
  <si>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</si>
  <si>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</si>
  <si>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</si>
  <si>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</si>
  <si>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</si>
  <si>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</si>
  <si>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</si>
  <si>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</si>
  <si>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</si>
  <si>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</si>
  <si>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</si>
  <si>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</si>
  <si>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</si>
  <si>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</si>
  <si>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</si>
  <si>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</si>
  <si>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</si>
  <si>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</si>
  <si>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</si>
  <si>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</si>
  <si>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</si>
  <si>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</si>
  <si>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</si>
  <si>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</si>
  <si>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Schedule B:  Monthly Power Costs -- PCA PERIOD 17</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</si>
  <si>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</si>
  <si>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</si>
  <si>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</si>
  <si>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</si>
  <si>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</si>
  <si>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</si>
  <si>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</si>
  <si>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</si>
  <si>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</si>
  <si>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PCA Period 17:  January 1, 2018 through December 31, 2018</t>
  </si>
  <si>
    <t>Schedule B Backup  - Actual Costs</t>
  </si>
  <si>
    <t>Remove Fixed Cost Deferral</t>
  </si>
  <si>
    <t>PURCH &amp; INT +ALL OTHER (555, 447)</t>
  </si>
  <si>
    <t xml:space="preserve">OTHER PWR COSTS (557) </t>
  </si>
  <si>
    <t>Commission Basis Report for:</t>
  </si>
  <si>
    <t>Actual</t>
  </si>
  <si>
    <t>Power Cost Increase / (Decrease)</t>
  </si>
  <si>
    <t>Tot 12MOE 2018</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</si>
  <si>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</si>
  <si>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</si>
  <si>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</si>
  <si>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</si>
  <si>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</si>
  <si>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</si>
  <si>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</si>
  <si>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</si>
  <si>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</si>
  <si>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</si>
  <si>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</si>
  <si>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</si>
  <si>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</si>
  <si>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</si>
  <si>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</si>
  <si>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</si>
  <si>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</si>
  <si>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</si>
  <si>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</si>
  <si>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</si>
  <si>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</si>
  <si>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</si>
  <si>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Total 2018</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</si>
  <si>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</si>
  <si>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</si>
  <si>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</si>
  <si>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</si>
  <si>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</si>
  <si>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</si>
  <si>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</si>
  <si>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</si>
  <si>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</si>
  <si>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</si>
  <si>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</si>
  <si>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</si>
  <si>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FOR THE TWELVE MONTHS ENDED DECEMBER, 2018</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</si>
  <si>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</si>
  <si>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</si>
  <si>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</si>
  <si>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</si>
  <si>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</si>
  <si>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</si>
  <si>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</si>
  <si>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</si>
  <si>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</si>
  <si>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</si>
  <si>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</si>
  <si>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</si>
  <si>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</si>
  <si>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</si>
  <si>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</si>
  <si>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</si>
  <si>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</si>
  <si>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</si>
  <si>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</si>
  <si>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</si>
  <si>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</si>
  <si>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</si>
  <si>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</si>
  <si>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</si>
  <si>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</si>
  <si>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</si>
  <si>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</si>
  <si>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</si>
  <si>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</si>
  <si>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</si>
  <si>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</si>
  <si>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</si>
  <si>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</si>
  <si>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</si>
  <si>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</si>
  <si>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</si>
  <si>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</si>
  <si>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</si>
  <si>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</si>
  <si>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</si>
  <si>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</si>
  <si>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</si>
  <si>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</si>
  <si>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</si>
  <si>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</si>
  <si>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</si>
  <si>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</si>
  <si>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</si>
  <si>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</si>
  <si>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</si>
  <si>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</si>
  <si>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</si>
  <si>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</si>
  <si>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</si>
  <si>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</si>
  <si>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</si>
  <si>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</si>
  <si>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</si>
  <si>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</si>
  <si>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</si>
  <si>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</si>
  <si>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</si>
  <si>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</si>
  <si>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</si>
  <si>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</si>
  <si>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</si>
  <si>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</si>
  <si>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</si>
  <si>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</si>
  <si>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</si>
  <si>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</si>
  <si>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</si>
  <si>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</si>
  <si>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</si>
  <si>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</si>
  <si>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</si>
  <si>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</si>
  <si>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</si>
  <si>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</si>
  <si>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</si>
  <si>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</si>
  <si>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</si>
  <si>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</si>
  <si>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</si>
  <si>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</si>
  <si>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</si>
  <si>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</si>
  <si>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</si>
  <si>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</si>
  <si>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</si>
  <si>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</si>
  <si>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</si>
  <si>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</si>
  <si>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</si>
  <si>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</si>
  <si>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</si>
  <si>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</si>
  <si>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</si>
  <si>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</si>
  <si>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</si>
  <si>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</si>
  <si>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</si>
  <si>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</si>
  <si>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</si>
  <si>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</si>
  <si>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</si>
  <si>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</si>
  <si>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</si>
  <si>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</si>
  <si>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</si>
  <si>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</si>
  <si>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</si>
  <si>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</si>
  <si>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</si>
  <si>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</si>
  <si>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</si>
  <si>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</si>
  <si>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</si>
  <si>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</si>
  <si>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</si>
  <si>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</si>
  <si>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</si>
  <si>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</si>
  <si>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</si>
  <si>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</si>
  <si>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</si>
  <si>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</si>
  <si>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</si>
  <si>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</si>
  <si>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</si>
  <si>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</si>
  <si>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</si>
  <si>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</si>
  <si>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</si>
  <si>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</si>
  <si>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GENERATION FOR FIRST HALF OF 2018 (MWh)</t>
  </si>
  <si>
    <t>modeled with 80-year average inflow and actual outages</t>
  </si>
  <si>
    <t>Baker Total</t>
  </si>
  <si>
    <t>January</t>
  </si>
  <si>
    <t>February</t>
  </si>
  <si>
    <t>March</t>
  </si>
  <si>
    <t>April</t>
  </si>
  <si>
    <t>June</t>
  </si>
  <si>
    <t>July</t>
  </si>
  <si>
    <t>August</t>
  </si>
  <si>
    <t>September</t>
  </si>
  <si>
    <t>October</t>
  </si>
  <si>
    <t>November</t>
  </si>
  <si>
    <t>December</t>
  </si>
  <si>
    <t>Annual Total</t>
  </si>
  <si>
    <t xml:space="preserve">*Source File: </t>
  </si>
  <si>
    <t>BAK-SNOQ CBR GEN (thru Dec.2018).xlsx</t>
  </si>
  <si>
    <t>SNOQUALMIE GENERATION FOR FIRST HALF OF 2018 (MWh)</t>
  </si>
  <si>
    <t>Plant 1</t>
  </si>
  <si>
    <t>Plant 2</t>
  </si>
  <si>
    <t>Year total</t>
  </si>
  <si>
    <t xml:space="preserve">*Source: </t>
  </si>
  <si>
    <t xml:space="preserve">Summary Mid-C Hydro in 2017 GRC vs 2014 PCORC (FR14 = 70yrs; BPA = 80yrs) </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</si>
  <si>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</si>
  <si>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</si>
  <si>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</si>
  <si>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</si>
  <si>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</si>
  <si>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</si>
  <si>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</si>
  <si>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</si>
  <si>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</si>
  <si>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</si>
  <si>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</si>
  <si>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</si>
  <si>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</si>
  <si>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</si>
  <si>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</si>
  <si>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</si>
  <si>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</si>
  <si>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Generation (PSE Portion) -  Rate Year (Dec 2014 - Nov 2015)</t>
  </si>
  <si>
    <t>70 Yr</t>
  </si>
  <si>
    <t>Change in Calculated Generation (PSE Portion)</t>
  </si>
  <si>
    <t>% MWh</t>
  </si>
  <si>
    <t>Change</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</si>
  <si>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</si>
  <si>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</si>
  <si>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</si>
  <si>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</si>
  <si>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</si>
  <si>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</si>
  <si>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</si>
  <si>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</si>
  <si>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</si>
  <si>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</si>
  <si>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</si>
  <si>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</si>
  <si>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</si>
  <si>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</si>
  <si>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</si>
  <si>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</si>
  <si>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</si>
  <si>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</si>
  <si>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</si>
  <si>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</si>
  <si>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</si>
  <si>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</si>
  <si>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</si>
  <si>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</si>
  <si>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</si>
  <si>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</si>
  <si>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</si>
  <si>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</si>
  <si>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</si>
  <si>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</si>
  <si>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</si>
  <si>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</si>
  <si>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</si>
  <si>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</si>
  <si>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</si>
  <si>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</si>
  <si>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</si>
  <si>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</si>
  <si>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</si>
  <si>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</si>
  <si>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</si>
  <si>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</si>
  <si>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</si>
  <si>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</si>
  <si>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</si>
  <si>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</si>
  <si>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</si>
  <si>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</si>
  <si>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</si>
  <si>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</si>
  <si>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</si>
  <si>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</si>
  <si>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</si>
  <si>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</si>
  <si>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</si>
  <si>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</si>
  <si>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</si>
  <si>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</si>
  <si>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</si>
  <si>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</si>
  <si>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</si>
  <si>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</si>
  <si>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</si>
  <si>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</si>
  <si>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</si>
  <si>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</si>
  <si>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</si>
  <si>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</si>
  <si>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</si>
  <si>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</si>
  <si>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</si>
  <si>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</si>
  <si>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</si>
  <si>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</si>
  <si>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</si>
  <si>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</si>
  <si>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</si>
  <si>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</si>
  <si>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</si>
  <si>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</si>
  <si>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</si>
  <si>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</si>
  <si>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</si>
  <si>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</si>
  <si>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</si>
  <si>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</si>
  <si>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</si>
  <si>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</si>
  <si>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</si>
  <si>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</si>
  <si>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</si>
  <si>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</si>
  <si>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</si>
  <si>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</si>
  <si>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</si>
  <si>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 xml:space="preserve">     Adjustment to Deferral fro Normalization</t>
  </si>
  <si>
    <t>&lt;= Incremental Deferral for total Year due to Normalization</t>
  </si>
  <si>
    <t>Other Power Generation Fuel Total</t>
  </si>
  <si>
    <t>Purchase Power Total</t>
  </si>
  <si>
    <t>Other Elec Revenues - Non-Core Gas</t>
  </si>
  <si>
    <t xml:space="preserve">(A) Remove impact of lower of cost or NRV inventory write-down (in Dec 2017 distillate). </t>
  </si>
  <si>
    <t>New Order 45600074 - Steam Sales - Phillips to be included in PCA calculation</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</si>
  <si>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</si>
  <si>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</si>
  <si>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</si>
  <si>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</si>
  <si>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</si>
  <si>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</si>
  <si>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</si>
  <si>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</si>
  <si>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</si>
  <si>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</si>
  <si>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</si>
  <si>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</si>
  <si>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</si>
  <si>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Increase / (Decrease) NOI</t>
  </si>
  <si>
    <t>Increase / (Decrease) FIT @ 21%</t>
  </si>
  <si>
    <t>Increase / (Decrease) Expense</t>
  </si>
  <si>
    <t>Equity Return on Centralia Coal Transition PPA</t>
  </si>
  <si>
    <t>Transmission Revenue - Colstrip, 3RD AC &amp; NI</t>
  </si>
  <si>
    <t>500KV Transmission Expense</t>
  </si>
  <si>
    <t>Production O&amp;M</t>
  </si>
  <si>
    <t>Other Production Costs</t>
  </si>
  <si>
    <t>Purchases / (Sales) of Non -Core Gas (456)</t>
  </si>
  <si>
    <t>Sales to Other Utilities (447)</t>
  </si>
  <si>
    <t>Wheeling  (565)</t>
  </si>
  <si>
    <t>Other Power Expense (557)</t>
  </si>
  <si>
    <t>Purchased Power (555)</t>
  </si>
  <si>
    <t>Variable Energy Costs From Power Cost Witness</t>
  </si>
  <si>
    <t>E=D-B</t>
  </si>
  <si>
    <t>D</t>
  </si>
  <si>
    <t>C =B-A</t>
  </si>
  <si>
    <t>B</t>
  </si>
  <si>
    <t>A</t>
  </si>
  <si>
    <t>ADJUSTMENT</t>
  </si>
  <si>
    <t>PROFORMA</t>
  </si>
  <si>
    <t>TEST YEAR</t>
  </si>
  <si>
    <t>%'s</t>
  </si>
  <si>
    <t>2019 GENERAL RATE CASE</t>
  </si>
  <si>
    <t>FOR THE TWELVE MONTHS ENDED DECEMBER 31, 2018</t>
  </si>
  <si>
    <t>PUGET SOUND ENERGY - ELECTRIC</t>
  </si>
  <si>
    <t>INCREASE (DECREASE) EXPENSE</t>
  </si>
  <si>
    <t>EQUITY RETURN ON CENTRALIA TRANSITION COAL PPA</t>
  </si>
  <si>
    <t>V</t>
  </si>
  <si>
    <t>n/a</t>
  </si>
  <si>
    <t>456-1 VARIABLE TRANSM. INCOME - COLSTRIP, 3RD AC &amp; NI</t>
  </si>
  <si>
    <t>F</t>
  </si>
  <si>
    <t>456-17</t>
  </si>
  <si>
    <t xml:space="preserve">TRANS. EXP. INCL. 500KV O&amp;M </t>
  </si>
  <si>
    <t>various</t>
  </si>
  <si>
    <t>PRODUCTION O&amp;M</t>
  </si>
  <si>
    <t>TOTAL INCREASE (DECREASE) EXPENSE</t>
  </si>
  <si>
    <t>12MOE Apr 2021</t>
  </si>
  <si>
    <t>12MOE Dec 2018</t>
  </si>
  <si>
    <t>Description</t>
  </si>
  <si>
    <t>F/V</t>
  </si>
  <si>
    <t xml:space="preserve">FERC </t>
  </si>
  <si>
    <t>Line</t>
  </si>
  <si>
    <t>Net RY Before</t>
  </si>
  <si>
    <t>Remove</t>
  </si>
  <si>
    <t>Restated TY</t>
  </si>
  <si>
    <t>Variable PF</t>
  </si>
  <si>
    <t>Fixed PF</t>
  </si>
  <si>
    <t xml:space="preserve">Rate Year:  12MOE April 2021  </t>
  </si>
  <si>
    <t xml:space="preserve">Test Year:  12MOE Dec 2018  </t>
  </si>
  <si>
    <t>Complement</t>
  </si>
  <si>
    <t>Factor</t>
  </si>
  <si>
    <t>Determination of Net Power Costs</t>
  </si>
  <si>
    <t>Puget Sound Energy</t>
  </si>
  <si>
    <t>55700550  5301 - Other Energy Expense - Electric</t>
  </si>
  <si>
    <t>55700549  1148-Energy Acctng O&amp;M Power Costs</t>
  </si>
  <si>
    <t>55700547  6005 Portfolio Hedging Power Cost</t>
  </si>
  <si>
    <t>55700546  6003 - Supervison &amp; Support</t>
  </si>
  <si>
    <t>55700545  6003 - General &amp; Administrative</t>
  </si>
  <si>
    <t>55700544  6003 - Energy Supply Power Cost</t>
  </si>
  <si>
    <t>55700543  5360 Supervision &amp; Support</t>
  </si>
  <si>
    <t>55700542  5360 General &amp; Administrative</t>
  </si>
  <si>
    <t>55700541  5360 Power Supply PC</t>
  </si>
  <si>
    <t>55700540  5329 - Other Power Costs-Energy Delivery</t>
  </si>
  <si>
    <t>55700539  5329 - Other Power Costs - EIM Proj</t>
  </si>
  <si>
    <t>55700538  S-Mid Columbia-Other Energy Exp</t>
  </si>
  <si>
    <t>55700537  4201 - Energy Policy Power Costs</t>
  </si>
  <si>
    <t>55700536  1810 - Resource Plan &amp; Analysis PC</t>
  </si>
  <si>
    <t>55700322  5300 - Renewable PPAs</t>
  </si>
  <si>
    <t>55700321  5300 - Non-Renewable PPAs</t>
  </si>
  <si>
    <t>55700305  1148 -  Energy Acctng O&amp;M Power Costs</t>
  </si>
  <si>
    <t>55700250  Payroll Purchased Electricity</t>
  </si>
  <si>
    <t>55700200  4420 -Green Power Tags Programs</t>
  </si>
  <si>
    <t>55700178  6005 - Power Supply - Hedging</t>
  </si>
  <si>
    <t>55700170  1900-Financial Derivatives</t>
  </si>
  <si>
    <t>55700167  1900-FERC Regulatory Merchant</t>
  </si>
  <si>
    <t>55700166  1900-FERC Regulatory Transmission</t>
  </si>
  <si>
    <t>55700159  1900-Power Sale Agreements</t>
  </si>
  <si>
    <t>55700158  1900-Power Purchase Agreements</t>
  </si>
  <si>
    <t>55700157  1900-Power Credit Matters</t>
  </si>
  <si>
    <t>55700155  1900-Mid-Columbia General</t>
  </si>
  <si>
    <t>55700151  1900-Power Wheeling Agreement-Generation</t>
  </si>
  <si>
    <t>55700150  1900-BPA Transmission Policy--Generation</t>
  </si>
  <si>
    <t>55700148  6008 - Training - Power Costs</t>
  </si>
  <si>
    <t>55700146  6008 - Other Power Supply Expenses</t>
  </si>
  <si>
    <t>55700145  6008 - General &amp; Administrative</t>
  </si>
  <si>
    <t>55700144  6008 - Supervision &amp; Support</t>
  </si>
  <si>
    <t>55700123  6003 - Power Supply Exp - Power Cost</t>
  </si>
  <si>
    <t>55700100  1810 -Power Supply</t>
  </si>
  <si>
    <t>55700090  5360 - Other Energy Expense - Electric</t>
  </si>
  <si>
    <t>55700086  5013-Mid Columbia-Other Energy Exp-Elec</t>
  </si>
  <si>
    <t>55700083  5329 - Other Power Costs - EIM Project</t>
  </si>
  <si>
    <t>55700027  CLSD- 6008 - Training - Power Costs</t>
  </si>
  <si>
    <t>55700025  CLSD- 6008 - Other Power Supply Expenses</t>
  </si>
  <si>
    <t>55700024  CLSD- 6008 - General &amp; Administrative</t>
  </si>
  <si>
    <t>55700023  CLSD-6008 - Supervision &amp; Support</t>
  </si>
  <si>
    <t>55700022  6005 - Training - Power Costs</t>
  </si>
  <si>
    <t>55700021  6005 - Safety - Power Costs</t>
  </si>
  <si>
    <t>55700020  6003 - Training - Power Costs</t>
  </si>
  <si>
    <t>55700019  6003 - Safety - Power Costs</t>
  </si>
  <si>
    <t>55700018  5360 - Training - Power Costs</t>
  </si>
  <si>
    <t>55700017  5360 - Safety - Power Costs</t>
  </si>
  <si>
    <t>55700016  5329 - Training - Power Costs</t>
  </si>
  <si>
    <t>55700015  4201 - Training - Power Costs</t>
  </si>
  <si>
    <t>55700003  5360 - Pwr Supply - Brokerage Fee - E</t>
  </si>
  <si>
    <t>55700002  5360 - Power Supply - Organizations - E</t>
  </si>
  <si>
    <t>Group</t>
  </si>
  <si>
    <t>Net</t>
  </si>
  <si>
    <t>ASMT_BENEF</t>
  </si>
  <si>
    <t>ASMT_TAXES</t>
  </si>
  <si>
    <t>PSE_ALL_3</t>
  </si>
  <si>
    <t>Order Group.</t>
  </si>
  <si>
    <t>12MOE December 2018</t>
  </si>
  <si>
    <t>Order Group "557"</t>
  </si>
  <si>
    <t>SAP:  ZRW_Z851</t>
  </si>
  <si>
    <t>Elec Sys Control &amp; Dispatch</t>
  </si>
  <si>
    <t>Other Pwr Gen Maint Misc</t>
  </si>
  <si>
    <t>Other Pwr Gen Maint Gen &amp; Elec</t>
  </si>
  <si>
    <t>Other Pwr Gen Maint Structures</t>
  </si>
  <si>
    <t>Other Pwr Gen Maint Supv &amp; Eng</t>
  </si>
  <si>
    <t>Other Power Gen Maintenance</t>
  </si>
  <si>
    <t>Other Pwr Gen Oper Rents</t>
  </si>
  <si>
    <t>Other Pwr Gen Oper Misc</t>
  </si>
  <si>
    <t>Other Pwr Gen Oper Gen Exp</t>
  </si>
  <si>
    <t>Other Pwr Gen Oper Supv &amp; Eng</t>
  </si>
  <si>
    <t>Other Power Gen Operation</t>
  </si>
  <si>
    <t>Hydro Maint Misc Hydraulic Plt</t>
  </si>
  <si>
    <t>Hydro Maint Electric Plant</t>
  </si>
  <si>
    <t>Hydro Maint Res, Dams, Wtrwys</t>
  </si>
  <si>
    <t>Hydro Maint Structures</t>
  </si>
  <si>
    <t>Hydro Maint Supv &amp; Engineering</t>
  </si>
  <si>
    <t>Hydro Generation Maintenance</t>
  </si>
  <si>
    <t>Hydro Oper Misc Hydraulic Exp</t>
  </si>
  <si>
    <t>Hydro Oper Electric Expenses</t>
  </si>
  <si>
    <t>Hydro Oper Hydraulic Expenses</t>
  </si>
  <si>
    <t>Hydro Oper Supv &amp; Engineering</t>
  </si>
  <si>
    <t>Hydro Generation Operation</t>
  </si>
  <si>
    <t>Steam Maint Misc Steam Plant</t>
  </si>
  <si>
    <t>Steam Maint Electric Plant</t>
  </si>
  <si>
    <t>Steam Maint Boiler Plant</t>
  </si>
  <si>
    <t>Steam Maint Structures</t>
  </si>
  <si>
    <t>Steam Maint Supv &amp; Engineering</t>
  </si>
  <si>
    <t>Steam Generation Maintenance</t>
  </si>
  <si>
    <t>Steam Oper Rents</t>
  </si>
  <si>
    <t>Steam Oper Misc Steam Power</t>
  </si>
  <si>
    <t>Steam Oper Electric Expense</t>
  </si>
  <si>
    <t>Steam Oper Steam Expenses</t>
  </si>
  <si>
    <t>Steam Oper Supv &amp; Engineering</t>
  </si>
  <si>
    <t>Steam Generation Operation</t>
  </si>
  <si>
    <t>Order Group "Elecom1"</t>
  </si>
  <si>
    <t>19GRC RY May 2020 - April 2021 Rate Year</t>
  </si>
  <si>
    <t>Equity Return $$ at $1.49 per MWh</t>
  </si>
  <si>
    <t>Total Life of Contract</t>
  </si>
  <si>
    <t>Dec 24 - Nov 25</t>
  </si>
  <si>
    <t>Dec 23 - Nov 24</t>
  </si>
  <si>
    <t>Dec 22 - Nov 23</t>
  </si>
  <si>
    <t>Dec 21 - Nov 22</t>
  </si>
  <si>
    <t>Dec 20 - Nov 21</t>
  </si>
  <si>
    <t>Dec 19 - Nov 20</t>
  </si>
  <si>
    <t>Dec 18 - Nov 19</t>
  </si>
  <si>
    <t>Dec 17 - Nov 18</t>
  </si>
  <si>
    <t>Dec 16 - Nov 17</t>
  </si>
  <si>
    <t>Dec 15 - Nov 16</t>
  </si>
  <si>
    <t>Dec 14 - Nov 15</t>
  </si>
  <si>
    <t>Volume</t>
  </si>
  <si>
    <t>Centralia Coal Transition PPA - Equity Adder</t>
  </si>
  <si>
    <t>Average</t>
  </si>
  <si>
    <t>Sept</t>
  </si>
  <si>
    <t>Calendar Year</t>
  </si>
  <si>
    <t>Year</t>
  </si>
  <si>
    <t>Colstrip Sales</t>
  </si>
  <si>
    <t>Southern Intertie Sales</t>
  </si>
  <si>
    <t>Note:</t>
  </si>
  <si>
    <t>Northern Intertie Sales</t>
  </si>
  <si>
    <t>45610005  4310-Elec Trans Rev -OASIS-Cols,SI ,NI</t>
  </si>
  <si>
    <t>Act. Costs</t>
  </si>
  <si>
    <t xml:space="preserve">  ZO12                      Orders: Actual 12 Month Ended</t>
  </si>
  <si>
    <t>Prod. O&amp;M incl. Benefits/Taxes</t>
  </si>
  <si>
    <t xml:space="preserve">N/A - Rate Year = Test Year </t>
  </si>
  <si>
    <t>Glacier Battery</t>
  </si>
  <si>
    <t>Undistrib/Other Including Incentive Clearing, Compliance</t>
  </si>
  <si>
    <t>Sys Control &amp; Dispatch</t>
  </si>
  <si>
    <t>Whitehorn 1-4</t>
  </si>
  <si>
    <t>Proform rate year major maintenance amortization.</t>
  </si>
  <si>
    <t>Mint Farm</t>
  </si>
  <si>
    <t>Goldendale</t>
  </si>
  <si>
    <t>Fredonia 1-4</t>
  </si>
  <si>
    <t>Frederickson</t>
  </si>
  <si>
    <t>Freddie 1</t>
  </si>
  <si>
    <t>Ferndale</t>
  </si>
  <si>
    <t>Encogen</t>
  </si>
  <si>
    <t>Crystal Mountain</t>
  </si>
  <si>
    <t>Proforma rate year Siemens contract + Royalties based on RY MWhs.</t>
  </si>
  <si>
    <t>Proform rate year Vestas contract + Royalties based on RY MWhs</t>
  </si>
  <si>
    <t>Snoqualmie License</t>
  </si>
  <si>
    <t>Snoqualmie 1/2</t>
  </si>
  <si>
    <t>Baker License</t>
  </si>
  <si>
    <t>Colstrip 3&amp;4</t>
  </si>
  <si>
    <t>Colstrip 1&amp;2</t>
  </si>
  <si>
    <t>2017 GRC Jan - Dec 2018</t>
  </si>
  <si>
    <t>Adjustment Description</t>
  </si>
  <si>
    <t>2019 GRC May'20 - Apr'21</t>
  </si>
  <si>
    <t>Test Year Jan'18 - Dec'18</t>
  </si>
  <si>
    <t>Resources</t>
  </si>
  <si>
    <t>Settlement: Adjusted Wind</t>
  </si>
  <si>
    <t>2019 GRC Initial Filing</t>
  </si>
  <si>
    <t>Subtotal</t>
  </si>
  <si>
    <t>Indirect Charges</t>
  </si>
  <si>
    <t>Direct Charges</t>
  </si>
  <si>
    <t>Outside Services Other</t>
  </si>
  <si>
    <t>Software and Hardware</t>
  </si>
  <si>
    <t>Office and Supplies</t>
  </si>
  <si>
    <t>Corporate Membership</t>
  </si>
  <si>
    <t>Corporate Items</t>
  </si>
  <si>
    <t>Var. %.</t>
  </si>
  <si>
    <t>Var. $.</t>
  </si>
  <si>
    <t>Pln/COCurr.</t>
  </si>
  <si>
    <t>Act/COCurr.</t>
  </si>
  <si>
    <t>Cost Element Group</t>
  </si>
  <si>
    <t>WBS: k.99999.03.07.01,  k.99999.03.07.02</t>
  </si>
  <si>
    <t>SAP:  ZRW_6P02</t>
  </si>
  <si>
    <t>Transmission Sales calculated with FERC formula rates effective June 2018 to May 2019 (WA $2.0842, Southern Intertie $1.1257, Colstrip $0.9926 per kw-month)</t>
  </si>
  <si>
    <t>Rate Year January - December</t>
  </si>
  <si>
    <t>MWh</t>
  </si>
  <si>
    <t>Proform rate year license O&amp;M</t>
  </si>
  <si>
    <t>No adj: rate year amortization  = test year amortization</t>
  </si>
  <si>
    <t>Net Increase / (Decrease) INCOME</t>
  </si>
  <si>
    <t>State Utiltiy Tax Increase/(Decrease)</t>
  </si>
  <si>
    <t>Remove all test year non-major maintenance O&amp;M, proform rate year major maintenance amortization.</t>
  </si>
  <si>
    <t>Add Colstrip 1&amp;2 share of test year Colstrip 1-4 common O&amp;M. Proform rate year major maintenance amortization.</t>
  </si>
  <si>
    <t>Centralia PPA</t>
  </si>
  <si>
    <t>ROR Equity Adjustment to PCA Schedule B</t>
  </si>
  <si>
    <t>Rate</t>
  </si>
  <si>
    <t>Adjustment</t>
  </si>
  <si>
    <t>Note A</t>
  </si>
  <si>
    <t>12/2018</t>
  </si>
  <si>
    <t>11/2018</t>
  </si>
  <si>
    <t>10/2018</t>
  </si>
  <si>
    <t>9/2018</t>
  </si>
  <si>
    <t>8/2018</t>
  </si>
  <si>
    <t>7/2018</t>
  </si>
  <si>
    <t>6/2018</t>
  </si>
  <si>
    <t>5/2018</t>
  </si>
  <si>
    <t>4/2018</t>
  </si>
  <si>
    <t>3/2018</t>
  </si>
  <si>
    <t>2/2018</t>
  </si>
  <si>
    <t>1/2018</t>
  </si>
  <si>
    <t xml:space="preserve">   54700004  CT Oil Inventory</t>
  </si>
  <si>
    <t>GL Amount</t>
  </si>
  <si>
    <t>CBR Adjustment</t>
  </si>
  <si>
    <t>Amount in line 2 removed on line 13 of Sch B.  Line 13 is a non-financial statement entry, so CBR adjustment is also required</t>
  </si>
  <si>
    <t>Rate Year Power Costs</t>
  </si>
  <si>
    <t>2019 GRC Proposed</t>
  </si>
  <si>
    <t>Acct.</t>
  </si>
  <si>
    <t>($ in thousands)</t>
  </si>
  <si>
    <t>Increase / (Decrease)</t>
  </si>
  <si>
    <t>Coal fuel</t>
  </si>
  <si>
    <t>Natural gas fuel</t>
  </si>
  <si>
    <t>555H</t>
  </si>
  <si>
    <t>Hydro purchases</t>
  </si>
  <si>
    <t>555MP</t>
  </si>
  <si>
    <t>Market purchases</t>
  </si>
  <si>
    <t>Other contract purchases</t>
  </si>
  <si>
    <t>Secondary sales</t>
  </si>
  <si>
    <t>Transmission</t>
  </si>
  <si>
    <t>Other revenues</t>
  </si>
  <si>
    <t>Other power supply expense</t>
  </si>
  <si>
    <t>Total Rate Year Power Costs</t>
  </si>
  <si>
    <t>Rate year: May 2020 through April 2021</t>
  </si>
  <si>
    <t>Gas price date: 1/31/2019</t>
  </si>
  <si>
    <t/>
  </si>
  <si>
    <t>Remove REA support expense from test year.</t>
  </si>
  <si>
    <t xml:space="preserve">Change from </t>
  </si>
  <si>
    <t>555WS</t>
  </si>
  <si>
    <t>Wind and solar purchases</t>
  </si>
  <si>
    <r>
      <t>Total load (</t>
    </r>
    <r>
      <rPr>
        <sz val="9"/>
        <color indexed="8"/>
        <rFont val="Calibri"/>
        <family val="2"/>
        <scheme val="minor"/>
      </rPr>
      <t>MW</t>
    </r>
    <r>
      <rPr>
        <sz val="11"/>
        <color indexed="8"/>
        <rFont val="Calibri"/>
        <family val="2"/>
        <scheme val="minor"/>
      </rPr>
      <t>h)</t>
    </r>
  </si>
  <si>
    <t>COAL FUEL (501)</t>
  </si>
  <si>
    <t>NATURAL GAS FUEL (547)</t>
  </si>
  <si>
    <t>FUEL COAL (501)</t>
  </si>
  <si>
    <t>FUEL NATURAL GAS (547)</t>
  </si>
  <si>
    <t>Coal Fuel (501)</t>
  </si>
  <si>
    <t>Natural Gas Fuel (547)</t>
  </si>
  <si>
    <t>Benefits</t>
  </si>
  <si>
    <t>Payroll Tax</t>
  </si>
  <si>
    <t>Brokerage Fees (557)</t>
  </si>
  <si>
    <t>check =&gt;</t>
  </si>
  <si>
    <t xml:space="preserve">Reconcile to Show Adjustments Received from Other </t>
  </si>
  <si>
    <t>Departments are 100% Reflected in the Model</t>
  </si>
  <si>
    <t>No,</t>
  </si>
  <si>
    <t>Full Load assumed in Production Adj (MWHs)</t>
  </si>
  <si>
    <t>Full Load assumed in Power Costs (MWHs)</t>
  </si>
  <si>
    <t>&lt;==s/b zero</t>
  </si>
  <si>
    <t>Prod Factored RY</t>
  </si>
  <si>
    <t>In Model</t>
  </si>
  <si>
    <t>Total Expected Rate Year Power Costs</t>
  </si>
  <si>
    <t>PF</t>
  </si>
  <si>
    <t xml:space="preserve">     Steam Fuel (variable)</t>
  </si>
  <si>
    <t xml:space="preserve">     GFG Fuel (variable)</t>
  </si>
  <si>
    <t xml:space="preserve">     Purchased Power (variable)</t>
  </si>
  <si>
    <t xml:space="preserve">     Other Power Expense (fixed)</t>
  </si>
  <si>
    <t xml:space="preserve">     Brokerage Fees (variable)</t>
  </si>
  <si>
    <t xml:space="preserve">     Wheeling (variable)</t>
  </si>
  <si>
    <t xml:space="preserve">     Sales for Resale (variable)</t>
  </si>
  <si>
    <t xml:space="preserve">     Purchses/(Sales) of Non-Core Gase (variable)</t>
  </si>
  <si>
    <t>Total Rate Year Power Costs From Power Costs Group</t>
  </si>
  <si>
    <t>&lt;== ties to witness PKW if zero</t>
  </si>
  <si>
    <t>Add Production O&amp;M from Ron Roberts</t>
  </si>
  <si>
    <t>&lt;== ties to witness RJR if zero</t>
  </si>
  <si>
    <t>Add Rate Year Trans. Exp. Incl. 500Kv O&amp;M</t>
  </si>
  <si>
    <t>Add Rate Year OATT Transmission Revenue</t>
  </si>
  <si>
    <t>Add Rate Yeare Equity Return on Centralia Coal Transition PPA (variable)</t>
  </si>
  <si>
    <t>Reclass Benefits and Taxes shown seperately</t>
  </si>
  <si>
    <t xml:space="preserve">     Subtotal - "Power Costs to Recover":</t>
  </si>
  <si>
    <t>Power Costs Included In the 2016 GRC Model</t>
  </si>
  <si>
    <t xml:space="preserve">     Production Factored RY Power Costs in Rates</t>
  </si>
  <si>
    <t>2019 General Rate Case</t>
  </si>
  <si>
    <t>Restating Adjustment</t>
  </si>
  <si>
    <t>Proforma Adjustment</t>
  </si>
  <si>
    <t>7.01 Test Year Power Costs (Includes Regulatory Amorts)</t>
  </si>
  <si>
    <t>Production Factor</t>
  </si>
  <si>
    <t>Total Delivered Sales Less 449/459/MS Special Contract</t>
  </si>
  <si>
    <t>Total Delivered Sales</t>
  </si>
  <si>
    <t>Firm Resale</t>
  </si>
  <si>
    <t>005</t>
  </si>
  <si>
    <t>Total Retail Delivered Sales</t>
  </si>
  <si>
    <t>Retail Wheeling</t>
  </si>
  <si>
    <t>449 / 459 / MSSC</t>
  </si>
  <si>
    <t>Street &amp; Area Lighting</t>
  </si>
  <si>
    <t>50-59</t>
  </si>
  <si>
    <t>Total High Voltage</t>
  </si>
  <si>
    <t>General Service</t>
  </si>
  <si>
    <t>Interruptible Service</t>
  </si>
  <si>
    <t>Campus</t>
  </si>
  <si>
    <t>Total Primary Voltage</t>
  </si>
  <si>
    <t>Interruptible Elec Schools</t>
  </si>
  <si>
    <t>Irrigation Service</t>
  </si>
  <si>
    <t>10 / 31</t>
  </si>
  <si>
    <t>Total Secondary Voltage</t>
  </si>
  <si>
    <t>Gen Svc &gt; 350kW (pv)</t>
  </si>
  <si>
    <t>26P</t>
  </si>
  <si>
    <t>Gen Svc &gt; 350kW</t>
  </si>
  <si>
    <t>12 / 26</t>
  </si>
  <si>
    <t>Gen Svc &gt;50 &amp; &lt; 350kW</t>
  </si>
  <si>
    <t>11 / 25</t>
  </si>
  <si>
    <t>Gen Svc &lt; 50kW</t>
  </si>
  <si>
    <t>8 / 24</t>
  </si>
  <si>
    <t>Total Residential</t>
  </si>
  <si>
    <t>Residential Master Meters</t>
  </si>
  <si>
    <t>7A</t>
  </si>
  <si>
    <t>Residential</t>
  </si>
  <si>
    <t>(h)</t>
  </si>
  <si>
    <t>(g)</t>
  </si>
  <si>
    <t>(f)</t>
  </si>
  <si>
    <t>(e)</t>
  </si>
  <si>
    <t>(d)</t>
  </si>
  <si>
    <t>(c) = ∑(d..g)</t>
  </si>
  <si>
    <t>(b)</t>
  </si>
  <si>
    <t>(a)</t>
  </si>
  <si>
    <t>F2018 Twelve Months ended April 2021</t>
  </si>
  <si>
    <t>Temperature Adjustmemt</t>
  </si>
  <si>
    <t>Schedule 40</t>
  </si>
  <si>
    <t>Unbilled Sales</t>
  </si>
  <si>
    <t>Billed Sales</t>
  </si>
  <si>
    <t>Weather Normalized Delivered Sales</t>
  </si>
  <si>
    <t>Rate Sch</t>
  </si>
  <si>
    <t>Line No.</t>
  </si>
  <si>
    <t>Twelve Months ended December 2018</t>
  </si>
  <si>
    <t>Production Adjustment</t>
  </si>
  <si>
    <t>Electric Rates</t>
  </si>
  <si>
    <t>Proforma Delivered Sales</t>
  </si>
  <si>
    <t>Sch 40 Migration</t>
  </si>
  <si>
    <t>Total May 2020 - April 2021</t>
  </si>
  <si>
    <t>Check</t>
  </si>
  <si>
    <t>Total Tariff</t>
  </si>
  <si>
    <t>449/459/MSSC</t>
  </si>
  <si>
    <t>Lights</t>
  </si>
  <si>
    <t>Tariff 49</t>
  </si>
  <si>
    <t>Tariff 46</t>
  </si>
  <si>
    <t>Tariff 40</t>
  </si>
  <si>
    <t>Tariff 43</t>
  </si>
  <si>
    <t>Tariff 35</t>
  </si>
  <si>
    <t>Tariff 31</t>
  </si>
  <si>
    <t>Tariff 29</t>
  </si>
  <si>
    <t>Tariff 26</t>
  </si>
  <si>
    <t>Tariff 25</t>
  </si>
  <si>
    <t>Tariff 24</t>
  </si>
  <si>
    <t>Tariff 7A</t>
  </si>
  <si>
    <t>Tariff 7</t>
  </si>
  <si>
    <t>Special Contract</t>
  </si>
  <si>
    <t>Sales+Transport</t>
  </si>
  <si>
    <t>RC 459HV</t>
  </si>
  <si>
    <t>RC449HV</t>
  </si>
  <si>
    <t>RC 449PV</t>
  </si>
  <si>
    <t>Sales Total</t>
  </si>
  <si>
    <t>RC 59</t>
  </si>
  <si>
    <t>RC 58</t>
  </si>
  <si>
    <t>RC 57</t>
  </si>
  <si>
    <t>RC 56</t>
  </si>
  <si>
    <t>RC 55</t>
  </si>
  <si>
    <t>RC 54</t>
  </si>
  <si>
    <t>RC 53</t>
  </si>
  <si>
    <t>RC 52</t>
  </si>
  <si>
    <t>RC 51</t>
  </si>
  <si>
    <t>RC 50</t>
  </si>
  <si>
    <t>RC 25L</t>
  </si>
  <si>
    <t>RC 24L</t>
  </si>
  <si>
    <t>RC 49I</t>
  </si>
  <si>
    <t>RC 49C</t>
  </si>
  <si>
    <t>RC 46I</t>
  </si>
  <si>
    <t>RC 46C</t>
  </si>
  <si>
    <t>RC 43</t>
  </si>
  <si>
    <t>RC 40I</t>
  </si>
  <si>
    <t>RC 40C</t>
  </si>
  <si>
    <t>RC 35</t>
  </si>
  <si>
    <t>RC 31I</t>
  </si>
  <si>
    <t>RC 31C</t>
  </si>
  <si>
    <t>RC 29</t>
  </si>
  <si>
    <t>RC 26I</t>
  </si>
  <si>
    <t>RC 26C</t>
  </si>
  <si>
    <t>RC 25I</t>
  </si>
  <si>
    <t>RC 25C</t>
  </si>
  <si>
    <t>RC 24I</t>
  </si>
  <si>
    <t>RC 24C</t>
  </si>
  <si>
    <t>RC 12</t>
  </si>
  <si>
    <t>RC 11</t>
  </si>
  <si>
    <t>RC 10</t>
  </si>
  <si>
    <t>RC 08</t>
  </si>
  <si>
    <t>RC 7A</t>
  </si>
  <si>
    <t>RC 07</t>
  </si>
  <si>
    <t>RC 05</t>
  </si>
  <si>
    <t>RC 03</t>
  </si>
  <si>
    <t>Month</t>
  </si>
  <si>
    <t>Lighting</t>
  </si>
  <si>
    <t>Industrial</t>
  </si>
  <si>
    <t>Commercial</t>
  </si>
  <si>
    <t>Transport</t>
  </si>
  <si>
    <t>Resale</t>
  </si>
  <si>
    <t>Reconciled to LFG's F2018</t>
  </si>
  <si>
    <t>LFG's F2018 Forecast as of May 25, 2018</t>
  </si>
  <si>
    <t>As-Delivered Monthly Sales &amp; Transportation by Rate Schedule</t>
  </si>
  <si>
    <t>Difference (LFG's - Rate Dept's)</t>
  </si>
  <si>
    <t>Rate Dept's Monthly Summary by Class</t>
  </si>
  <si>
    <t>LFG's Monthly Summary by Class</t>
  </si>
  <si>
    <t>&lt;== Delivered</t>
  </si>
  <si>
    <t>&lt;== Full Load</t>
  </si>
  <si>
    <t>Full Load</t>
  </si>
  <si>
    <t>Station Service Losses</t>
  </si>
  <si>
    <t>Station Service</t>
  </si>
  <si>
    <t>Total Load</t>
  </si>
  <si>
    <t>Losses</t>
  </si>
  <si>
    <t>Total Delivered</t>
  </si>
  <si>
    <t>Streetlight</t>
  </si>
  <si>
    <t>Gross of Conservation</t>
  </si>
  <si>
    <t>Net of Conservation</t>
  </si>
  <si>
    <t>Losses were assumed at 7.1%</t>
  </si>
  <si>
    <t>Gross of conservation values are provided to illustrate the impact of conservation.  Click (+) to expand</t>
  </si>
  <si>
    <t>Load (MWh)</t>
  </si>
  <si>
    <t>F2018 Final Electric Load Forecast</t>
  </si>
  <si>
    <t>Decrease of revenue on Northern Intertie starting in June 2016 is due to expiration of 193Mw reservation by Powerex.  The reservation was not renewed and therefore, 2016 is not included in avaraging.</t>
  </si>
  <si>
    <t>Estimate of Transmission Sales Revenue on NI, SI, and Colstrip using formula rate detail assuming 3 Yr historical aveage (last 2 years for N Intertie).</t>
  </si>
  <si>
    <t>Total projection</t>
  </si>
  <si>
    <t>Losses    (current estimate)</t>
  </si>
  <si>
    <t>Schedule 6 - Reserves - Supplemental</t>
  </si>
  <si>
    <t>Schedule 5 - Reserves - Spinning</t>
  </si>
  <si>
    <t>Schedule 3 - Regulation &amp; Frequency Response Service</t>
  </si>
  <si>
    <t>Schedule 2 - Reactive Control and Voltage Control</t>
  </si>
  <si>
    <t>Schedule 1 - Scheduling, System Control &amp; Dispatch Service</t>
  </si>
  <si>
    <t>Point to Point Transmission Sales</t>
  </si>
  <si>
    <t>Jan - Dec</t>
  </si>
  <si>
    <t>April - Dec</t>
  </si>
  <si>
    <t xml:space="preserve">Monthly </t>
  </si>
  <si>
    <t>Order</t>
  </si>
  <si>
    <t>Powerex for Microsoft</t>
  </si>
  <si>
    <t xml:space="preserve">Estimate of Transmission Sales Revenue for Powerex </t>
  </si>
  <si>
    <t>Estimate of Total Transmission Sales Revenue on NI, SI, and Colstrip</t>
  </si>
  <si>
    <t xml:space="preserve"> 2017 GRC Settlement</t>
  </si>
  <si>
    <t>s/b ≠ fr Restate by Line 16</t>
  </si>
  <si>
    <t xml:space="preserve">Removal of Green Tabs for GRC </t>
  </si>
  <si>
    <t>FERC 557 Other Power Costs</t>
  </si>
  <si>
    <t>12 mo end 12.31.18</t>
  </si>
  <si>
    <t>12 mo end 9.30.16</t>
  </si>
  <si>
    <t>1143 -  Energy Acctng O&amp;M Power Costs</t>
  </si>
  <si>
    <t>1148 -  Energy Acctng O&amp;M Power Costs</t>
  </si>
  <si>
    <t>1148-Energy Acctng O&amp;M Power Costs</t>
  </si>
  <si>
    <t>1810 - Resource Plan &amp; Analysis PC</t>
  </si>
  <si>
    <t>1810 -Power Supply</t>
  </si>
  <si>
    <t>1900 - PURPA PPA Desert Claim Wind Proj</t>
  </si>
  <si>
    <t>1900-BPA Transmission Policy--Generation</t>
  </si>
  <si>
    <t>1900-FERC Regulatory Merchant</t>
  </si>
  <si>
    <t>1900-FERC Regulatory Transmission</t>
  </si>
  <si>
    <t>1900-Financial Derivatives</t>
  </si>
  <si>
    <t>1900-Mid-Columbia General</t>
  </si>
  <si>
    <t>1900-Power Credit Matters</t>
  </si>
  <si>
    <t>1900-Power Purchase Agreements</t>
  </si>
  <si>
    <t>1900-Power Sale Agreements</t>
  </si>
  <si>
    <t>1900-Power Wheeling Agreement-Generation</t>
  </si>
  <si>
    <t>4201 - Energy Policy Power Costs</t>
  </si>
  <si>
    <t>4201 - Training - Power Costs</t>
  </si>
  <si>
    <t>4201-Power Supply- Fed &amp; Regional Policy</t>
  </si>
  <si>
    <t>4420 -Green Power Tags Programs</t>
  </si>
  <si>
    <t>5016-Mid Columbia-Other Energy Exp-Elec</t>
  </si>
  <si>
    <t>5013-Mid Columbia-Other Energy Exp-Elec</t>
  </si>
  <si>
    <t>5300 - Non-Renewable PPAs</t>
  </si>
  <si>
    <t>5300 - Renewable PPAs</t>
  </si>
  <si>
    <t>5301 - Other Energy Expense - Electric</t>
  </si>
  <si>
    <t>5329 - Other Power Costs - EIM Proj</t>
  </si>
  <si>
    <t>5329 - Other Power Costs - EIM Project</t>
  </si>
  <si>
    <t>5329 - Other Power Costs-Energy Delivery</t>
  </si>
  <si>
    <t>5329 - Training - Power Costs</t>
  </si>
  <si>
    <t>5360 - Deferred customer Portion - PCA</t>
  </si>
  <si>
    <t>5360 - Other Energy Expense - Electric</t>
  </si>
  <si>
    <t>5360 - Power Supply - Organizations - E</t>
  </si>
  <si>
    <t>5360 - Pwr Supply - Brokerage Fee - E</t>
  </si>
  <si>
    <t>5360 - Safety - Power Costs</t>
  </si>
  <si>
    <t>5360 - Training - Power Costs</t>
  </si>
  <si>
    <t>5360 General &amp; Administrative</t>
  </si>
  <si>
    <t>5360 Power Supply PC</t>
  </si>
  <si>
    <t>5360 Supervision &amp; Support</t>
  </si>
  <si>
    <t>5371-Power Supply-Energy Supply Merchant</t>
  </si>
  <si>
    <t>5380 - Other Energy Expense - Electric</t>
  </si>
  <si>
    <t>6002-Regional Power Program Contract</t>
  </si>
  <si>
    <t>6003 - Energy Supply Power Cost</t>
  </si>
  <si>
    <t>6003 - General &amp; Administrative</t>
  </si>
  <si>
    <t>6003 - Power Supply Exp - Power Cost</t>
  </si>
  <si>
    <t>6003 - Safety - Power Costs</t>
  </si>
  <si>
    <t>6003 - Supervison &amp; Support</t>
  </si>
  <si>
    <t>6003 - Training - Power Costs</t>
  </si>
  <si>
    <t>6005 - Power Supply - Hedging</t>
  </si>
  <si>
    <t>6005 - Safety - Power Costs</t>
  </si>
  <si>
    <t>6005 - Training - Power Costs</t>
  </si>
  <si>
    <t>6005 Portfolio Hedging Power Cost</t>
  </si>
  <si>
    <t>6008 - General &amp; Administrative</t>
  </si>
  <si>
    <t>6008 - Other Power Supply Expenses</t>
  </si>
  <si>
    <t>6008 - Supervision &amp; Support</t>
  </si>
  <si>
    <t>6008 - Training - Power Costs</t>
  </si>
  <si>
    <t>S-Mid Columbia-Other Energy Exp</t>
  </si>
  <si>
    <t>Payroll Purchased Electricity</t>
  </si>
  <si>
    <t>STANDING  BUY/SELL POWER TO CA - ISO</t>
  </si>
  <si>
    <t>Total from SAP download</t>
  </si>
  <si>
    <t>Less EIM costs</t>
  </si>
  <si>
    <t>Less customer portion of PCA (assume no balance)</t>
  </si>
  <si>
    <t>Less Green Power Program (offset in revenue)</t>
  </si>
  <si>
    <t>Payroll tax exclusion adjustment</t>
  </si>
  <si>
    <t xml:space="preserve">   Total rate year FERC 557 other power supply expense</t>
  </si>
  <si>
    <t>Test year: January 2018 through December 2018</t>
  </si>
  <si>
    <t>RY:  PKW and RJR</t>
  </si>
  <si>
    <t>Exh. SEF-7 Page 2</t>
  </si>
  <si>
    <t>VARIABLE ENERGY COSTS + 557</t>
  </si>
  <si>
    <t>PURCHASED POWER (555)</t>
  </si>
  <si>
    <t>OTHER POWER EXPENSE (557)</t>
  </si>
  <si>
    <t>BROKERAGE FEES</t>
  </si>
  <si>
    <t>WHEELING  (565)</t>
  </si>
  <si>
    <t>PURCHASES / (SALES) OF NON -CORE GAS (456)</t>
  </si>
  <si>
    <t>CHECK =&gt;</t>
  </si>
  <si>
    <t>OTHER PRODUCTION COSTS</t>
  </si>
  <si>
    <t>Prod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</si>
</sst>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 #,##0"/>
    <numFmt numFmtId="169" formatCode="&quot;$&quot;#,##0.000000_);\(&quot;$&quot;#,##0.000000\)"/>
    <numFmt numFmtId="170" formatCode="&quot;$&quot;#,##0.000_);\(&quot;$&quot;#,##0.000\)"/>
    <numFmt numFmtId="171" formatCode="0_);\(0\)"/>
    <numFmt numFmtId="172" formatCode="&quot;$&quot;#,##0.0000_);\(&quot;$&quot;#,##0.0000\)"/>
    <numFmt numFmtId="173" formatCode="0.0%"/>
    <numFmt numFmtId="174" formatCode="[$-409]mmm\-yy;@"/>
    <numFmt numFmtId="175" formatCode="&quot;$&quot;#,##0.000_);[Red]\(&quot;$&quot;#,##0.000\)"/>
    <numFmt numFmtId="176" formatCode="0.000%"/>
    <numFmt numFmtId="177" formatCode="yyyy"/>
    <numFmt numFmtId="178" formatCode="_(* #,##0.000000000_);_(* \(#,##0.000000000\);_(* &quot;-&quot;??_);_(@_)"/>
    <numFmt numFmtId="179" formatCode="_(* #,##0.0000000_);_(* \(#,##0.0000000\);_(* &quot;-&quot;??_);_(@_)"/>
    <numFmt numFmtId="180" formatCode="0.0"/>
    <numFmt numFmtId="181" formatCode="&quot;$&quot;#,##0;\-&quot;$&quot;#,##0"/>
    <numFmt numFmtId="182" formatCode="#,##0.00_-;#,##0.00\-;&quot; &quot;"/>
    <numFmt numFmtId="183" formatCode="_(* #,##0.000000_);_(* \(#,##0.000000\);_(* &quot;-&quot;??_);_(@_)"/>
    <numFmt numFmtId="184" formatCode="_([$€-2]* #,##0.00_);_([$€-2]* \(#,##0.00\);_([$€-2]* &quot;-&quot;??_)"/>
    <numFmt numFmtId="185" formatCode="0.00_)"/>
    <numFmt numFmtId="186" formatCode="_(* #,##0.00000_);_(* \(#,##0.00000\);_(* &quot;-&quot;??_);_(@_)"/>
    <numFmt numFmtId="187" formatCode="0.0000000"/>
    <numFmt numFmtId="188" formatCode="0000"/>
    <numFmt numFmtId="189" formatCode="000000"/>
    <numFmt numFmtId="190" formatCode="d\.mmm\.yy"/>
    <numFmt numFmtId="191" formatCode="#."/>
    <numFmt numFmtId="192" formatCode="_(* ###0_);_(* \(###0\);_(* &quot;-&quot;_);_(@_)"/>
    <numFmt numFmtId="193" formatCode="_(&quot;$&quot;* #,##0.0_);_(&quot;$&quot;* \(#,##0.0\);_(&quot;$&quot;* &quot;-&quot;??_);_(@_)"/>
    <numFmt numFmtId="194" formatCode="mmmm\ d\,\ yyyy"/>
    <numFmt numFmtId="195" formatCode="_(&quot;$&quot;* #,##0.0000_);_(&quot;$&quot;* \(#,##0.0000\);_(&quot;$&quot;* &quot;-&quot;????_);_(@_)"/>
    <numFmt numFmtId="196" formatCode="_(* #,##0.0_);_(* \(#,##0.0\);_(* &quot;-&quot;_);_(@_)"/>
    <numFmt numFmtId="197" formatCode="&quot;$&quot;#,##0.00"/>
    <numFmt numFmtId="198" formatCode="###,000"/>
  </numFmts>
  <fonts count="2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i/>
      <sz val="11"/>
      <color theme="1"/>
      <name val="Calibri"/>
      <family val="2"/>
      <scheme val="minor"/>
    </font>
    <font>
      <b/>
      <i/>
      <sz val="11"/>
      <color rgb="FFFF0000"/>
      <name val="Calibri"/>
      <family val="2"/>
      <scheme val="minor"/>
    </font>
    <font>
      <sz val="10"/>
      <color theme="1"/>
      <name val="Arial"/>
      <family val="2"/>
    </font>
    <font>
      <sz val="8"/>
      <name val="Helv"/>
    </font>
    <font>
      <b/>
      <sz val="10"/>
      <color rgb="FFFF0000"/>
      <name val="Times New Roman"/>
      <family val="1"/>
    </font>
    <font>
      <sz val="9"/>
      <name val="Geneva"/>
    </font>
    <font>
      <u/>
      <sz val="9"/>
      <name val="Geneva"/>
    </font>
    <font>
      <sz val="11"/>
      <name val="Arial"/>
      <family val="2"/>
    </font>
    <font>
      <i/>
      <sz val="8"/>
      <color rgb="FF0070C0"/>
      <name val="Arial"/>
      <family val="2"/>
    </font>
    <font>
      <b/>
      <sz val="10"/>
      <color indexed="28"/>
      <name val="Arial"/>
      <family val="2"/>
    </font>
    <font>
      <sz val="10"/>
      <name val="Arial"/>
      <family val="2"/>
    </font>
    <font>
      <b/>
      <sz val="12"/>
      <color rgb="FFFF0000"/>
      <name val="Arial"/>
      <family val="2"/>
    </font>
    <font>
      <b/>
      <sz val="14"/>
      <name val="Calibri"/>
      <family val="2"/>
      <scheme val="minor"/>
    </font>
    <font>
      <b/>
      <sz val="16"/>
      <color theme="1"/>
      <name val="Calibri"/>
      <family val="2"/>
      <scheme val="minor"/>
    </font>
    <font>
      <b/>
      <sz val="12"/>
      <name val="Calibri"/>
      <family val="2"/>
      <scheme val="minor"/>
    </font>
    <font>
      <sz val="9"/>
      <name val="Calibri"/>
      <family val="2"/>
      <scheme val="minor"/>
    </font>
    <font>
      <sz val="11"/>
      <color indexed="8"/>
      <name val="Calibri"/>
      <family val="2"/>
      <scheme val="minor"/>
    </font>
    <font>
      <sz val="9"/>
      <color indexed="8"/>
      <name val="Calibri"/>
      <family val="2"/>
      <scheme val="minor"/>
    </font>
    <font>
      <b/>
      <sz val="11"/>
      <color indexed="8"/>
      <name val="Calibri"/>
      <family val="2"/>
      <scheme val="minor"/>
    </font>
    <font>
      <b/>
      <u/>
      <sz val="14"/>
      <color indexed="12"/>
      <name val="Calibri"/>
      <family val="2"/>
      <scheme val="minor"/>
    </font>
    <font>
      <sz val="10"/>
      <color rgb="FF0000FF"/>
      <name val="Arial"/>
      <family val="2"/>
    </font>
    <font>
      <sz val="8"/>
      <color rgb="FFFF0000"/>
      <name val="Arial"/>
      <family val="2"/>
    </font>
    <font>
      <sz val="10"/>
      <name val="Arial"/>
      <family val="2"/>
    </font>
    <font>
      <sz val="8"/>
      <name val="Calibri"/>
      <family val="2"/>
      <scheme val="minor"/>
    </font>
    <font>
      <sz val="12"/>
      <name val="Calibri"/>
      <family val="2"/>
      <scheme val="minor"/>
    </font>
    <font>
      <b/>
      <sz val="12"/>
      <color rgb="FF0000FF"/>
      <name val="Calibri"/>
      <family val="2"/>
      <scheme val="minor"/>
    </font>
    <font>
      <u/>
      <sz val="11"/>
      <color theme="1"/>
      <name val="Calibri"/>
      <family val="2"/>
      <scheme val="minor"/>
    </font>
    <font>
      <u/>
      <sz val="10"/>
      <color indexed="12"/>
      <name val="Arial"/>
      <family val="2"/>
    </font>
    <font>
      <b/>
      <i/>
      <sz val="16"/>
      <name val="Helv"/>
    </font>
    <font>
      <sz val="10"/>
      <color theme="1"/>
      <name val="Calibri"/>
      <family val="2"/>
    </font>
    <font>
      <b/>
      <sz val="12"/>
      <color rgb="FFFF0000"/>
      <name val="Calibri"/>
      <family val="2"/>
      <scheme val="minor"/>
    </font>
    <font>
      <b/>
      <i/>
      <sz val="11"/>
      <color rgb="FF0000FF"/>
      <name val="Calibri"/>
      <family val="2"/>
      <scheme val="minor"/>
    </font>
    <font>
      <b/>
      <i/>
      <sz val="14"/>
      <color rgb="FFFF0000"/>
      <name val="Calibri"/>
      <family val="2"/>
      <scheme val="minor"/>
    </font>
    <font>
      <b/>
      <sz val="10"/>
      <color theme="1"/>
      <name val="Calibri"/>
      <family val="2"/>
    </font>
    <font>
      <sz val="16"/>
      <color theme="1"/>
      <name val="Calibri"/>
      <family val="2"/>
    </font>
    <font>
      <sz val="24"/>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4"/>
      <color theme="1"/>
      <name val="Calibri"/>
      <family val="2"/>
    </font>
    <font>
      <sz val="12"/>
      <name val="Times New Roman"/>
      <family val="1"/>
    </font>
    <font>
      <sz val="8"/>
      <name val="Antique Olive"/>
      <family val="2"/>
    </font>
    <font>
      <sz val="8"/>
      <name val="Geneva"/>
      <family val="2"/>
    </font>
    <font>
      <sz val="9"/>
      <color theme="1"/>
      <name val="Calibri"/>
      <family val="2"/>
    </font>
    <font>
      <sz val="11"/>
      <color indexed="8"/>
      <name val="Calibri"/>
      <family val="2"/>
    </font>
    <font>
      <sz val="12"/>
      <color theme="1"/>
      <name val="Calibri"/>
      <family val="2"/>
      <scheme val="minor"/>
    </font>
    <font>
      <sz val="10"/>
      <color theme="0"/>
      <name val="Calibri"/>
      <family val="2"/>
    </font>
    <font>
      <sz val="11"/>
      <color indexed="9"/>
      <name val="Calibri"/>
      <family val="2"/>
    </font>
    <font>
      <sz val="12"/>
      <color theme="0"/>
      <name val="Calibri"/>
      <family val="2"/>
      <scheme val="minor"/>
    </font>
    <font>
      <sz val="9"/>
      <color theme="0"/>
      <name val="Calibri"/>
      <family val="2"/>
    </font>
    <font>
      <sz val="10"/>
      <color rgb="FF9C0006"/>
      <name val="Calibri"/>
      <family val="2"/>
    </font>
    <font>
      <sz val="11"/>
      <color indexed="20"/>
      <name val="Calibri"/>
      <family val="2"/>
    </font>
    <font>
      <sz val="12"/>
      <color rgb="FF9C0006"/>
      <name val="Calibri"/>
      <family val="2"/>
      <scheme val="minor"/>
    </font>
    <font>
      <sz val="9"/>
      <color rgb="FF9C0006"/>
      <name val="Calibri"/>
      <family val="2"/>
    </font>
    <font>
      <sz val="10"/>
      <color indexed="8"/>
      <name val="MS Sans Serif"/>
      <family val="2"/>
    </font>
    <font>
      <b/>
      <sz val="10"/>
      <color rgb="FFFA7D00"/>
      <name val="Calibri"/>
      <family val="2"/>
    </font>
    <font>
      <b/>
      <sz val="11"/>
      <color indexed="10"/>
      <name val="Calibri"/>
      <family val="2"/>
    </font>
    <font>
      <b/>
      <sz val="12"/>
      <color rgb="FFFA7D00"/>
      <name val="Calibri"/>
      <family val="2"/>
      <scheme val="minor"/>
    </font>
    <font>
      <b/>
      <sz val="9"/>
      <color rgb="FFFA7D00"/>
      <name val="Calibri"/>
      <family val="2"/>
    </font>
    <font>
      <b/>
      <sz val="11"/>
      <color indexed="52"/>
      <name val="Calibri"/>
      <family val="2"/>
    </font>
    <font>
      <b/>
      <sz val="10"/>
      <color theme="0"/>
      <name val="Calibri"/>
      <family val="2"/>
    </font>
    <font>
      <b/>
      <sz val="11"/>
      <color indexed="9"/>
      <name val="Calibri"/>
      <family val="2"/>
    </font>
    <font>
      <b/>
      <sz val="12"/>
      <color theme="0"/>
      <name val="Calibri"/>
      <family val="2"/>
      <scheme val="minor"/>
    </font>
    <font>
      <b/>
      <sz val="9"/>
      <color theme="0"/>
      <name val="Calibri"/>
      <family val="2"/>
    </font>
    <font>
      <sz val="10"/>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b/>
      <sz val="11"/>
      <color indexed="8"/>
      <name val="Calibri"/>
      <family val="2"/>
    </font>
    <font>
      <i/>
      <sz val="10"/>
      <color rgb="FF7F7F7F"/>
      <name val="Calibri"/>
      <family val="2"/>
    </font>
    <font>
      <i/>
      <sz val="11"/>
      <color indexed="23"/>
      <name val="Calibri"/>
      <family val="2"/>
    </font>
    <font>
      <i/>
      <sz val="12"/>
      <color rgb="FF7F7F7F"/>
      <name val="Calibri"/>
      <family val="2"/>
      <scheme val="minor"/>
    </font>
    <font>
      <i/>
      <sz val="9"/>
      <color rgb="FF7F7F7F"/>
      <name val="Calibri"/>
      <family val="2"/>
    </font>
    <font>
      <sz val="10"/>
      <color rgb="FF006100"/>
      <name val="Calibri"/>
      <family val="2"/>
    </font>
    <font>
      <sz val="11"/>
      <color indexed="17"/>
      <name val="Calibri"/>
      <family val="2"/>
    </font>
    <font>
      <sz val="12"/>
      <color rgb="FF006100"/>
      <name val="Calibri"/>
      <family val="2"/>
      <scheme val="minor"/>
    </font>
    <font>
      <sz val="9"/>
      <color rgb="FF006100"/>
      <name val="Calibri"/>
      <family val="2"/>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sz val="11"/>
      <color indexed="62"/>
      <name val="Calibri"/>
      <family val="2"/>
    </font>
    <font>
      <sz val="9"/>
      <color rgb="FF3F3F76"/>
      <name val="Calibri"/>
      <family val="2"/>
    </font>
    <font>
      <sz val="12"/>
      <color rgb="FF3F3F76"/>
      <name val="Calibri"/>
      <family val="2"/>
      <scheme val="minor"/>
    </font>
    <font>
      <sz val="10"/>
      <color rgb="FF3F3F76"/>
      <name val="Calibri"/>
      <family val="2"/>
    </font>
    <font>
      <b/>
      <sz val="12"/>
      <color indexed="20"/>
      <name val="Arial"/>
      <family val="2"/>
    </font>
    <font>
      <sz val="10"/>
      <color rgb="FFFA7D00"/>
      <name val="Calibri"/>
      <family val="2"/>
    </font>
    <font>
      <sz val="11"/>
      <color indexed="10"/>
      <name val="Calibri"/>
      <family val="2"/>
    </font>
    <font>
      <sz val="12"/>
      <color rgb="FFFA7D00"/>
      <name val="Calibri"/>
      <family val="2"/>
      <scheme val="minor"/>
    </font>
    <font>
      <sz val="9"/>
      <color rgb="FFFA7D00"/>
      <name val="Calibri"/>
      <family val="2"/>
    </font>
    <font>
      <sz val="11"/>
      <color indexed="52"/>
      <name val="Calibri"/>
      <family val="2"/>
    </font>
    <font>
      <sz val="10"/>
      <color rgb="FF9C6500"/>
      <name val="Calibri"/>
      <family val="2"/>
    </font>
    <font>
      <sz val="11"/>
      <color indexed="19"/>
      <name val="Calibri"/>
      <family val="2"/>
    </font>
    <font>
      <sz val="12"/>
      <color rgb="FF9C6500"/>
      <name val="Calibri"/>
      <family val="2"/>
      <scheme val="minor"/>
    </font>
    <font>
      <sz val="9"/>
      <color rgb="FF9C6500"/>
      <name val="Calibri"/>
      <family val="2"/>
    </font>
    <font>
      <sz val="11"/>
      <color indexed="60"/>
      <name val="Calibri"/>
      <family val="2"/>
    </font>
    <font>
      <sz val="7"/>
      <name val="Small Fonts"/>
      <family val="2"/>
    </font>
    <font>
      <sz val="10"/>
      <color rgb="FF000000"/>
      <name val="Arial"/>
      <family val="2"/>
    </font>
    <font>
      <sz val="11"/>
      <color rgb="FF000000"/>
      <name val="Calibri"/>
      <family val="2"/>
      <scheme val="minor"/>
    </font>
    <font>
      <b/>
      <sz val="10"/>
      <color rgb="FF3F3F3F"/>
      <name val="Calibri"/>
      <family val="2"/>
    </font>
    <font>
      <b/>
      <sz val="11"/>
      <color indexed="63"/>
      <name val="Calibri"/>
      <family val="2"/>
    </font>
    <font>
      <b/>
      <sz val="12"/>
      <color rgb="FF3F3F3F"/>
      <name val="Calibri"/>
      <family val="2"/>
      <scheme val="minor"/>
    </font>
    <font>
      <b/>
      <sz val="9"/>
      <color rgb="FF3F3F3F"/>
      <name val="Calibri"/>
      <family val="2"/>
    </font>
    <font>
      <sz val="10"/>
      <color indexed="8"/>
      <name val="Arial"/>
      <family val="2"/>
    </font>
    <font>
      <b/>
      <sz val="10"/>
      <name val="MS Sans Serif"/>
      <family val="2"/>
    </font>
    <font>
      <sz val="12"/>
      <color indexed="10"/>
      <name val="Arial"/>
      <family val="2"/>
    </font>
    <font>
      <sz val="12"/>
      <color indexed="10"/>
      <name val="Times"/>
      <family val="1"/>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8"/>
      <color indexed="8"/>
      <name val="Helv"/>
    </font>
    <font>
      <b/>
      <sz val="8"/>
      <name val="Times New Roman"/>
      <family val="1"/>
    </font>
    <font>
      <b/>
      <sz val="18"/>
      <color indexed="56"/>
      <name val="Cambria"/>
      <family val="2"/>
    </font>
    <font>
      <b/>
      <sz val="12"/>
      <color indexed="56"/>
      <name val="Arial"/>
      <family val="2"/>
    </font>
    <font>
      <b/>
      <sz val="14"/>
      <color indexed="56"/>
      <name val="Arial"/>
      <family val="2"/>
    </font>
    <font>
      <b/>
      <sz val="12"/>
      <color theme="1"/>
      <name val="Calibri"/>
      <family val="2"/>
      <scheme val="minor"/>
    </font>
    <font>
      <b/>
      <sz val="9"/>
      <color theme="1"/>
      <name val="Calibri"/>
      <family val="2"/>
    </font>
    <font>
      <sz val="10"/>
      <color rgb="FFFF0000"/>
      <name val="Calibri"/>
      <family val="2"/>
    </font>
    <font>
      <sz val="12"/>
      <color rgb="FFFF0000"/>
      <name val="Calibri"/>
      <family val="2"/>
      <scheme val="minor"/>
    </font>
    <font>
      <sz val="9"/>
      <color rgb="FFFF0000"/>
      <name val="Calibri"/>
      <family val="2"/>
    </font>
    <font>
      <sz val="7"/>
      <color rgb="FFFF0000"/>
      <name val="Arial"/>
      <family val="2"/>
    </font>
    <font>
      <b/>
      <sz val="10"/>
      <color indexed="8"/>
      <name val="Calibri"/>
      <family val="2"/>
      <scheme val="minor"/>
    </font>
    <font>
      <u/>
      <sz val="9"/>
      <name val="Calibri"/>
      <family val="2"/>
      <scheme val="minor"/>
    </font>
    <font>
      <u/>
      <sz val="10"/>
      <name val="Calibri"/>
      <family val="2"/>
      <scheme val="minor"/>
    </font>
    <font>
      <i/>
      <sz val="10"/>
      <name val="Calibri"/>
      <family val="2"/>
      <scheme val="minor"/>
    </font>
    <font>
      <sz val="11"/>
      <color theme="0"/>
      <name val="Times New Roman"/>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Arial"/>
      <family val="2"/>
    </font>
    <font>
      <sz val="14"/>
      <name val="Times New Roman"/>
      <family val="1"/>
    </font>
    <font>
      <b/>
      <sz val="10"/>
      <name val="Times New Roman"/>
      <family val="1"/>
    </font>
    <font>
      <sz val="11"/>
      <name val="Times New Roman"/>
      <family val="1"/>
    </font>
    <font>
      <sz val="10"/>
      <color rgb="FF0000FF"/>
      <name val="Times New Roman"/>
      <family val="1"/>
    </font>
    <font>
      <sz val="10"/>
      <color rgb="FFFF0000"/>
      <name val="Times New Roman"/>
      <family val="1"/>
    </font>
  </fonts>
  <fills count="11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rgb="FFCCFF33"/>
        <bgColor indexed="64"/>
      </patternFill>
    </fill>
  </fills>
  <borders count="103">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8"/>
      </top>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15131">
    <xf numFmtId="164" fontId="0" fillId="0" borderId="0">
      <alignment horizontal="left" wrapText="1"/>
    </xf>
    <xf numFmtId="43" fontId="87"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38" fontId="17" fillId="8" borderId="0" applyNumberFormat="0" applyBorder="0" applyAlignment="0" applyProtection="0"/>
    <xf numFmtId="0" fontId="92" fillId="0" borderId="0" applyNumberFormat="0" applyFill="0" applyBorder="0" applyAlignment="0" applyProtection="0">
      <alignment vertical="top"/>
      <protection locked="0"/>
    </xf>
    <xf numFmtId="10" fontId="17" fillId="9" borderId="54" applyNumberFormat="0" applyBorder="0" applyAlignment="0" applyProtection="0"/>
    <xf numFmtId="185" fontId="93" fillId="0" borderId="0"/>
    <xf numFmtId="0" fontId="12" fillId="0" borderId="0"/>
    <xf numFmtId="0" fontId="12" fillId="0" borderId="0"/>
    <xf numFmtId="0" fontId="94" fillId="0" borderId="0"/>
    <xf numFmtId="10" fontId="12" fillId="0" borderId="0" applyFont="0" applyFill="0" applyBorder="0" applyAlignment="0" applyProtection="0"/>
    <xf numFmtId="9" fontId="3" fillId="0" borderId="0" applyFont="0" applyFill="0" applyBorder="0" applyAlignment="0" applyProtection="0"/>
    <xf numFmtId="43" fontId="94" fillId="0" borderId="0" applyFont="0" applyFill="0" applyBorder="0" applyAlignment="0" applyProtection="0"/>
    <xf numFmtId="0" fontId="94" fillId="0" borderId="0"/>
    <xf numFmtId="164" fontId="12" fillId="0" borderId="0">
      <alignment horizontal="left" wrapText="1"/>
    </xf>
    <xf numFmtId="186" fontId="12" fillId="0" borderId="0">
      <alignment horizontal="left" wrapText="1"/>
    </xf>
    <xf numFmtId="187"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6" fontId="12" fillId="0" borderId="0">
      <alignment horizontal="left" wrapText="1"/>
    </xf>
    <xf numFmtId="164"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8" fontId="117" fillId="0" borderId="0">
      <alignment horizontal="left"/>
    </xf>
    <xf numFmtId="189" fontId="118" fillId="0" borderId="0">
      <alignment horizontal="left"/>
    </xf>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94"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94"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94"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94"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121" fillId="37" borderId="0" applyNumberFormat="0" applyBorder="0" applyAlignment="0" applyProtection="0"/>
    <xf numFmtId="0" fontId="2" fillId="37" borderId="0" applyNumberFormat="0" applyBorder="0" applyAlignment="0" applyProtection="0"/>
    <xf numFmtId="0" fontId="121"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94"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94"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20" fillId="47" borderId="0" applyNumberFormat="0" applyBorder="0" applyAlignment="0" applyProtection="0"/>
    <xf numFmtId="0" fontId="121" fillId="26" borderId="0" applyNumberFormat="0" applyBorder="0" applyAlignment="0" applyProtection="0"/>
    <xf numFmtId="0" fontId="2" fillId="26" borderId="0" applyNumberFormat="0" applyBorder="0" applyAlignment="0" applyProtection="0"/>
    <xf numFmtId="0" fontId="121"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94"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94"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94"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94"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3" fillId="52"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23" borderId="0" applyNumberFormat="0" applyBorder="0" applyAlignment="0" applyProtection="0"/>
    <xf numFmtId="0" fontId="125" fillId="23" borderId="0" applyNumberFormat="0" applyBorder="0" applyAlignment="0" applyProtection="0"/>
    <xf numFmtId="0" fontId="125"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3" fillId="56"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5" fillId="23" borderId="0" applyNumberFormat="0" applyBorder="0" applyAlignment="0" applyProtection="0"/>
    <xf numFmtId="0" fontId="123" fillId="52"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3" fillId="5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7" borderId="0" applyNumberFormat="0" applyBorder="0" applyAlignment="0" applyProtection="0"/>
    <xf numFmtId="0" fontId="125" fillId="27" borderId="0" applyNumberFormat="0" applyBorder="0" applyAlignment="0" applyProtection="0"/>
    <xf numFmtId="0" fontId="125"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3" fillId="4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5" fillId="27" borderId="0" applyNumberFormat="0" applyBorder="0" applyAlignment="0" applyProtection="0"/>
    <xf numFmtId="0" fontId="123" fillId="57"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3" fillId="55"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31" borderId="0" applyNumberFormat="0" applyBorder="0" applyAlignment="0" applyProtection="0"/>
    <xf numFmtId="0" fontId="125" fillId="31" borderId="0" applyNumberFormat="0" applyBorder="0" applyAlignment="0" applyProtection="0"/>
    <xf numFmtId="0" fontId="125"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3" fillId="53"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5" fillId="31" borderId="0" applyNumberFormat="0" applyBorder="0" applyAlignment="0" applyProtection="0"/>
    <xf numFmtId="0" fontId="123" fillId="5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3" fillId="46"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46" borderId="0" applyNumberFormat="0" applyBorder="0" applyAlignment="0" applyProtection="0"/>
    <xf numFmtId="0" fontId="114"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3" fillId="58"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5" borderId="0" applyNumberFormat="0" applyBorder="0" applyAlignment="0" applyProtection="0"/>
    <xf numFmtId="0" fontId="123" fillId="46"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3" fillId="52"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39" borderId="0" applyNumberFormat="0" applyBorder="0" applyAlignment="0" applyProtection="0"/>
    <xf numFmtId="0" fontId="125" fillId="39" borderId="0" applyNumberFormat="0" applyBorder="0" applyAlignment="0" applyProtection="0"/>
    <xf numFmtId="0" fontId="125"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3" fillId="59"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5" fillId="39" borderId="0" applyNumberFormat="0" applyBorder="0" applyAlignment="0" applyProtection="0"/>
    <xf numFmtId="0" fontId="123" fillId="52"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3" fillId="47"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14"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3" fillId="60"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5" fillId="43" borderId="0" applyNumberFormat="0" applyBorder="0" applyAlignment="0" applyProtection="0"/>
    <xf numFmtId="0" fontId="123" fillId="47"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3"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3" fillId="64"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14"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3" fillId="65"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5" fillId="20" borderId="0" applyNumberFormat="0" applyBorder="0" applyAlignment="0" applyProtection="0"/>
    <xf numFmtId="0" fontId="123" fillId="64" borderId="0" applyNumberFormat="0" applyBorder="0" applyAlignment="0" applyProtection="0"/>
    <xf numFmtId="0" fontId="120" fillId="66" borderId="0" applyNumberFormat="0" applyBorder="0" applyAlignment="0" applyProtection="0"/>
    <xf numFmtId="0" fontId="120" fillId="67" borderId="0" applyNumberFormat="0" applyBorder="0" applyAlignment="0" applyProtection="0"/>
    <xf numFmtId="0" fontId="123" fillId="68"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3" fillId="57"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4" borderId="0" applyNumberFormat="0" applyBorder="0" applyAlignment="0" applyProtection="0"/>
    <xf numFmtId="0" fontId="125" fillId="24" borderId="0" applyNumberFormat="0" applyBorder="0" applyAlignment="0" applyProtection="0"/>
    <xf numFmtId="0" fontId="125" fillId="24" borderId="0" applyNumberFormat="0" applyBorder="0" applyAlignment="0" applyProtection="0"/>
    <xf numFmtId="0" fontId="114" fillId="24" borderId="0" applyNumberFormat="0" applyBorder="0" applyAlignment="0" applyProtection="0"/>
    <xf numFmtId="0" fontId="114" fillId="24"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3" fillId="69"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5" fillId="24" borderId="0" applyNumberFormat="0" applyBorder="0" applyAlignment="0" applyProtection="0"/>
    <xf numFmtId="0" fontId="123" fillId="57" borderId="0" applyNumberFormat="0" applyBorder="0" applyAlignment="0" applyProtection="0"/>
    <xf numFmtId="0" fontId="120" fillId="70" borderId="0" applyNumberFormat="0" applyBorder="0" applyAlignment="0" applyProtection="0"/>
    <xf numFmtId="0" fontId="120" fillId="71" borderId="0" applyNumberFormat="0" applyBorder="0" applyAlignment="0" applyProtection="0"/>
    <xf numFmtId="0" fontId="123" fillId="72"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3" fillId="55"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28" borderId="0" applyNumberFormat="0" applyBorder="0" applyAlignment="0" applyProtection="0"/>
    <xf numFmtId="0" fontId="125" fillId="28" borderId="0" applyNumberFormat="0" applyBorder="0" applyAlignment="0" applyProtection="0"/>
    <xf numFmtId="0" fontId="125" fillId="28" borderId="0" applyNumberFormat="0" applyBorder="0" applyAlignment="0" applyProtection="0"/>
    <xf numFmtId="0" fontId="114" fillId="28" borderId="0" applyNumberFormat="0" applyBorder="0" applyAlignment="0" applyProtection="0"/>
    <xf numFmtId="0" fontId="114" fillId="28"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3" fillId="73"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5" fillId="28" borderId="0" applyNumberFormat="0" applyBorder="0" applyAlignment="0" applyProtection="0"/>
    <xf numFmtId="0" fontId="123" fillId="55"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3" fillId="7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3" fillId="74"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114" fillId="32" borderId="0" applyNumberFormat="0" applyBorder="0" applyAlignment="0" applyProtection="0"/>
    <xf numFmtId="0" fontId="125" fillId="32" borderId="0" applyNumberFormat="0" applyBorder="0" applyAlignment="0" applyProtection="0"/>
    <xf numFmtId="0" fontId="125"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3" fillId="58"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2" borderId="0" applyNumberFormat="0" applyBorder="0" applyAlignment="0" applyProtection="0"/>
    <xf numFmtId="0" fontId="123" fillId="74"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2"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23" fillId="59"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3" fillId="59" borderId="0" applyNumberFormat="0" applyBorder="0" applyAlignment="0" applyProtection="0"/>
    <xf numFmtId="0" fontId="122" fillId="36" borderId="0" applyNumberFormat="0" applyBorder="0" applyAlignment="0" applyProtection="0"/>
    <xf numFmtId="0" fontId="122"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25" fillId="36" borderId="0" applyNumberFormat="0" applyBorder="0" applyAlignment="0" applyProtection="0"/>
    <xf numFmtId="0" fontId="120" fillId="75" borderId="0" applyNumberFormat="0" applyBorder="0" applyAlignment="0" applyProtection="0"/>
    <xf numFmtId="0" fontId="120" fillId="67" borderId="0" applyNumberFormat="0" applyBorder="0" applyAlignment="0" applyProtection="0"/>
    <xf numFmtId="0" fontId="123" fillId="76"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3" fillId="69"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14" fillId="40" borderId="0" applyNumberFormat="0" applyBorder="0" applyAlignment="0" applyProtection="0"/>
    <xf numFmtId="0" fontId="125" fillId="40" borderId="0" applyNumberFormat="0" applyBorder="0" applyAlignment="0" applyProtection="0"/>
    <xf numFmtId="0" fontId="125"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3" fillId="57"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5" fillId="40" borderId="0" applyNumberFormat="0" applyBorder="0" applyAlignment="0" applyProtection="0"/>
    <xf numFmtId="0" fontId="123" fillId="69"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7" fillId="50"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06"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7" fillId="46"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9" fillId="14" borderId="0" applyNumberFormat="0" applyBorder="0" applyAlignment="0" applyProtection="0"/>
    <xf numFmtId="0" fontId="127" fillId="50" borderId="0" applyNumberFormat="0" applyBorder="0" applyAlignment="0" applyProtection="0"/>
    <xf numFmtId="0" fontId="118" fillId="0" borderId="0" applyFont="0" applyFill="0" applyBorder="0" applyAlignment="0" applyProtection="0">
      <alignment horizontal="right"/>
    </xf>
    <xf numFmtId="190" fontId="130" fillId="0" borderId="0" applyFill="0" applyBorder="0" applyAlignment="0"/>
    <xf numFmtId="0" fontId="131" fillId="17" borderId="70" applyNumberFormat="0" applyAlignment="0" applyProtection="0"/>
    <xf numFmtId="0" fontId="110" fillId="17" borderId="70" applyNumberFormat="0" applyAlignment="0" applyProtection="0"/>
    <xf numFmtId="0" fontId="131" fillId="17" borderId="70" applyNumberFormat="0" applyAlignment="0" applyProtection="0"/>
    <xf numFmtId="0" fontId="110" fillId="17" borderId="70" applyNumberFormat="0" applyAlignment="0" applyProtection="0"/>
    <xf numFmtId="0" fontId="132" fillId="77" borderId="76" applyNumberFormat="0" applyAlignment="0" applyProtection="0"/>
    <xf numFmtId="0" fontId="131" fillId="17" borderId="70" applyNumberFormat="0" applyAlignment="0" applyProtection="0"/>
    <xf numFmtId="0" fontId="131"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2" fillId="77" borderId="76" applyNumberFormat="0" applyAlignment="0" applyProtection="0"/>
    <xf numFmtId="0" fontId="110" fillId="17" borderId="70" applyNumberFormat="0" applyAlignment="0" applyProtection="0"/>
    <xf numFmtId="0" fontId="134" fillId="17" borderId="70" applyNumberFormat="0" applyAlignment="0" applyProtection="0"/>
    <xf numFmtId="0" fontId="134" fillId="17" borderId="70" applyNumberFormat="0" applyAlignment="0" applyProtection="0"/>
    <xf numFmtId="0" fontId="110" fillId="17" borderId="70" applyNumberFormat="0" applyAlignment="0" applyProtection="0"/>
    <xf numFmtId="0" fontId="110" fillId="17" borderId="70" applyNumberFormat="0" applyAlignment="0" applyProtection="0"/>
    <xf numFmtId="0" fontId="135" fillId="78" borderId="76" applyNumberFormat="0" applyAlignment="0" applyProtection="0"/>
    <xf numFmtId="0" fontId="135" fillId="78" borderId="76" applyNumberFormat="0" applyAlignment="0" applyProtection="0"/>
    <xf numFmtId="0" fontId="133" fillId="17" borderId="70" applyNumberFormat="0" applyAlignment="0" applyProtection="0"/>
    <xf numFmtId="0" fontId="133" fillId="17" borderId="70" applyNumberFormat="0" applyAlignment="0" applyProtection="0"/>
    <xf numFmtId="0" fontId="135" fillId="78" borderId="76" applyNumberFormat="0" applyAlignment="0" applyProtection="0"/>
    <xf numFmtId="0" fontId="131"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5" fillId="78" borderId="76" applyNumberFormat="0" applyAlignment="0" applyProtection="0"/>
    <xf numFmtId="0" fontId="135" fillId="78" borderId="76" applyNumberFormat="0" applyAlignment="0" applyProtection="0"/>
    <xf numFmtId="0" fontId="134" fillId="17" borderId="70" applyNumberFormat="0" applyAlignment="0" applyProtection="0"/>
    <xf numFmtId="0" fontId="132" fillId="77" borderId="76"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37" fillId="79" borderId="77" applyNumberFormat="0" applyAlignment="0" applyProtection="0"/>
    <xf numFmtId="0" fontId="138" fillId="18" borderId="73" applyNumberFormat="0" applyAlignment="0" applyProtection="0"/>
    <xf numFmtId="0" fontId="138"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12" fillId="18" borderId="73" applyNumberFormat="0" applyAlignment="0" applyProtection="0"/>
    <xf numFmtId="0" fontId="112"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8" fillId="18" borderId="73" applyNumberFormat="0" applyAlignment="0" applyProtection="0"/>
    <xf numFmtId="0" fontId="138" fillId="18" borderId="73" applyNumberFormat="0" applyAlignment="0" applyProtection="0"/>
    <xf numFmtId="0" fontId="137" fillId="79" borderId="77" applyNumberFormat="0" applyAlignment="0" applyProtection="0"/>
    <xf numFmtId="0" fontId="136" fillId="18" borderId="73" applyNumberFormat="0" applyAlignment="0" applyProtection="0"/>
    <xf numFmtId="0" fontId="136"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39" fillId="18" borderId="73" applyNumberFormat="0" applyAlignment="0" applyProtection="0"/>
    <xf numFmtId="41" fontId="12" fillId="8"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0"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41" fillId="0" borderId="0" applyFont="0" applyFill="0" applyBorder="0" applyAlignment="0" applyProtection="0"/>
    <xf numFmtId="0" fontId="142" fillId="0" borderId="0"/>
    <xf numFmtId="0" fontId="142" fillId="0" borderId="0"/>
    <xf numFmtId="0" fontId="143" fillId="0" borderId="0"/>
    <xf numFmtId="191" fontId="144" fillId="0" borderId="0">
      <protection locked="0"/>
    </xf>
    <xf numFmtId="0" fontId="143" fillId="0" borderId="0"/>
    <xf numFmtId="0" fontId="145" fillId="0" borderId="0" applyNumberFormat="0" applyAlignment="0">
      <alignment horizontal="left"/>
    </xf>
    <xf numFmtId="0" fontId="146" fillId="0" borderId="0" applyNumberFormat="0" applyAlignment="0"/>
    <xf numFmtId="0" fontId="142" fillId="0" borderId="0"/>
    <xf numFmtId="0" fontId="143" fillId="0" borderId="0"/>
    <xf numFmtId="0" fontId="142" fillId="0" borderId="0"/>
    <xf numFmtId="0" fontId="143" fillId="0" borderId="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2" fontId="12" fillId="0" borderId="0" applyFont="0" applyFill="0" applyBorder="0" applyAlignment="0" applyProtection="0"/>
    <xf numFmtId="0" fontId="141" fillId="0" borderId="0" applyFont="0" applyFill="0" applyBorder="0" applyAlignment="0" applyProtection="0"/>
    <xf numFmtId="0" fontId="147" fillId="80" borderId="0" applyNumberFormat="0" applyBorder="0" applyAlignment="0" applyProtection="0"/>
    <xf numFmtId="0" fontId="147" fillId="81" borderId="0" applyNumberFormat="0" applyBorder="0" applyAlignment="0" applyProtection="0"/>
    <xf numFmtId="0" fontId="147" fillId="82" borderId="0" applyNumberFormat="0" applyBorder="0" applyAlignment="0" applyProtection="0"/>
    <xf numFmtId="164" fontId="12" fillId="0" borderId="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2" fontId="141" fillId="0" borderId="0" applyFont="0" applyFill="0" applyBorder="0" applyAlignment="0" applyProtection="0"/>
    <xf numFmtId="0" fontId="142" fillId="0" borderId="0"/>
    <xf numFmtId="0" fontId="152" fillId="13" borderId="0" applyNumberFormat="0" applyBorder="0" applyAlignment="0" applyProtection="0"/>
    <xf numFmtId="0" fontId="105" fillId="13" borderId="0" applyNumberFormat="0" applyBorder="0" applyAlignment="0" applyProtection="0"/>
    <xf numFmtId="0" fontId="152" fillId="13" borderId="0" applyNumberFormat="0" applyBorder="0" applyAlignment="0" applyProtection="0"/>
    <xf numFmtId="0" fontId="105" fillId="13" borderId="0" applyNumberFormat="0" applyBorder="0" applyAlignment="0" applyProtection="0"/>
    <xf numFmtId="0" fontId="153" fillId="52"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0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3" fillId="48"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5" fillId="13" borderId="0" applyNumberFormat="0" applyBorder="0" applyAlignment="0" applyProtection="0"/>
    <xf numFmtId="0" fontId="153" fillId="52" borderId="0" applyNumberFormat="0" applyBorder="0" applyAlignment="0" applyProtection="0"/>
    <xf numFmtId="38" fontId="17" fillId="8" borderId="0" applyNumberFormat="0" applyBorder="0" applyAlignment="0" applyProtection="0"/>
    <xf numFmtId="38" fontId="17" fillId="8" borderId="0" applyNumberFormat="0" applyBorder="0" applyAlignment="0" applyProtection="0"/>
    <xf numFmtId="193" fontId="15" fillId="0" borderId="0" applyNumberFormat="0" applyFill="0" applyBorder="0" applyProtection="0">
      <alignment horizontal="right"/>
    </xf>
    <xf numFmtId="0" fontId="11" fillId="0" borderId="45" applyNumberFormat="0" applyAlignment="0" applyProtection="0">
      <alignment horizontal="left"/>
    </xf>
    <xf numFmtId="0" fontId="11" fillId="0" borderId="3">
      <alignment horizontal="left"/>
    </xf>
    <xf numFmtId="14" fontId="13" fillId="83" borderId="52">
      <alignment horizontal="center" vertical="center" wrapText="1"/>
    </xf>
    <xf numFmtId="0" fontId="102" fillId="0" borderId="67" applyNumberFormat="0" applyFill="0" applyAlignment="0" applyProtection="0"/>
    <xf numFmtId="0" fontId="102" fillId="0" borderId="67"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6" fillId="0" borderId="78"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6" fillId="0" borderId="78" applyNumberFormat="0" applyFill="0" applyAlignment="0" applyProtection="0"/>
    <xf numFmtId="0" fontId="158" fillId="0" borderId="67"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59" fillId="0" borderId="80"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59" fillId="0" borderId="80" applyNumberFormat="0" applyFill="0" applyAlignment="0" applyProtection="0"/>
    <xf numFmtId="0" fontId="161" fillId="0" borderId="68"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0" borderId="0" applyNumberFormat="0" applyFill="0" applyBorder="0" applyAlignment="0" applyProtection="0"/>
    <xf numFmtId="0" fontId="164" fillId="0" borderId="0" applyNumberFormat="0" applyFill="0" applyBorder="0" applyAlignment="0" applyProtection="0"/>
    <xf numFmtId="38" fontId="47" fillId="0" borderId="0"/>
    <xf numFmtId="40" fontId="47" fillId="0" borderId="0"/>
    <xf numFmtId="10" fontId="17" fillId="9" borderId="54" applyNumberFormat="0" applyBorder="0" applyAlignment="0" applyProtection="0"/>
    <xf numFmtId="10" fontId="17" fillId="9" borderId="54" applyNumberFormat="0" applyBorder="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8"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5" fillId="51" borderId="76" applyNumberFormat="0" applyAlignment="0" applyProtection="0"/>
    <xf numFmtId="0" fontId="165" fillId="51" borderId="76" applyNumberFormat="0" applyAlignment="0" applyProtection="0"/>
    <xf numFmtId="0" fontId="167" fillId="16" borderId="70" applyNumberFormat="0" applyAlignment="0" applyProtection="0"/>
    <xf numFmtId="0" fontId="108"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1" borderId="76"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41" fontId="14" fillId="84" borderId="84">
      <alignment horizontal="left"/>
      <protection locked="0"/>
    </xf>
    <xf numFmtId="10" fontId="14" fillId="84" borderId="84">
      <alignment horizontal="right"/>
      <protection locked="0"/>
    </xf>
    <xf numFmtId="41" fontId="14" fillId="84" borderId="84">
      <alignment horizontal="left"/>
      <protection locked="0"/>
    </xf>
    <xf numFmtId="0" fontId="17" fillId="8" borderId="0"/>
    <xf numFmtId="3" fontId="169" fillId="0" borderId="0" applyFill="0" applyBorder="0" applyAlignment="0" applyProtection="0"/>
    <xf numFmtId="0" fontId="170" fillId="0" borderId="72" applyNumberFormat="0" applyFill="0" applyAlignment="0" applyProtection="0"/>
    <xf numFmtId="0" fontId="111" fillId="0" borderId="72" applyNumberFormat="0" applyFill="0" applyAlignment="0" applyProtection="0"/>
    <xf numFmtId="0" fontId="170" fillId="0" borderId="72" applyNumberFormat="0" applyFill="0" applyAlignment="0" applyProtection="0"/>
    <xf numFmtId="0" fontId="111" fillId="0" borderId="72" applyNumberFormat="0" applyFill="0" applyAlignment="0" applyProtection="0"/>
    <xf numFmtId="0" fontId="171" fillId="0" borderId="85"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1" fillId="0" borderId="85" applyNumberFormat="0" applyFill="0" applyAlignment="0" applyProtection="0"/>
    <xf numFmtId="0" fontId="111" fillId="0" borderId="72" applyNumberFormat="0" applyFill="0" applyAlignment="0" applyProtection="0"/>
    <xf numFmtId="0" fontId="173" fillId="0" borderId="72" applyNumberFormat="0" applyFill="0" applyAlignment="0" applyProtection="0"/>
    <xf numFmtId="0" fontId="173" fillId="0" borderId="72" applyNumberFormat="0" applyFill="0" applyAlignment="0" applyProtection="0"/>
    <xf numFmtId="0" fontId="111" fillId="0" borderId="72" applyNumberFormat="0" applyFill="0" applyAlignment="0" applyProtection="0"/>
    <xf numFmtId="0" fontId="111" fillId="0" borderId="72"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4" fillId="0" borderId="86"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3" fillId="0" borderId="72" applyNumberFormat="0" applyFill="0" applyAlignment="0" applyProtection="0"/>
    <xf numFmtId="0" fontId="171" fillId="0" borderId="85" applyNumberFormat="0" applyFill="0" applyAlignment="0" applyProtection="0"/>
    <xf numFmtId="44" fontId="13" fillId="0" borderId="87" applyNumberFormat="0" applyFont="0" applyAlignment="0">
      <alignment horizontal="center"/>
    </xf>
    <xf numFmtId="44" fontId="13" fillId="0" borderId="88" applyNumberFormat="0" applyFont="0" applyAlignment="0">
      <alignment horizontal="center"/>
    </xf>
    <xf numFmtId="0" fontId="175" fillId="15" borderId="0" applyNumberFormat="0" applyBorder="0" applyAlignment="0" applyProtection="0"/>
    <xf numFmtId="0" fontId="107" fillId="15" borderId="0" applyNumberFormat="0" applyBorder="0" applyAlignment="0" applyProtection="0"/>
    <xf numFmtId="0" fontId="175" fillId="15" borderId="0" applyNumberFormat="0" applyBorder="0" applyAlignment="0" applyProtection="0"/>
    <xf numFmtId="0" fontId="107" fillId="15" borderId="0" applyNumberFormat="0" applyBorder="0" applyAlignment="0" applyProtection="0"/>
    <xf numFmtId="0" fontId="176"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07"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9"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8" fillId="15" borderId="0" applyNumberFormat="0" applyBorder="0" applyAlignment="0" applyProtection="0"/>
    <xf numFmtId="0" fontId="176" fillId="54" borderId="0" applyNumberFormat="0" applyBorder="0" applyAlignment="0" applyProtection="0"/>
    <xf numFmtId="37" fontId="18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119" fillId="0" borderId="0"/>
    <xf numFmtId="0" fontId="2" fillId="0" borderId="0"/>
    <xf numFmtId="0" fontId="2" fillId="0" borderId="0"/>
    <xf numFmtId="0" fontId="2" fillId="0" borderId="0"/>
    <xf numFmtId="0" fontId="119"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2" fillId="0" borderId="0"/>
    <xf numFmtId="0" fontId="2"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2" fillId="0" borderId="0"/>
    <xf numFmtId="0" fontId="2" fillId="0" borderId="0"/>
    <xf numFmtId="0" fontId="44"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121" fillId="0" borderId="0"/>
    <xf numFmtId="0" fontId="2" fillId="0" borderId="0"/>
    <xf numFmtId="0" fontId="1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0"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68" fillId="0" borderId="0">
      <alignment horizontal="left" wrapText="1"/>
    </xf>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94" fillId="0" borderId="0"/>
    <xf numFmtId="0" fontId="2"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121" fillId="0" borderId="0"/>
    <xf numFmtId="0" fontId="2"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44" fillId="0" borderId="0"/>
    <xf numFmtId="0" fontId="12" fillId="0" borderId="0"/>
    <xf numFmtId="0" fontId="2" fillId="0" borderId="0"/>
    <xf numFmtId="0" fontId="1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12" fillId="0" borderId="0"/>
    <xf numFmtId="0" fontId="94" fillId="0" borderId="0"/>
    <xf numFmtId="0" fontId="12" fillId="0" borderId="0"/>
    <xf numFmtId="0" fontId="94" fillId="0" borderId="0"/>
    <xf numFmtId="0" fontId="94" fillId="0" borderId="0"/>
    <xf numFmtId="0" fontId="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181"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2" fillId="0" borderId="0"/>
    <xf numFmtId="0" fontId="44" fillId="0" borderId="0"/>
    <xf numFmtId="0" fontId="44" fillId="0" borderId="0"/>
    <xf numFmtId="0" fontId="12" fillId="0" borderId="0"/>
    <xf numFmtId="0" fontId="94" fillId="0" borderId="0"/>
    <xf numFmtId="0" fontId="94" fillId="0" borderId="0"/>
    <xf numFmtId="0" fontId="12" fillId="0" borderId="0"/>
    <xf numFmtId="0" fontId="12" fillId="0" borderId="0"/>
    <xf numFmtId="0" fontId="94" fillId="0" borderId="0"/>
    <xf numFmtId="0" fontId="12" fillId="0" borderId="0"/>
    <xf numFmtId="0" fontId="94" fillId="0" borderId="0"/>
    <xf numFmtId="0" fontId="94" fillId="0" borderId="0"/>
    <xf numFmtId="0" fontId="94" fillId="0" borderId="0"/>
    <xf numFmtId="0" fontId="12" fillId="0" borderId="0"/>
    <xf numFmtId="0" fontId="44" fillId="0" borderId="0"/>
    <xf numFmtId="0" fontId="2" fillId="0" borderId="0"/>
    <xf numFmtId="0" fontId="12" fillId="0" borderId="0"/>
    <xf numFmtId="0" fontId="12" fillId="0" borderId="0"/>
    <xf numFmtId="0" fontId="12" fillId="0" borderId="0"/>
    <xf numFmtId="0" fontId="44" fillId="0" borderId="0"/>
    <xf numFmtId="0" fontId="121" fillId="0" borderId="0"/>
    <xf numFmtId="0" fontId="121" fillId="0" borderId="0"/>
    <xf numFmtId="0" fontId="121" fillId="0" borderId="0"/>
    <xf numFmtId="0" fontId="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4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94" fillId="0" borderId="0"/>
    <xf numFmtId="0" fontId="94" fillId="0" borderId="0"/>
    <xf numFmtId="0" fontId="121"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44" fillId="0" borderId="0"/>
    <xf numFmtId="0" fontId="44" fillId="0" borderId="0"/>
    <xf numFmtId="0" fontId="12" fillId="0" borderId="0"/>
    <xf numFmtId="0" fontId="44" fillId="0" borderId="0"/>
    <xf numFmtId="0" fontId="12" fillId="0" borderId="0"/>
    <xf numFmtId="0" fontId="12" fillId="0" borderId="0"/>
    <xf numFmtId="0" fontId="44" fillId="0" borderId="0"/>
    <xf numFmtId="0" fontId="44"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121"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0"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121" fillId="0" borderId="0"/>
    <xf numFmtId="0" fontId="44"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72" fillId="0" borderId="0"/>
    <xf numFmtId="0" fontId="119" fillId="0" borderId="0"/>
    <xf numFmtId="0" fontId="119" fillId="0" borderId="0"/>
    <xf numFmtId="0" fontId="119" fillId="0" borderId="0"/>
    <xf numFmtId="0" fontId="12"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1" fillId="0" borderId="0"/>
    <xf numFmtId="194" fontId="1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1" fillId="0" borderId="0"/>
    <xf numFmtId="0" fontId="12"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121" fillId="0" borderId="0"/>
    <xf numFmtId="0" fontId="12" fillId="0" borderId="0"/>
    <xf numFmtId="0" fontId="12" fillId="0" borderId="0"/>
    <xf numFmtId="0" fontId="12" fillId="0" borderId="0"/>
    <xf numFmtId="0" fontId="2"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44" fillId="0" borderId="0"/>
    <xf numFmtId="0" fontId="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44" fillId="0" borderId="0"/>
    <xf numFmtId="0" fontId="12" fillId="0" borderId="0"/>
    <xf numFmtId="0" fontId="44" fillId="0" borderId="0"/>
    <xf numFmtId="0" fontId="44"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44" fillId="0" borderId="0"/>
    <xf numFmtId="0" fontId="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42"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0" fillId="49" borderId="89"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183" fillId="17" borderId="71" applyNumberFormat="0" applyAlignment="0" applyProtection="0"/>
    <xf numFmtId="0" fontId="109" fillId="17" borderId="71" applyNumberFormat="0" applyAlignment="0" applyProtection="0"/>
    <xf numFmtId="0" fontId="183" fillId="17" borderId="71" applyNumberFormat="0" applyAlignment="0" applyProtection="0"/>
    <xf numFmtId="0" fontId="109" fillId="17" borderId="71" applyNumberFormat="0" applyAlignment="0" applyProtection="0"/>
    <xf numFmtId="0" fontId="184" fillId="77" borderId="90" applyNumberFormat="0" applyAlignment="0" applyProtection="0"/>
    <xf numFmtId="0" fontId="183" fillId="17" borderId="71" applyNumberFormat="0" applyAlignment="0" applyProtection="0"/>
    <xf numFmtId="0" fontId="183"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7" borderId="90" applyNumberFormat="0" applyAlignment="0" applyProtection="0"/>
    <xf numFmtId="0" fontId="109" fillId="17" borderId="71" applyNumberFormat="0" applyAlignment="0" applyProtection="0"/>
    <xf numFmtId="0" fontId="186" fillId="17" borderId="71" applyNumberFormat="0" applyAlignment="0" applyProtection="0"/>
    <xf numFmtId="0" fontId="186" fillId="17" borderId="71" applyNumberFormat="0" applyAlignment="0" applyProtection="0"/>
    <xf numFmtId="0" fontId="109" fillId="17" borderId="71" applyNumberFormat="0" applyAlignment="0" applyProtection="0"/>
    <xf numFmtId="0" fontId="109" fillId="17" borderId="71" applyNumberFormat="0" applyAlignment="0" applyProtection="0"/>
    <xf numFmtId="0" fontId="184" fillId="78" borderId="90" applyNumberFormat="0" applyAlignment="0" applyProtection="0"/>
    <xf numFmtId="0" fontId="184" fillId="78" borderId="90" applyNumberFormat="0" applyAlignment="0" applyProtection="0"/>
    <xf numFmtId="0" fontId="185" fillId="17" borderId="71" applyNumberFormat="0" applyAlignment="0" applyProtection="0"/>
    <xf numFmtId="0" fontId="185" fillId="17" borderId="71" applyNumberFormat="0" applyAlignment="0" applyProtection="0"/>
    <xf numFmtId="0" fontId="184" fillId="78" borderId="90" applyNumberFormat="0" applyAlignment="0" applyProtection="0"/>
    <xf numFmtId="0" fontId="183"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8" borderId="90" applyNumberFormat="0" applyAlignment="0" applyProtection="0"/>
    <xf numFmtId="0" fontId="184" fillId="78" borderId="90" applyNumberFormat="0" applyAlignment="0" applyProtection="0"/>
    <xf numFmtId="0" fontId="186" fillId="17" borderId="71" applyNumberFormat="0" applyAlignment="0" applyProtection="0"/>
    <xf numFmtId="0" fontId="184" fillId="77" borderId="90" applyNumberFormat="0" applyAlignment="0" applyProtection="0"/>
    <xf numFmtId="0" fontId="142" fillId="0" borderId="0"/>
    <xf numFmtId="0" fontId="142" fillId="0" borderId="0"/>
    <xf numFmtId="0" fontId="143" fillId="0" borderId="0"/>
    <xf numFmtId="173"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7"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2" fillId="85" borderId="84"/>
    <xf numFmtId="0" fontId="140" fillId="0" borderId="0" applyNumberFormat="0" applyFont="0" applyFill="0" applyBorder="0" applyAlignment="0" applyProtection="0">
      <alignment horizontal="left"/>
    </xf>
    <xf numFmtId="15" fontId="140" fillId="0" borderId="0" applyFont="0" applyFill="0" applyBorder="0" applyAlignment="0" applyProtection="0"/>
    <xf numFmtId="4" fontId="140" fillId="0" borderId="0" applyFont="0" applyFill="0" applyBorder="0" applyAlignment="0" applyProtection="0"/>
    <xf numFmtId="0" fontId="188" fillId="0" borderId="52">
      <alignment horizontal="center"/>
    </xf>
    <xf numFmtId="3" fontId="140" fillId="0" borderId="0" applyFont="0" applyFill="0" applyBorder="0" applyAlignment="0" applyProtection="0"/>
    <xf numFmtId="0" fontId="140" fillId="86" borderId="0" applyNumberFormat="0" applyFont="0" applyBorder="0" applyAlignment="0" applyProtection="0"/>
    <xf numFmtId="0" fontId="143" fillId="0" borderId="0"/>
    <xf numFmtId="3" fontId="189" fillId="0" borderId="0" applyFill="0" applyBorder="0" applyAlignment="0" applyProtection="0"/>
    <xf numFmtId="0" fontId="190" fillId="0" borderId="0"/>
    <xf numFmtId="42" fontId="12" fillId="9" borderId="0"/>
    <xf numFmtId="42" fontId="12" fillId="9" borderId="4">
      <alignment vertical="center"/>
    </xf>
    <xf numFmtId="0" fontId="13" fillId="9" borderId="65" applyNumberFormat="0">
      <alignment horizontal="center" vertical="center" wrapText="1"/>
    </xf>
    <xf numFmtId="10" fontId="12" fillId="9" borderId="0"/>
    <xf numFmtId="195" fontId="12" fillId="9" borderId="0"/>
    <xf numFmtId="166" fontId="47" fillId="0" borderId="0" applyBorder="0" applyAlignment="0"/>
    <xf numFmtId="42" fontId="12" fillId="9" borderId="1">
      <alignment horizontal="left"/>
    </xf>
    <xf numFmtId="195" fontId="54" fillId="9" borderId="1">
      <alignment horizontal="left"/>
    </xf>
    <xf numFmtId="14" fontId="68" fillId="0" borderId="0" applyNumberFormat="0" applyFill="0" applyBorder="0" applyAlignment="0" applyProtection="0">
      <alignment horizontal="left"/>
    </xf>
    <xf numFmtId="196" fontId="12" fillId="0" borderId="0" applyFont="0" applyFill="0" applyAlignment="0">
      <alignment horizontal="right"/>
    </xf>
    <xf numFmtId="4" fontId="53" fillId="54" borderId="91" applyNumberFormat="0" applyProtection="0">
      <alignment vertical="center"/>
    </xf>
    <xf numFmtId="4" fontId="191" fillId="84" borderId="91" applyNumberFormat="0" applyProtection="0">
      <alignment vertical="center"/>
    </xf>
    <xf numFmtId="4" fontId="53" fillId="84" borderId="91" applyNumberFormat="0" applyProtection="0">
      <alignment horizontal="left" vertical="center" indent="1"/>
    </xf>
    <xf numFmtId="0" fontId="53" fillId="84" borderId="91" applyNumberFormat="0" applyProtection="0">
      <alignment horizontal="left" vertical="top" indent="1"/>
    </xf>
    <xf numFmtId="4" fontId="53" fillId="87" borderId="0" applyNumberFormat="0" applyProtection="0">
      <alignment horizontal="left" vertical="center" indent="1"/>
    </xf>
    <xf numFmtId="0" fontId="12" fillId="88" borderId="0" applyNumberFormat="0" applyProtection="0">
      <alignment horizontal="left" vertical="center" indent="1"/>
    </xf>
    <xf numFmtId="4" fontId="187" fillId="46" borderId="91" applyNumberFormat="0" applyProtection="0">
      <alignment horizontal="right" vertical="center"/>
    </xf>
    <xf numFmtId="4" fontId="187" fillId="47" borderId="91" applyNumberFormat="0" applyProtection="0">
      <alignment horizontal="right" vertical="center"/>
    </xf>
    <xf numFmtId="4" fontId="187" fillId="69" borderId="91" applyNumberFormat="0" applyProtection="0">
      <alignment horizontal="right" vertical="center"/>
    </xf>
    <xf numFmtId="4" fontId="187" fillId="55" borderId="91" applyNumberFormat="0" applyProtection="0">
      <alignment horizontal="right" vertical="center"/>
    </xf>
    <xf numFmtId="4" fontId="187" fillId="60" borderId="91" applyNumberFormat="0" applyProtection="0">
      <alignment horizontal="right" vertical="center"/>
    </xf>
    <xf numFmtId="4" fontId="187" fillId="57" borderId="91" applyNumberFormat="0" applyProtection="0">
      <alignment horizontal="right" vertical="center"/>
    </xf>
    <xf numFmtId="4" fontId="187" fillId="73" borderId="91" applyNumberFormat="0" applyProtection="0">
      <alignment horizontal="right" vertical="center"/>
    </xf>
    <xf numFmtId="4" fontId="187" fillId="89" borderId="91" applyNumberFormat="0" applyProtection="0">
      <alignment horizontal="right" vertical="center"/>
    </xf>
    <xf numFmtId="4" fontId="187" fillId="53" borderId="91" applyNumberFormat="0" applyProtection="0">
      <alignment horizontal="right" vertical="center"/>
    </xf>
    <xf numFmtId="4" fontId="53" fillId="90" borderId="92" applyNumberFormat="0" applyProtection="0">
      <alignment horizontal="left" vertical="center" indent="1"/>
    </xf>
    <xf numFmtId="4" fontId="187" fillId="91" borderId="0" applyNumberFormat="0" applyProtection="0">
      <alignment horizontal="left" vertical="center" indent="1"/>
    </xf>
    <xf numFmtId="4" fontId="192" fillId="92" borderId="0" applyNumberFormat="0" applyProtection="0">
      <alignment horizontal="left" vertical="center" indent="1"/>
    </xf>
    <xf numFmtId="4" fontId="187" fillId="93" borderId="91" applyNumberFormat="0" applyProtection="0">
      <alignment horizontal="right" vertical="center"/>
    </xf>
    <xf numFmtId="4" fontId="187" fillId="91" borderId="0" applyNumberFormat="0" applyProtection="0">
      <alignment horizontal="left" vertical="center" indent="1"/>
    </xf>
    <xf numFmtId="4" fontId="187" fillId="87" borderId="0" applyNumberFormat="0" applyProtection="0">
      <alignment horizontal="left" vertical="center" indent="1"/>
    </xf>
    <xf numFmtId="0" fontId="12" fillId="92" borderId="91" applyNumberFormat="0" applyProtection="0">
      <alignment horizontal="left" vertical="center" indent="1"/>
    </xf>
    <xf numFmtId="0" fontId="12" fillId="92" borderId="91" applyNumberFormat="0" applyProtection="0">
      <alignment horizontal="left" vertical="top" indent="1"/>
    </xf>
    <xf numFmtId="0" fontId="12" fillId="87" borderId="91" applyNumberFormat="0" applyProtection="0">
      <alignment horizontal="left" vertical="center" indent="1"/>
    </xf>
    <xf numFmtId="0" fontId="12" fillId="87" borderId="91" applyNumberFormat="0" applyProtection="0">
      <alignment horizontal="left" vertical="top" indent="1"/>
    </xf>
    <xf numFmtId="0" fontId="12" fillId="94" borderId="91" applyNumberFormat="0" applyProtection="0">
      <alignment horizontal="left" vertical="center" indent="1"/>
    </xf>
    <xf numFmtId="0" fontId="12" fillId="94" borderId="91" applyNumberFormat="0" applyProtection="0">
      <alignment horizontal="left" vertical="top" indent="1"/>
    </xf>
    <xf numFmtId="0" fontId="12" fillId="85" borderId="91" applyNumberFormat="0" applyProtection="0">
      <alignment horizontal="left" vertical="center" indent="1"/>
    </xf>
    <xf numFmtId="0" fontId="12" fillId="85" borderId="91" applyNumberFormat="0" applyProtection="0">
      <alignment horizontal="left" vertical="top" indent="1"/>
    </xf>
    <xf numFmtId="0" fontId="12" fillId="77" borderId="54" applyNumberFormat="0">
      <protection locked="0"/>
    </xf>
    <xf numFmtId="4" fontId="187" fillId="95" borderId="91" applyNumberFormat="0" applyProtection="0">
      <alignment vertical="center"/>
    </xf>
    <xf numFmtId="4" fontId="193" fillId="95" borderId="91" applyNumberFormat="0" applyProtection="0">
      <alignment vertical="center"/>
    </xf>
    <xf numFmtId="4" fontId="187" fillId="95" borderId="91" applyNumberFormat="0" applyProtection="0">
      <alignment horizontal="left" vertical="center" indent="1"/>
    </xf>
    <xf numFmtId="0" fontId="187" fillId="95" borderId="91" applyNumberFormat="0" applyProtection="0">
      <alignment horizontal="left" vertical="top" indent="1"/>
    </xf>
    <xf numFmtId="4" fontId="187" fillId="91" borderId="91" applyNumberFormat="0" applyProtection="0">
      <alignment horizontal="right" vertical="center"/>
    </xf>
    <xf numFmtId="4" fontId="193" fillId="91" borderId="91" applyNumberFormat="0" applyProtection="0">
      <alignment horizontal="right" vertical="center"/>
    </xf>
    <xf numFmtId="4" fontId="187" fillId="93" borderId="91" applyNumberFormat="0" applyProtection="0">
      <alignment horizontal="left" vertical="center" indent="1"/>
    </xf>
    <xf numFmtId="0" fontId="187" fillId="87" borderId="91" applyNumberFormat="0" applyProtection="0">
      <alignment horizontal="left" vertical="top" indent="1"/>
    </xf>
    <xf numFmtId="4" fontId="194" fillId="96" borderId="0" applyNumberFormat="0" applyProtection="0">
      <alignment horizontal="left" vertical="center" indent="1"/>
    </xf>
    <xf numFmtId="4" fontId="16" fillId="91" borderId="91" applyNumberFormat="0" applyProtection="0">
      <alignment horizontal="right" vertical="center"/>
    </xf>
    <xf numFmtId="39" fontId="12" fillId="97" borderId="0"/>
    <xf numFmtId="0" fontId="195" fillId="0" borderId="0" applyNumberFormat="0" applyFill="0" applyBorder="0" applyAlignment="0" applyProtection="0"/>
    <xf numFmtId="38" fontId="17" fillId="0" borderId="93"/>
    <xf numFmtId="38" fontId="47" fillId="0" borderId="1"/>
    <xf numFmtId="39" fontId="68" fillId="98" borderId="0"/>
    <xf numFmtId="164" fontId="12" fillId="0" borderId="0">
      <alignment horizontal="left" wrapText="1"/>
    </xf>
    <xf numFmtId="186" fontId="12" fillId="0" borderId="0">
      <alignment horizontal="left" wrapText="1"/>
    </xf>
    <xf numFmtId="191" fontId="12" fillId="0" borderId="0">
      <alignment horizontal="left" wrapText="1"/>
    </xf>
    <xf numFmtId="40" fontId="196" fillId="0" borderId="0" applyBorder="0">
      <alignment horizontal="right"/>
    </xf>
    <xf numFmtId="41" fontId="48" fillId="9" borderId="0">
      <alignment horizontal="left"/>
    </xf>
    <xf numFmtId="0" fontId="197" fillId="0" borderId="0"/>
    <xf numFmtId="0" fontId="10" fillId="0" borderId="0" applyFill="0" applyBorder="0" applyProtection="0">
      <alignment horizontal="left" vertical="top"/>
    </xf>
    <xf numFmtId="0" fontId="19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01"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5" fillId="0" borderId="0" applyNumberFormat="0" applyFill="0" applyBorder="0" applyAlignment="0" applyProtection="0"/>
    <xf numFmtId="197" fontId="199" fillId="9" borderId="0">
      <alignment horizontal="left" vertical="center"/>
    </xf>
    <xf numFmtId="0" fontId="13" fillId="9" borderId="0">
      <alignment horizontal="left" wrapText="1"/>
    </xf>
    <xf numFmtId="0" fontId="200" fillId="0" borderId="0">
      <alignment horizontal="left" vertical="center"/>
    </xf>
    <xf numFmtId="0" fontId="98" fillId="0" borderId="75" applyNumberFormat="0" applyFill="0" applyAlignment="0" applyProtection="0"/>
    <xf numFmtId="0" fontId="34" fillId="0" borderId="75" applyNumberFormat="0" applyFill="0" applyAlignment="0" applyProtection="0"/>
    <xf numFmtId="0" fontId="98" fillId="0" borderId="75" applyNumberFormat="0" applyFill="0" applyAlignment="0" applyProtection="0"/>
    <xf numFmtId="0" fontId="34" fillId="0" borderId="75" applyNumberFormat="0" applyFill="0" applyAlignment="0" applyProtection="0"/>
    <xf numFmtId="0" fontId="147" fillId="0" borderId="94"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4" applyNumberFormat="0" applyFill="0" applyAlignment="0" applyProtection="0"/>
    <xf numFmtId="0" fontId="34" fillId="0" borderId="75" applyNumberFormat="0" applyFill="0" applyAlignment="0" applyProtection="0"/>
    <xf numFmtId="0" fontId="202" fillId="0" borderId="75" applyNumberFormat="0" applyFill="0" applyAlignment="0" applyProtection="0"/>
    <xf numFmtId="0" fontId="202" fillId="0" borderId="75" applyNumberFormat="0" applyFill="0" applyAlignment="0" applyProtection="0"/>
    <xf numFmtId="0" fontId="34" fillId="0" borderId="75" applyNumberFormat="0" applyFill="0" applyAlignment="0" applyProtection="0"/>
    <xf numFmtId="0" fontId="34" fillId="0" borderId="75"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147" fillId="0" borderId="95"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2" fillId="0" borderId="75" applyNumberFormat="0" applyFill="0" applyAlignment="0" applyProtection="0"/>
    <xf numFmtId="0" fontId="147" fillId="0" borderId="94" applyNumberFormat="0" applyFill="0" applyAlignment="0" applyProtection="0"/>
    <xf numFmtId="0" fontId="143" fillId="0" borderId="96"/>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171"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71"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205" fillId="0" borderId="0" applyNumberFormat="0" applyFill="0" applyBorder="0" applyAlignment="0" applyProtection="0"/>
    <xf numFmtId="0" fontId="1" fillId="0" borderId="0"/>
    <xf numFmtId="0" fontId="211" fillId="20" borderId="0" applyNumberFormat="0" applyBorder="0" applyAlignment="0" applyProtection="0"/>
    <xf numFmtId="0" fontId="211" fillId="24" borderId="0" applyNumberFormat="0" applyBorder="0" applyAlignment="0" applyProtection="0"/>
    <xf numFmtId="0" fontId="211" fillId="28" borderId="0" applyNumberFormat="0" applyBorder="0" applyAlignment="0" applyProtection="0"/>
    <xf numFmtId="0" fontId="211" fillId="32" borderId="0" applyNumberFormat="0" applyBorder="0" applyAlignment="0" applyProtection="0"/>
    <xf numFmtId="0" fontId="211" fillId="36" borderId="0" applyNumberFormat="0" applyBorder="0" applyAlignment="0" applyProtection="0"/>
    <xf numFmtId="0" fontId="21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74" borderId="97" applyBorder="0"/>
    <xf numFmtId="0" fontId="17" fillId="99" borderId="54"/>
    <xf numFmtId="0" fontId="212" fillId="0" borderId="98" applyNumberFormat="0" applyFont="0" applyFill="0" applyAlignment="0" applyProtection="0"/>
    <xf numFmtId="198" fontId="213" fillId="0" borderId="99" applyNumberFormat="0" applyProtection="0">
      <alignment horizontal="right" vertical="center"/>
    </xf>
    <xf numFmtId="198" fontId="214" fillId="0" borderId="100" applyNumberFormat="0" applyProtection="0">
      <alignment horizontal="right" vertical="center"/>
    </xf>
    <xf numFmtId="0" fontId="214" fillId="100" borderId="98" applyNumberFormat="0" applyAlignment="0" applyProtection="0">
      <alignment horizontal="left" vertical="center" indent="1"/>
    </xf>
    <xf numFmtId="0" fontId="215" fillId="101" borderId="100" applyNumberFormat="0" applyAlignment="0" applyProtection="0">
      <alignment horizontal="left" vertical="center" indent="1"/>
    </xf>
    <xf numFmtId="0" fontId="215" fillId="101" borderId="100" applyNumberFormat="0" applyAlignment="0" applyProtection="0">
      <alignment horizontal="left" vertical="center" indent="1"/>
    </xf>
    <xf numFmtId="0" fontId="216" fillId="0" borderId="101" applyNumberFormat="0" applyFill="0" applyBorder="0" applyAlignment="0" applyProtection="0"/>
    <xf numFmtId="0" fontId="217" fillId="0" borderId="101" applyBorder="0" applyAlignment="0" applyProtection="0"/>
    <xf numFmtId="198" fontId="218" fillId="102" borderId="102" applyNumberFormat="0" applyBorder="0" applyAlignment="0" applyProtection="0">
      <alignment horizontal="right" vertical="center" indent="1"/>
    </xf>
    <xf numFmtId="198" fontId="219" fillId="103" borderId="102" applyNumberFormat="0" applyBorder="0" applyAlignment="0" applyProtection="0">
      <alignment horizontal="right" vertical="center" indent="1"/>
    </xf>
    <xf numFmtId="198" fontId="219" fillId="104" borderId="102" applyNumberFormat="0" applyBorder="0" applyAlignment="0" applyProtection="0">
      <alignment horizontal="right" vertical="center" indent="1"/>
    </xf>
    <xf numFmtId="198" fontId="220" fillId="105" borderId="102" applyNumberFormat="0" applyBorder="0" applyAlignment="0" applyProtection="0">
      <alignment horizontal="right" vertical="center" indent="1"/>
    </xf>
    <xf numFmtId="198" fontId="220" fillId="106" borderId="102" applyNumberFormat="0" applyBorder="0" applyAlignment="0" applyProtection="0">
      <alignment horizontal="right" vertical="center" indent="1"/>
    </xf>
    <xf numFmtId="198" fontId="220" fillId="107" borderId="102" applyNumberFormat="0" applyBorder="0" applyAlignment="0" applyProtection="0">
      <alignment horizontal="right" vertical="center" indent="1"/>
    </xf>
    <xf numFmtId="198" fontId="221" fillId="108" borderId="102" applyNumberFormat="0" applyBorder="0" applyAlignment="0" applyProtection="0">
      <alignment horizontal="right" vertical="center" indent="1"/>
    </xf>
    <xf numFmtId="198" fontId="221" fillId="109" borderId="102" applyNumberFormat="0" applyBorder="0" applyAlignment="0" applyProtection="0">
      <alignment horizontal="right" vertical="center" indent="1"/>
    </xf>
    <xf numFmtId="198" fontId="221" fillId="110" borderId="102" applyNumberFormat="0" applyBorder="0" applyAlignment="0" applyProtection="0">
      <alignment horizontal="right" vertical="center" indent="1"/>
    </xf>
    <xf numFmtId="0" fontId="215" fillId="111" borderId="98" applyNumberFormat="0" applyAlignment="0" applyProtection="0">
      <alignment horizontal="left" vertical="center" indent="1"/>
    </xf>
    <xf numFmtId="0" fontId="215" fillId="112" borderId="98" applyNumberFormat="0" applyAlignment="0" applyProtection="0">
      <alignment horizontal="left" vertical="center" indent="1"/>
    </xf>
    <xf numFmtId="0" fontId="215" fillId="113" borderId="98" applyNumberFormat="0" applyAlignment="0" applyProtection="0">
      <alignment horizontal="left" vertical="center" indent="1"/>
    </xf>
    <xf numFmtId="0" fontId="215" fillId="114" borderId="98" applyNumberFormat="0" applyAlignment="0" applyProtection="0">
      <alignment horizontal="left" vertical="center" indent="1"/>
    </xf>
    <xf numFmtId="0" fontId="215" fillId="115" borderId="100" applyNumberFormat="0" applyAlignment="0" applyProtection="0">
      <alignment horizontal="left" vertical="center" indent="1"/>
    </xf>
    <xf numFmtId="198" fontId="213" fillId="114" borderId="99" applyNumberFormat="0" applyBorder="0" applyProtection="0">
      <alignment horizontal="right" vertical="center"/>
    </xf>
    <xf numFmtId="198" fontId="214" fillId="114" borderId="100" applyNumberFormat="0" applyBorder="0" applyProtection="0">
      <alignment horizontal="right" vertical="center"/>
    </xf>
    <xf numFmtId="198" fontId="213" fillId="116" borderId="98" applyNumberFormat="0" applyAlignment="0" applyProtection="0">
      <alignment horizontal="left" vertical="center" indent="1"/>
    </xf>
    <xf numFmtId="0" fontId="214" fillId="100" borderId="100" applyNumberFormat="0" applyAlignment="0" applyProtection="0">
      <alignment horizontal="left" vertical="center" indent="1"/>
    </xf>
    <xf numFmtId="0" fontId="215" fillId="115" borderId="100" applyNumberFormat="0" applyAlignment="0" applyProtection="0">
      <alignment horizontal="left" vertical="center" indent="1"/>
    </xf>
    <xf numFmtId="198" fontId="214" fillId="115" borderId="100" applyNumberFormat="0" applyProtection="0">
      <alignment horizontal="right" vertical="center"/>
    </xf>
  </cellStyleXfs>
  <cellXfs count="864">
    <xf numFmtId="164" fontId="0" fillId="0" borderId="0" xfId="0">
      <alignment horizontal="left" wrapText="1"/>
    </xf>
    <xf numFmtId="166" fontId="33" fillId="0" borderId="0" xfId="0" applyNumberFormat="1" applyFont="1" applyAlignment="1"/>
    <xf numFmtId="166" fontId="33" fillId="0" borderId="0" xfId="1" applyNumberFormat="1" applyFont="1" applyAlignment="1">
      <alignment horizontal="center"/>
    </xf>
    <xf numFmtId="181" fontId="63" fillId="0" borderId="62" xfId="0" applyNumberFormat="1" applyFont="1" applyBorder="1" applyAlignment="1"/>
    <xf numFmtId="0" fontId="88" fillId="0" borderId="0" xfId="0" applyNumberFormat="1" applyFont="1" applyAlignment="1"/>
    <xf numFmtId="166" fontId="63" fillId="0" borderId="0" xfId="0" applyNumberFormat="1" applyFont="1" applyAlignment="1">
      <alignment horizontal="center"/>
    </xf>
    <xf numFmtId="181" fontId="63" fillId="0" borderId="0" xfId="0" applyNumberFormat="1" applyFont="1" applyAlignment="1"/>
    <xf numFmtId="10" fontId="88" fillId="0" borderId="0" xfId="0" applyNumberFormat="1" applyFont="1" applyAlignment="1"/>
    <xf numFmtId="180" fontId="33" fillId="0" borderId="62" xfId="0" applyNumberFormat="1" applyFont="1" applyBorder="1" applyAlignment="1">
      <alignment horizontal="right"/>
    </xf>
    <xf numFmtId="180" fontId="33" fillId="0" borderId="0" xfId="0" applyNumberFormat="1" applyFont="1" applyAlignment="1">
      <alignment horizontal="center"/>
    </xf>
    <xf numFmtId="166" fontId="63" fillId="0" borderId="0" xfId="0" applyNumberFormat="1" applyFont="1" applyAlignment="1"/>
    <xf numFmtId="0" fontId="56" fillId="0" borderId="0" xfId="0" applyNumberFormat="1" applyFont="1" applyAlignment="1"/>
    <xf numFmtId="0" fontId="56" fillId="0" borderId="0" xfId="0" applyNumberFormat="1" applyFont="1" applyAlignment="1">
      <alignment horizontal="center"/>
    </xf>
    <xf numFmtId="0" fontId="63" fillId="0" borderId="0" xfId="0" applyNumberFormat="1" applyFont="1" applyAlignment="1"/>
    <xf numFmtId="0" fontId="63" fillId="0" borderId="0" xfId="0" applyNumberFormat="1" applyFont="1" applyAlignment="1">
      <alignment horizontal="centerContinuous"/>
    </xf>
    <xf numFmtId="0" fontId="56" fillId="0" borderId="0" xfId="0" applyNumberFormat="1" applyFont="1" applyAlignment="1">
      <alignment horizontal="centerContinuous"/>
    </xf>
    <xf numFmtId="17" fontId="8" fillId="0" borderId="0" xfId="0" applyNumberFormat="1" applyFont="1" applyFill="1" applyAlignment="1"/>
    <xf numFmtId="168" fontId="8" fillId="0" borderId="4" xfId="0" applyNumberFormat="1" applyFont="1" applyFill="1" applyBorder="1" applyAlignment="1"/>
    <xf numFmtId="0" fontId="17" fillId="0" borderId="0" xfId="0" applyNumberFormat="1" applyFont="1" applyFill="1" applyBorder="1" applyAlignment="1">
      <alignment horizontal="left" vertical="center" indent="1"/>
    </xf>
    <xf numFmtId="168" fontId="8" fillId="0" borderId="0" xfId="0" applyNumberFormat="1" applyFont="1" applyFill="1" applyAlignment="1"/>
    <xf numFmtId="168" fontId="17" fillId="0" borderId="5" xfId="0" applyNumberFormat="1" applyFont="1" applyFill="1" applyBorder="1" applyAlignment="1">
      <alignment vertical="center"/>
    </xf>
    <xf numFmtId="168" fontId="17" fillId="0" borderId="5" xfId="0" applyNumberFormat="1" applyFont="1" applyFill="1" applyBorder="1" applyAlignment="1">
      <alignment horizontal="right" vertical="center"/>
    </xf>
    <xf numFmtId="0" fontId="17" fillId="0" borderId="5" xfId="0" quotePrefix="1" applyNumberFormat="1" applyFont="1" applyFill="1" applyBorder="1" applyAlignment="1">
      <alignment horizontal="left" vertical="center" indent="2"/>
    </xf>
    <xf numFmtId="0" fontId="8" fillId="0" borderId="0" xfId="0" applyNumberFormat="1" applyFont="1" applyFill="1" applyAlignment="1"/>
    <xf numFmtId="166" fontId="8" fillId="0" borderId="0" xfId="0" applyNumberFormat="1" applyFont="1" applyFill="1" applyAlignment="1"/>
    <xf numFmtId="0" fontId="17" fillId="0" borderId="5" xfId="0" quotePrefix="1" applyNumberFormat="1" applyFont="1" applyFill="1" applyBorder="1" applyAlignment="1">
      <alignment horizontal="left" vertical="center" indent="1"/>
    </xf>
    <xf numFmtId="166" fontId="30" fillId="0" borderId="0" xfId="0" applyNumberFormat="1" applyFont="1" applyBorder="1" applyAlignment="1"/>
    <xf numFmtId="182" fontId="12" fillId="0" borderId="13" xfId="0" applyNumberFormat="1" applyFont="1" applyFill="1" applyBorder="1" applyAlignment="1"/>
    <xf numFmtId="49" fontId="12" fillId="0" borderId="13" xfId="0" applyNumberFormat="1" applyFont="1" applyFill="1" applyBorder="1" applyAlignment="1">
      <alignment horizontal="left"/>
    </xf>
    <xf numFmtId="164" fontId="12" fillId="0" borderId="0" xfId="0" applyFont="1">
      <alignment horizontal="left" wrapText="1"/>
    </xf>
    <xf numFmtId="49" fontId="15" fillId="0" borderId="54" xfId="0" applyNumberFormat="1" applyFont="1" applyFill="1" applyBorder="1" applyAlignment="1">
      <alignment horizontal="center"/>
    </xf>
    <xf numFmtId="49" fontId="15" fillId="0" borderId="54" xfId="0" applyNumberFormat="1" applyFont="1" applyFill="1" applyBorder="1" applyAlignment="1">
      <alignment horizontal="left"/>
    </xf>
    <xf numFmtId="5" fontId="7" fillId="0" borderId="27" xfId="0" applyNumberFormat="1" applyFont="1" applyFill="1" applyBorder="1" applyAlignment="1"/>
    <xf numFmtId="0" fontId="37" fillId="0" borderId="0" xfId="0" applyNumberFormat="1" applyFont="1" applyFill="1" applyAlignment="1">
      <alignment horizontal="right"/>
    </xf>
    <xf numFmtId="37" fontId="36" fillId="0" borderId="0" xfId="0" applyNumberFormat="1" applyFont="1" applyFill="1" applyAlignment="1">
      <alignment horizontal="center"/>
    </xf>
    <xf numFmtId="37" fontId="7" fillId="0" borderId="26" xfId="0" applyNumberFormat="1" applyFont="1" applyFill="1" applyBorder="1" applyAlignment="1"/>
    <xf numFmtId="37" fontId="7" fillId="0" borderId="25" xfId="0" applyNumberFormat="1" applyFont="1" applyFill="1" applyBorder="1" applyAlignment="1"/>
    <xf numFmtId="37" fontId="7" fillId="0" borderId="24" xfId="0" applyNumberFormat="1" applyFont="1" applyFill="1" applyBorder="1" applyAlignment="1"/>
    <xf numFmtId="0" fontId="34" fillId="0" borderId="23" xfId="0" applyNumberFormat="1" applyFont="1" applyFill="1" applyBorder="1" applyAlignment="1"/>
    <xf numFmtId="0" fontId="7" fillId="0" borderId="16" xfId="0" applyNumberFormat="1" applyFont="1" applyFill="1" applyBorder="1" applyAlignment="1"/>
    <xf numFmtId="0" fontId="7" fillId="0" borderId="13" xfId="0" applyNumberFormat="1" applyFont="1" applyFill="1" applyBorder="1" applyAlignment="1"/>
    <xf numFmtId="37" fontId="7" fillId="0" borderId="15" xfId="0" applyNumberFormat="1" applyFont="1" applyFill="1" applyBorder="1" applyAlignment="1"/>
    <xf numFmtId="37" fontId="7" fillId="0" borderId="0" xfId="0" applyNumberFormat="1" applyFont="1" applyFill="1" applyBorder="1" applyAlignment="1"/>
    <xf numFmtId="5" fontId="7" fillId="0" borderId="14" xfId="0" applyNumberFormat="1" applyFont="1" applyFill="1" applyBorder="1" applyAlignment="1"/>
    <xf numFmtId="37" fontId="7" fillId="0" borderId="13" xfId="0" applyNumberFormat="1" applyFont="1" applyFill="1" applyBorder="1" applyAlignment="1"/>
    <xf numFmtId="37" fontId="7" fillId="0" borderId="22" xfId="0" applyNumberFormat="1" applyFont="1" applyFill="1" applyBorder="1" applyAlignment="1"/>
    <xf numFmtId="0" fontId="7" fillId="0" borderId="20" xfId="0" applyNumberFormat="1" applyFont="1" applyFill="1" applyBorder="1" applyAlignment="1"/>
    <xf numFmtId="37" fontId="7" fillId="0" borderId="20" xfId="0" applyNumberFormat="1" applyFont="1" applyFill="1" applyBorder="1" applyAlignment="1"/>
    <xf numFmtId="0" fontId="34" fillId="0" borderId="19" xfId="0" applyNumberFormat="1" applyFont="1" applyFill="1" applyBorder="1" applyAlignment="1"/>
    <xf numFmtId="0" fontId="34" fillId="0" borderId="18" xfId="0" applyNumberFormat="1" applyFont="1" applyFill="1" applyBorder="1" applyAlignment="1">
      <alignment horizontal="center"/>
    </xf>
    <xf numFmtId="0" fontId="34" fillId="0" borderId="17" xfId="0" applyNumberFormat="1" applyFont="1" applyFill="1" applyBorder="1" applyAlignment="1">
      <alignment horizontal="center"/>
    </xf>
    <xf numFmtId="0" fontId="34" fillId="0" borderId="16" xfId="0" applyNumberFormat="1" applyFont="1" applyFill="1" applyBorder="1" applyAlignment="1">
      <alignment horizontal="center"/>
    </xf>
    <xf numFmtId="0" fontId="34" fillId="0" borderId="12" xfId="0" applyNumberFormat="1" applyFont="1" applyFill="1" applyBorder="1" applyAlignment="1"/>
    <xf numFmtId="0" fontId="34" fillId="0" borderId="15" xfId="0" applyNumberFormat="1" applyFont="1" applyFill="1" applyBorder="1" applyAlignment="1">
      <alignment horizontal="center"/>
    </xf>
    <xf numFmtId="0" fontId="34" fillId="0" borderId="0" xfId="0" applyNumberFormat="1" applyFont="1" applyFill="1" applyBorder="1" applyAlignment="1"/>
    <xf numFmtId="0" fontId="34" fillId="0" borderId="14" xfId="0" applyNumberFormat="1" applyFont="1" applyFill="1" applyBorder="1" applyAlignment="1"/>
    <xf numFmtId="0" fontId="34" fillId="0" borderId="13" xfId="0" applyNumberFormat="1" applyFont="1" applyFill="1" applyBorder="1" applyAlignment="1"/>
    <xf numFmtId="0" fontId="34" fillId="0" borderId="13" xfId="0" applyNumberFormat="1" applyFont="1" applyFill="1" applyBorder="1" applyAlignment="1">
      <alignment horizontal="center"/>
    </xf>
    <xf numFmtId="0" fontId="7" fillId="0" borderId="12" xfId="0" applyNumberFormat="1" applyFont="1" applyFill="1" applyBorder="1" applyAlignment="1"/>
    <xf numFmtId="0" fontId="34" fillId="0" borderId="11" xfId="0" applyNumberFormat="1" applyFont="1" applyFill="1" applyBorder="1" applyAlignment="1">
      <alignment horizontal="center"/>
    </xf>
    <xf numFmtId="0" fontId="34" fillId="0" borderId="10" xfId="0" applyNumberFormat="1" applyFont="1" applyFill="1" applyBorder="1" applyAlignment="1"/>
    <xf numFmtId="0" fontId="34" fillId="0" borderId="9" xfId="0" applyNumberFormat="1" applyFont="1" applyFill="1" applyBorder="1" applyAlignment="1"/>
    <xf numFmtId="0" fontId="34" fillId="0" borderId="8" xfId="0" applyNumberFormat="1" applyFont="1" applyFill="1" applyBorder="1" applyAlignment="1">
      <alignment horizontal="center"/>
    </xf>
    <xf numFmtId="0" fontId="7" fillId="0" borderId="7" xfId="0" applyNumberFormat="1" applyFont="1" applyFill="1" applyBorder="1" applyAlignment="1"/>
    <xf numFmtId="5" fontId="34" fillId="0" borderId="0" xfId="0" applyNumberFormat="1" applyFont="1" applyFill="1" applyBorder="1" applyAlignment="1"/>
    <xf numFmtId="5" fontId="34" fillId="0" borderId="4" xfId="0" applyNumberFormat="1" applyFont="1" applyFill="1" applyBorder="1" applyAlignment="1"/>
    <xf numFmtId="0" fontId="33" fillId="0" borderId="0" xfId="0" applyNumberFormat="1" applyFont="1" applyFill="1" applyAlignment="1"/>
    <xf numFmtId="5" fontId="33" fillId="0" borderId="0" xfId="0" applyNumberFormat="1" applyFont="1" applyFill="1" applyAlignment="1"/>
    <xf numFmtId="17" fontId="7" fillId="0" borderId="0" xfId="0" applyNumberFormat="1" applyFont="1" applyFill="1" applyAlignment="1"/>
    <xf numFmtId="17" fontId="34" fillId="0" borderId="0" xfId="0" applyNumberFormat="1" applyFont="1" applyFill="1" applyAlignment="1">
      <alignment horizontal="center" wrapText="1"/>
    </xf>
    <xf numFmtId="0" fontId="35" fillId="0" borderId="0" xfId="0" applyNumberFormat="1" applyFont="1" applyFill="1" applyAlignment="1"/>
    <xf numFmtId="166" fontId="7" fillId="0" borderId="4" xfId="0" applyNumberFormat="1" applyFont="1" applyFill="1" applyBorder="1" applyAlignment="1"/>
    <xf numFmtId="172" fontId="7" fillId="0" borderId="0" xfId="0" applyNumberFormat="1" applyFont="1" applyFill="1" applyAlignment="1"/>
    <xf numFmtId="5" fontId="7" fillId="0" borderId="4" xfId="0" applyNumberFormat="1" applyFont="1" applyFill="1" applyBorder="1" applyAlignment="1"/>
    <xf numFmtId="0" fontId="39" fillId="0" borderId="0" xfId="0" applyNumberFormat="1" applyFont="1" applyFill="1" applyAlignment="1"/>
    <xf numFmtId="7" fontId="39" fillId="0" borderId="0" xfId="0" applyNumberFormat="1" applyFont="1" applyFill="1" applyAlignment="1"/>
    <xf numFmtId="7" fontId="7" fillId="0" borderId="0" xfId="0" applyNumberFormat="1" applyFont="1" applyFill="1" applyAlignment="1"/>
    <xf numFmtId="166" fontId="7" fillId="0" borderId="1" xfId="0" applyNumberFormat="1" applyFont="1" applyFill="1" applyBorder="1" applyAlignment="1"/>
    <xf numFmtId="0" fontId="38" fillId="0" borderId="0" xfId="0" applyNumberFormat="1" applyFont="1" applyFill="1" applyAlignment="1">
      <alignment horizontal="center"/>
    </xf>
    <xf numFmtId="0" fontId="12" fillId="0" borderId="0" xfId="0" applyNumberFormat="1" applyFont="1" applyFill="1" applyAlignment="1" applyProtection="1">
      <alignment horizontal="center"/>
      <protection locked="0"/>
    </xf>
    <xf numFmtId="166" fontId="12" fillId="0" borderId="18" xfId="0" applyNumberFormat="1" applyFont="1" applyFill="1" applyBorder="1" applyAlignment="1"/>
    <xf numFmtId="166" fontId="12" fillId="0" borderId="0" xfId="0" applyNumberFormat="1" applyFont="1" applyFill="1" applyAlignment="1">
      <alignment horizontal="right"/>
    </xf>
    <xf numFmtId="166" fontId="13" fillId="0" borderId="0" xfId="0" applyNumberFormat="1" applyFont="1" applyFill="1" applyBorder="1" applyAlignment="1"/>
    <xf numFmtId="17" fontId="12" fillId="0" borderId="0" xfId="0" applyNumberFormat="1" applyFont="1" applyFill="1" applyAlignment="1"/>
    <xf numFmtId="173" fontId="22" fillId="0" borderId="0" xfId="0" applyNumberFormat="1" applyFont="1" applyFill="1" applyAlignment="1">
      <alignment horizontal="right"/>
    </xf>
    <xf numFmtId="37" fontId="43" fillId="0" borderId="0" xfId="0" applyNumberFormat="1" applyFont="1" applyFill="1" applyBorder="1" applyAlignment="1">
      <alignment horizontal="center"/>
    </xf>
    <xf numFmtId="0" fontId="43" fillId="0" borderId="0" xfId="0" quotePrefix="1" applyNumberFormat="1" applyFont="1" applyFill="1" applyBorder="1" applyAlignment="1">
      <alignment horizontal="center"/>
    </xf>
    <xf numFmtId="0" fontId="42" fillId="0" borderId="0" xfId="0" applyNumberFormat="1" applyFont="1" applyFill="1" applyAlignment="1">
      <alignment horizontal="center"/>
    </xf>
    <xf numFmtId="37" fontId="42" fillId="0" borderId="0"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0" xfId="0" quotePrefix="1" applyNumberFormat="1" applyFont="1" applyFill="1" applyAlignment="1">
      <alignment horizontal="center"/>
    </xf>
    <xf numFmtId="0" fontId="17" fillId="0" borderId="0" xfId="0" applyNumberFormat="1" applyFont="1" applyFill="1" applyAlignment="1"/>
    <xf numFmtId="0" fontId="17" fillId="0" borderId="0" xfId="0" applyNumberFormat="1" applyFont="1" applyFill="1" applyAlignment="1" applyProtection="1">
      <alignment horizontal="center"/>
      <protection locked="0"/>
    </xf>
    <xf numFmtId="0" fontId="40" fillId="0" borderId="0" xfId="0" applyNumberFormat="1" applyFont="1" applyFill="1" applyBorder="1" applyAlignment="1"/>
    <xf numFmtId="0" fontId="41" fillId="0" borderId="0" xfId="0" applyNumberFormat="1" applyFont="1" applyFill="1" applyBorder="1" applyAlignment="1"/>
    <xf numFmtId="0" fontId="40" fillId="0" borderId="0" xfId="0" applyNumberFormat="1" applyFont="1" applyFill="1" applyAlignment="1"/>
    <xf numFmtId="0" fontId="12" fillId="0" borderId="18" xfId="0" applyNumberFormat="1" applyFont="1" applyFill="1" applyBorder="1" applyAlignment="1"/>
    <xf numFmtId="0" fontId="13" fillId="0" borderId="18" xfId="0" applyNumberFormat="1" applyFont="1" applyFill="1" applyBorder="1" applyAlignment="1"/>
    <xf numFmtId="0" fontId="13" fillId="0" borderId="18" xfId="0" applyNumberFormat="1" applyFont="1" applyFill="1" applyBorder="1" applyAlignment="1" applyProtection="1">
      <alignment horizontal="center"/>
      <protection locked="0"/>
    </xf>
    <xf numFmtId="0" fontId="13" fillId="0" borderId="0" xfId="0" applyNumberFormat="1" applyFont="1" applyFill="1" applyAlignment="1" applyProtection="1">
      <protection locked="0"/>
    </xf>
    <xf numFmtId="0" fontId="13" fillId="0" borderId="0" xfId="0" applyNumberFormat="1" applyFont="1" applyFill="1" applyAlignment="1" applyProtection="1">
      <alignment horizontal="center"/>
      <protection locked="0"/>
    </xf>
    <xf numFmtId="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166" fontId="0" fillId="0" borderId="0" xfId="0" applyNumberFormat="1" applyFont="1" applyFill="1" applyAlignment="1">
      <alignment horizontal="center"/>
    </xf>
    <xf numFmtId="5" fontId="12" fillId="0" borderId="18" xfId="0" applyNumberFormat="1" applyFont="1" applyFill="1" applyBorder="1" applyAlignment="1"/>
    <xf numFmtId="5" fontId="13" fillId="0" borderId="27" xfId="0" applyNumberFormat="1" applyFont="1" applyFill="1" applyBorder="1" applyAlignment="1">
      <alignment horizontal="center"/>
    </xf>
    <xf numFmtId="7" fontId="23" fillId="0" borderId="0" xfId="0" applyNumberFormat="1" applyFont="1" applyFill="1" applyAlignment="1"/>
    <xf numFmtId="7" fontId="30" fillId="0" borderId="0" xfId="0" applyNumberFormat="1" applyFont="1" applyFill="1" applyAlignment="1"/>
    <xf numFmtId="0" fontId="13" fillId="0" borderId="0" xfId="0" applyNumberFormat="1" applyFont="1" applyFill="1" applyAlignment="1">
      <alignment horizontal="left"/>
    </xf>
    <xf numFmtId="0" fontId="48" fillId="0" borderId="0" xfId="0" applyNumberFormat="1" applyFont="1" applyFill="1" applyAlignment="1"/>
    <xf numFmtId="0" fontId="45" fillId="0" borderId="0" xfId="0" applyNumberFormat="1" applyFont="1" applyFill="1" applyAlignment="1">
      <alignment horizontal="center"/>
    </xf>
    <xf numFmtId="0" fontId="70" fillId="0" borderId="0" xfId="0" applyNumberFormat="1" applyFont="1" applyFill="1" applyAlignment="1"/>
    <xf numFmtId="0" fontId="71" fillId="0" borderId="0" xfId="0" applyNumberFormat="1" applyFont="1" applyFill="1" applyAlignment="1"/>
    <xf numFmtId="5" fontId="44" fillId="0" borderId="0" xfId="0" applyNumberFormat="1" applyFont="1" applyFill="1" applyAlignment="1">
      <alignment horizontal="left" vertical="center"/>
    </xf>
    <xf numFmtId="5" fontId="44" fillId="0" borderId="0" xfId="0" applyNumberFormat="1" applyFont="1" applyFill="1" applyAlignment="1">
      <alignment vertical="center"/>
    </xf>
    <xf numFmtId="5" fontId="52" fillId="0" borderId="27" xfId="0" applyNumberFormat="1" applyFont="1" applyFill="1" applyBorder="1" applyAlignment="1">
      <alignment horizontal="center" vertical="center"/>
    </xf>
    <xf numFmtId="5" fontId="44" fillId="0" borderId="0" xfId="0" applyNumberFormat="1" applyFont="1" applyFill="1" applyAlignment="1">
      <alignment horizontal="right" vertical="center" wrapText="1"/>
    </xf>
    <xf numFmtId="0" fontId="44" fillId="0" borderId="0" xfId="0" applyNumberFormat="1" applyFont="1" applyFill="1" applyAlignment="1">
      <alignment vertical="center"/>
    </xf>
    <xf numFmtId="5" fontId="44" fillId="0" borderId="4" xfId="0" applyNumberFormat="1" applyFont="1" applyFill="1" applyBorder="1" applyAlignment="1"/>
    <xf numFmtId="5" fontId="44" fillId="0" borderId="0" xfId="0" applyNumberFormat="1" applyFont="1" applyFill="1" applyAlignment="1"/>
    <xf numFmtId="7" fontId="44" fillId="0" borderId="0" xfId="0" applyNumberFormat="1" applyFont="1" applyFill="1" applyAlignment="1"/>
    <xf numFmtId="7" fontId="49" fillId="0" borderId="0" xfId="0" applyNumberFormat="1" applyFont="1" applyFill="1" applyAlignment="1"/>
    <xf numFmtId="7" fontId="51" fillId="0" borderId="0" xfId="0" applyNumberFormat="1" applyFont="1" applyFill="1" applyAlignment="1"/>
    <xf numFmtId="166" fontId="44" fillId="0" borderId="0" xfId="0" applyNumberFormat="1" applyFont="1" applyFill="1" applyAlignment="1"/>
    <xf numFmtId="0" fontId="50" fillId="0" borderId="0" xfId="0" applyNumberFormat="1" applyFont="1" applyFill="1" applyAlignment="1"/>
    <xf numFmtId="43" fontId="7" fillId="0" borderId="0" xfId="0" applyNumberFormat="1" applyFont="1" applyFill="1" applyBorder="1" applyAlignment="1"/>
    <xf numFmtId="173" fontId="7" fillId="0" borderId="0" xfId="0" applyNumberFormat="1" applyFont="1" applyFill="1" applyBorder="1" applyAlignment="1">
      <alignment horizontal="center"/>
    </xf>
    <xf numFmtId="173" fontId="7" fillId="0" borderId="18" xfId="0" applyNumberFormat="1" applyFont="1" applyFill="1" applyBorder="1" applyAlignment="1">
      <alignment horizontal="center"/>
    </xf>
    <xf numFmtId="173" fontId="7" fillId="0" borderId="0" xfId="0" applyNumberFormat="1" applyFont="1" applyFill="1" applyAlignment="1">
      <alignment horizontal="center"/>
    </xf>
    <xf numFmtId="3" fontId="7" fillId="0" borderId="0" xfId="0" applyNumberFormat="1" applyFont="1" applyFill="1" applyAlignment="1"/>
    <xf numFmtId="166" fontId="0" fillId="0" borderId="0" xfId="0" applyNumberFormat="1" applyFont="1" applyFill="1" applyAlignment="1"/>
    <xf numFmtId="10" fontId="7" fillId="0" borderId="3" xfId="0" applyNumberFormat="1" applyFont="1" applyFill="1" applyBorder="1" applyAlignment="1">
      <alignment horizontal="center"/>
    </xf>
    <xf numFmtId="166" fontId="0" fillId="0" borderId="18" xfId="0" applyNumberFormat="1" applyFont="1" applyFill="1" applyBorder="1" applyAlignment="1">
      <alignment horizontal="center"/>
    </xf>
    <xf numFmtId="164" fontId="7" fillId="0" borderId="18" xfId="0" applyNumberFormat="1" applyFont="1" applyFill="1" applyBorder="1" applyAlignment="1">
      <alignment horizontal="center"/>
    </xf>
    <xf numFmtId="0" fontId="7" fillId="0" borderId="18" xfId="0" applyNumberFormat="1" applyFont="1" applyFill="1" applyBorder="1" applyAlignment="1">
      <alignment horizontal="center"/>
    </xf>
    <xf numFmtId="166" fontId="7" fillId="0" borderId="0" xfId="0" applyNumberFormat="1" applyFont="1" applyFill="1" applyAlignment="1"/>
    <xf numFmtId="10" fontId="7" fillId="0" borderId="0" xfId="0" applyNumberFormat="1" applyFont="1" applyFill="1" applyAlignment="1">
      <alignment horizontal="center"/>
    </xf>
    <xf numFmtId="166" fontId="0" fillId="0" borderId="0" xfId="0" applyNumberFormat="1" applyFont="1" applyFill="1" applyAlignment="1">
      <alignment horizontal="center"/>
    </xf>
    <xf numFmtId="164" fontId="7" fillId="0" borderId="0" xfId="0" applyNumberFormat="1" applyFont="1" applyFill="1" applyAlignment="1">
      <alignment horizontal="center"/>
    </xf>
    <xf numFmtId="166" fontId="46" fillId="0" borderId="0" xfId="0" applyNumberFormat="1" applyFont="1" applyFill="1" applyAlignment="1">
      <alignment horizontal="center"/>
    </xf>
    <xf numFmtId="0" fontId="13" fillId="0" borderId="27" xfId="0" applyNumberFormat="1" applyFont="1" applyFill="1" applyBorder="1" applyAlignment="1">
      <alignment horizontal="center"/>
    </xf>
    <xf numFmtId="166" fontId="13" fillId="0" borderId="17" xfId="0" applyNumberFormat="1" applyFont="1" applyFill="1" applyBorder="1" applyAlignment="1"/>
    <xf numFmtId="166" fontId="13" fillId="0" borderId="18" xfId="0" applyNumberFormat="1" applyFont="1" applyFill="1" applyBorder="1" applyAlignment="1"/>
    <xf numFmtId="0" fontId="52" fillId="0" borderId="42" xfId="0" applyNumberFormat="1" applyFont="1" applyFill="1" applyBorder="1" applyAlignment="1"/>
    <xf numFmtId="0" fontId="44" fillId="0" borderId="42" xfId="0" applyNumberFormat="1" applyFont="1" applyFill="1" applyBorder="1" applyAlignment="1"/>
    <xf numFmtId="0" fontId="44" fillId="0" borderId="41" xfId="0" applyNumberFormat="1" applyFont="1" applyFill="1" applyBorder="1" applyAlignment="1"/>
    <xf numFmtId="0" fontId="12" fillId="0" borderId="41" xfId="0" applyNumberFormat="1" applyFont="1" applyFill="1" applyBorder="1" applyAlignment="1"/>
    <xf numFmtId="0" fontId="44" fillId="0" borderId="40" xfId="0" applyNumberFormat="1" applyFont="1" applyFill="1" applyBorder="1" applyAlignment="1"/>
    <xf numFmtId="166" fontId="0" fillId="0" borderId="17" xfId="0" applyNumberFormat="1" applyFill="1" applyBorder="1" applyAlignment="1"/>
    <xf numFmtId="166" fontId="0" fillId="0" borderId="18" xfId="0" applyNumberFormat="1" applyFill="1" applyBorder="1" applyAlignment="1"/>
    <xf numFmtId="0" fontId="13" fillId="0" borderId="42" xfId="0" applyNumberFormat="1" applyFont="1" applyFill="1" applyBorder="1" applyAlignment="1"/>
    <xf numFmtId="166" fontId="0" fillId="0" borderId="14" xfId="0" applyNumberFormat="1" applyFill="1" applyBorder="1" applyAlignment="1"/>
    <xf numFmtId="166" fontId="0" fillId="0" borderId="0" xfId="0" applyNumberFormat="1" applyFill="1" applyBorder="1" applyAlignment="1"/>
    <xf numFmtId="0" fontId="13" fillId="0" borderId="41" xfId="0" applyNumberFormat="1" applyFont="1" applyFill="1" applyBorder="1" applyAlignment="1"/>
    <xf numFmtId="0" fontId="13" fillId="0" borderId="40" xfId="0" applyNumberFormat="1" applyFont="1" applyFill="1" applyBorder="1" applyAlignment="1"/>
    <xf numFmtId="164" fontId="0" fillId="0" borderId="43" xfId="0" applyFill="1" applyBorder="1" applyAlignment="1"/>
    <xf numFmtId="166" fontId="53" fillId="0" borderId="17" xfId="0" applyNumberFormat="1" applyFont="1" applyFill="1" applyBorder="1" applyAlignment="1"/>
    <xf numFmtId="166" fontId="53" fillId="0" borderId="18" xfId="0" applyNumberFormat="1" applyFont="1" applyFill="1" applyBorder="1" applyAlignment="1"/>
    <xf numFmtId="164" fontId="0" fillId="0" borderId="42" xfId="0" applyFill="1" applyBorder="1" applyAlignment="1"/>
    <xf numFmtId="166" fontId="0" fillId="0" borderId="17" xfId="0" applyNumberFormat="1" applyFont="1" applyFill="1" applyBorder="1" applyAlignment="1"/>
    <xf numFmtId="166" fontId="0" fillId="0" borderId="18" xfId="0" applyNumberFormat="1" applyFont="1" applyFill="1" applyBorder="1" applyAlignment="1"/>
    <xf numFmtId="164" fontId="0" fillId="0" borderId="41" xfId="0" applyFill="1" applyBorder="1" applyAlignment="1"/>
    <xf numFmtId="166" fontId="0" fillId="0" borderId="21" xfId="0" applyNumberFormat="1" applyFill="1" applyBorder="1" applyAlignment="1"/>
    <xf numFmtId="166" fontId="0" fillId="0" borderId="1" xfId="0" applyNumberFormat="1" applyFill="1" applyBorder="1" applyAlignment="1"/>
    <xf numFmtId="164" fontId="0" fillId="0" borderId="40" xfId="0" applyFill="1" applyBorder="1" applyAlignment="1"/>
    <xf numFmtId="166" fontId="0" fillId="0" borderId="39" xfId="0" applyNumberFormat="1" applyFill="1" applyBorder="1" applyAlignment="1"/>
    <xf numFmtId="166" fontId="0" fillId="0" borderId="38" xfId="0" applyNumberFormat="1" applyFill="1" applyBorder="1" applyAlignment="1"/>
    <xf numFmtId="166" fontId="0" fillId="0" borderId="36" xfId="0" applyNumberFormat="1" applyFill="1" applyBorder="1" applyAlignment="1"/>
    <xf numFmtId="164" fontId="0" fillId="0" borderId="37" xfId="0" applyFill="1" applyBorder="1" applyAlignment="1"/>
    <xf numFmtId="164" fontId="0" fillId="0" borderId="36" xfId="0" applyFill="1" applyBorder="1" applyAlignment="1"/>
    <xf numFmtId="164" fontId="0" fillId="0" borderId="32" xfId="0" applyFill="1" applyBorder="1" applyAlignment="1"/>
    <xf numFmtId="164" fontId="0" fillId="0" borderId="31" xfId="0" applyFill="1" applyBorder="1" applyAlignment="1"/>
    <xf numFmtId="164" fontId="0" fillId="0" borderId="30" xfId="0" applyFill="1" applyBorder="1" applyAlignment="1"/>
    <xf numFmtId="164" fontId="0" fillId="0" borderId="0" xfId="0" applyFill="1">
      <alignment horizontal="left" wrapText="1"/>
    </xf>
    <xf numFmtId="164" fontId="13" fillId="0" borderId="0" xfId="0" applyFont="1" applyFill="1" applyAlignment="1"/>
    <xf numFmtId="6" fontId="7" fillId="0" borderId="0" xfId="0" applyNumberFormat="1" applyFont="1" applyFill="1" applyAlignment="1"/>
    <xf numFmtId="44" fontId="7" fillId="0" borderId="0" xfId="0" applyNumberFormat="1" applyFont="1" applyFill="1" applyAlignment="1"/>
    <xf numFmtId="44" fontId="7" fillId="0" borderId="17" xfId="0" applyNumberFormat="1" applyFont="1" applyFill="1" applyBorder="1" applyAlignment="1"/>
    <xf numFmtId="44" fontId="7" fillId="0" borderId="18" xfId="0" applyNumberFormat="1" applyFont="1" applyFill="1" applyBorder="1" applyAlignment="1"/>
    <xf numFmtId="6" fontId="58" fillId="0" borderId="49" xfId="0" applyNumberFormat="1" applyFont="1" applyFill="1" applyBorder="1" applyAlignment="1"/>
    <xf numFmtId="6" fontId="58" fillId="0" borderId="45" xfId="0" applyNumberFormat="1" applyFont="1" applyFill="1" applyBorder="1" applyAlignment="1"/>
    <xf numFmtId="0" fontId="64" fillId="0" borderId="45" xfId="0" applyNumberFormat="1" applyFont="1" applyFill="1" applyBorder="1" applyAlignment="1"/>
    <xf numFmtId="43" fontId="64" fillId="0" borderId="48" xfId="0" applyNumberFormat="1" applyFont="1" applyFill="1" applyBorder="1" applyAlignment="1"/>
    <xf numFmtId="165" fontId="58" fillId="0" borderId="17" xfId="0" applyNumberFormat="1" applyFont="1" applyFill="1" applyBorder="1" applyAlignment="1"/>
    <xf numFmtId="165" fontId="58" fillId="0" borderId="18" xfId="0" applyNumberFormat="1" applyFont="1" applyFill="1" applyBorder="1" applyAlignment="1"/>
    <xf numFmtId="1" fontId="44" fillId="0" borderId="0" xfId="0" applyNumberFormat="1" applyFont="1" applyFill="1" applyAlignment="1">
      <alignment horizontal="center"/>
    </xf>
    <xf numFmtId="165" fontId="58" fillId="0" borderId="14" xfId="0" applyNumberFormat="1" applyFont="1" applyFill="1" applyBorder="1" applyAlignment="1"/>
    <xf numFmtId="44" fontId="58" fillId="0" borderId="14" xfId="0" applyNumberFormat="1" applyFont="1" applyFill="1" applyBorder="1" applyAlignment="1"/>
    <xf numFmtId="44" fontId="58" fillId="0" borderId="0" xfId="0" applyNumberFormat="1" applyFont="1" applyFill="1" applyBorder="1" applyAlignment="1"/>
    <xf numFmtId="6" fontId="58" fillId="0" borderId="17" xfId="0" applyNumberFormat="1" applyFont="1" applyFill="1" applyBorder="1" applyAlignment="1"/>
    <xf numFmtId="6" fontId="58" fillId="0" borderId="18" xfId="0" applyNumberFormat="1" applyFont="1" applyFill="1" applyBorder="1" applyAlignment="1"/>
    <xf numFmtId="6" fontId="58" fillId="0" borderId="14" xfId="0" applyNumberFormat="1" applyFont="1" applyFill="1" applyBorder="1" applyAlignment="1"/>
    <xf numFmtId="6" fontId="58" fillId="0" borderId="0" xfId="0" applyNumberFormat="1" applyFont="1" applyFill="1" applyBorder="1" applyAlignment="1"/>
    <xf numFmtId="0" fontId="61" fillId="0" borderId="0" xfId="0" applyNumberFormat="1" applyFont="1" applyFill="1" applyBorder="1" applyAlignment="1">
      <alignment horizontal="center"/>
    </xf>
    <xf numFmtId="0" fontId="61" fillId="0" borderId="0" xfId="0" applyNumberFormat="1" applyFont="1" applyFill="1" applyBorder="1" applyAlignment="1">
      <alignment horizontal="left" indent="1"/>
    </xf>
    <xf numFmtId="0" fontId="61" fillId="0" borderId="41" xfId="0" applyNumberFormat="1" applyFont="1" applyFill="1" applyBorder="1" applyAlignment="1">
      <alignment horizontal="left" indent="1"/>
    </xf>
    <xf numFmtId="0" fontId="64" fillId="0" borderId="0" xfId="0" applyNumberFormat="1" applyFont="1" applyFill="1" applyBorder="1" applyAlignment="1">
      <alignment horizontal="center"/>
    </xf>
    <xf numFmtId="0" fontId="58" fillId="0" borderId="41" xfId="0" applyNumberFormat="1" applyFont="1" applyFill="1" applyBorder="1" applyAlignment="1"/>
    <xf numFmtId="0" fontId="58" fillId="0" borderId="0" xfId="0" applyNumberFormat="1" applyFont="1" applyFill="1" applyBorder="1" applyAlignment="1">
      <alignment horizontal="right"/>
    </xf>
    <xf numFmtId="0" fontId="58" fillId="0" borderId="41" xfId="0" applyNumberFormat="1" applyFont="1" applyFill="1" applyBorder="1" applyAlignment="1">
      <alignment horizontal="right"/>
    </xf>
    <xf numFmtId="37" fontId="58" fillId="0" borderId="17" xfId="0" applyNumberFormat="1" applyFont="1" applyFill="1" applyBorder="1" applyAlignment="1"/>
    <xf numFmtId="37" fontId="58" fillId="0" borderId="18" xfId="0" applyNumberFormat="1" applyFont="1" applyFill="1" applyBorder="1" applyAlignment="1"/>
    <xf numFmtId="8" fontId="44" fillId="0" borderId="0" xfId="0" applyNumberFormat="1" applyFont="1" applyFill="1" applyAlignment="1"/>
    <xf numFmtId="37" fontId="58" fillId="0" borderId="14" xfId="0" applyNumberFormat="1" applyFont="1" applyFill="1" applyBorder="1" applyAlignment="1"/>
    <xf numFmtId="0" fontId="58" fillId="0" borderId="14" xfId="0" applyNumberFormat="1" applyFont="1" applyFill="1" applyBorder="1" applyAlignment="1"/>
    <xf numFmtId="0" fontId="58" fillId="0" borderId="0" xfId="0" applyNumberFormat="1" applyFont="1" applyFill="1" applyBorder="1" applyAlignment="1"/>
    <xf numFmtId="0" fontId="61" fillId="0" borderId="0" xfId="0" applyNumberFormat="1" applyFont="1" applyFill="1" applyBorder="1" applyAlignment="1"/>
    <xf numFmtId="43" fontId="61" fillId="0" borderId="41" xfId="0" applyNumberFormat="1" applyFont="1" applyFill="1" applyBorder="1" applyAlignment="1"/>
    <xf numFmtId="17" fontId="61" fillId="0" borderId="14" xfId="0" applyNumberFormat="1" applyFont="1" applyFill="1" applyBorder="1" applyAlignment="1">
      <alignment horizontal="right"/>
    </xf>
    <xf numFmtId="17" fontId="61" fillId="0" borderId="0" xfId="0" applyNumberFormat="1" applyFont="1" applyFill="1" applyBorder="1" applyAlignment="1"/>
    <xf numFmtId="0" fontId="34" fillId="0" borderId="1" xfId="0" applyNumberFormat="1" applyFont="1" applyFill="1" applyBorder="1" applyAlignment="1"/>
    <xf numFmtId="0" fontId="34" fillId="0" borderId="40" xfId="0" applyNumberFormat="1" applyFont="1" applyFill="1" applyBorder="1" applyAlignment="1"/>
    <xf numFmtId="5" fontId="7" fillId="0" borderId="0" xfId="0" applyNumberFormat="1" applyFont="1" applyFill="1" applyAlignment="1">
      <alignment horizontal="center"/>
    </xf>
    <xf numFmtId="0" fontId="63" fillId="0" borderId="18" xfId="0" applyNumberFormat="1" applyFont="1" applyFill="1" applyBorder="1" applyAlignment="1">
      <alignment horizontal="center" wrapText="1"/>
    </xf>
    <xf numFmtId="6" fontId="63" fillId="0" borderId="18" xfId="0" applyNumberFormat="1" applyFont="1" applyFill="1" applyBorder="1" applyAlignment="1">
      <alignment horizontal="center"/>
    </xf>
    <xf numFmtId="37" fontId="63" fillId="0" borderId="18" xfId="0" applyNumberFormat="1" applyFont="1" applyFill="1" applyBorder="1" applyAlignment="1">
      <alignment horizontal="center"/>
    </xf>
    <xf numFmtId="0" fontId="7" fillId="0" borderId="17" xfId="0" applyNumberFormat="1" applyFont="1" applyFill="1" applyBorder="1" applyAlignment="1"/>
    <xf numFmtId="175" fontId="7" fillId="0" borderId="18" xfId="0" applyNumberFormat="1" applyFont="1" applyFill="1" applyBorder="1" applyAlignment="1">
      <alignment horizontal="center" vertical="center"/>
    </xf>
    <xf numFmtId="0" fontId="7" fillId="0" borderId="18" xfId="0" applyNumberFormat="1" applyFont="1" applyFill="1" applyBorder="1" applyAlignment="1"/>
    <xf numFmtId="0" fontId="7" fillId="0" borderId="42" xfId="0" applyNumberFormat="1" applyFont="1" applyFill="1" applyBorder="1" applyAlignment="1"/>
    <xf numFmtId="17" fontId="61" fillId="0" borderId="0" xfId="0" applyNumberFormat="1" applyFont="1" applyFill="1" applyBorder="1" applyAlignment="1">
      <alignment horizontal="center" vertical="center"/>
    </xf>
    <xf numFmtId="0" fontId="7" fillId="0" borderId="41" xfId="0" applyNumberFormat="1" applyFont="1" applyFill="1" applyBorder="1" applyAlignment="1"/>
    <xf numFmtId="0" fontId="7" fillId="0" borderId="14" xfId="0" applyNumberFormat="1" applyFont="1" applyFill="1" applyBorder="1" applyAlignment="1"/>
    <xf numFmtId="0" fontId="7" fillId="0" borderId="0" xfId="0" applyNumberFormat="1" applyFont="1" applyFill="1" applyBorder="1" applyAlignment="1">
      <alignment horizontal="center" vertical="center"/>
    </xf>
    <xf numFmtId="0" fontId="59" fillId="0" borderId="41" xfId="0" applyNumberFormat="1" applyFont="1" applyFill="1" applyBorder="1" applyAlignment="1">
      <alignment horizontal="left" indent="1"/>
    </xf>
    <xf numFmtId="0" fontId="7" fillId="0" borderId="21" xfId="0" applyNumberFormat="1" applyFont="1" applyFill="1" applyBorder="1" applyAlignment="1"/>
    <xf numFmtId="0" fontId="7" fillId="0" borderId="1" xfId="0" applyNumberFormat="1" applyFont="1" applyFill="1" applyBorder="1" applyAlignment="1"/>
    <xf numFmtId="43" fontId="60" fillId="0" borderId="40" xfId="0" applyNumberFormat="1" applyFont="1" applyFill="1" applyBorder="1" applyAlignment="1">
      <alignment horizontal="left"/>
    </xf>
    <xf numFmtId="8" fontId="7" fillId="0" borderId="0" xfId="0" applyNumberFormat="1" applyFont="1" applyFill="1" applyAlignment="1"/>
    <xf numFmtId="0" fontId="7" fillId="0" borderId="0" xfId="0" applyNumberFormat="1" applyFont="1" applyFill="1" applyAlignment="1">
      <alignment horizontal="center"/>
    </xf>
    <xf numFmtId="0" fontId="59" fillId="0" borderId="0" xfId="0" applyNumberFormat="1" applyFont="1" applyFill="1" applyAlignment="1"/>
    <xf numFmtId="0" fontId="58" fillId="0" borderId="0" xfId="0" applyNumberFormat="1" applyFont="1" applyFill="1" applyAlignment="1">
      <alignment horizontal="center"/>
    </xf>
    <xf numFmtId="166" fontId="58" fillId="0" borderId="47" xfId="0" applyNumberFormat="1" applyFont="1" applyFill="1" applyBorder="1" applyAlignment="1">
      <alignment horizontal="center"/>
    </xf>
    <xf numFmtId="166" fontId="58" fillId="0" borderId="18" xfId="0" applyNumberFormat="1" applyFont="1" applyFill="1" applyBorder="1" applyAlignment="1">
      <alignment horizontal="center"/>
    </xf>
    <xf numFmtId="0" fontId="59" fillId="0" borderId="0" xfId="0" applyNumberFormat="1" applyFont="1" applyFill="1" applyAlignment="1">
      <alignment wrapText="1"/>
    </xf>
    <xf numFmtId="166" fontId="58" fillId="0" borderId="0" xfId="0" applyNumberFormat="1" applyFont="1" applyFill="1" applyAlignment="1">
      <alignment horizontal="center"/>
    </xf>
    <xf numFmtId="0" fontId="57" fillId="0" borderId="0" xfId="0" applyNumberFormat="1" applyFont="1" applyFill="1" applyAlignment="1">
      <alignment horizontal="right"/>
    </xf>
    <xf numFmtId="0" fontId="56" fillId="0" borderId="18" xfId="0" applyNumberFormat="1" applyFont="1" applyFill="1" applyBorder="1" applyAlignment="1">
      <alignment horizontal="center"/>
    </xf>
    <xf numFmtId="166" fontId="56" fillId="0" borderId="18" xfId="0" applyNumberFormat="1" applyFont="1" applyFill="1" applyBorder="1" applyAlignment="1">
      <alignment horizontal="center"/>
    </xf>
    <xf numFmtId="0" fontId="56" fillId="0" borderId="18" xfId="0" applyNumberFormat="1" applyFont="1" applyFill="1" applyBorder="1" applyAlignment="1">
      <alignment horizontal="center" wrapText="1"/>
    </xf>
    <xf numFmtId="0" fontId="56" fillId="0" borderId="18" xfId="0" applyNumberFormat="1" applyFont="1" applyFill="1" applyBorder="1" applyAlignment="1">
      <alignment horizontal="right"/>
    </xf>
    <xf numFmtId="0" fontId="76" fillId="0" borderId="0" xfId="0" applyNumberFormat="1" applyFont="1" applyFill="1" applyAlignment="1"/>
    <xf numFmtId="0" fontId="76" fillId="0" borderId="0" xfId="0" applyNumberFormat="1" applyFont="1" applyFill="1" applyAlignment="1">
      <alignment wrapText="1"/>
    </xf>
    <xf numFmtId="39" fontId="12" fillId="0" borderId="0" xfId="0" applyNumberFormat="1" applyFont="1" applyFill="1" applyAlignment="1"/>
    <xf numFmtId="0" fontId="12" fillId="0" borderId="0" xfId="0" applyNumberFormat="1" applyFont="1" applyFill="1" applyAlignment="1">
      <alignment horizontal="center"/>
    </xf>
    <xf numFmtId="0" fontId="46" fillId="0" borderId="0" xfId="0" applyNumberFormat="1" applyFont="1" applyFill="1" applyAlignment="1">
      <alignment horizontal="center"/>
    </xf>
    <xf numFmtId="17" fontId="46" fillId="0" borderId="0" xfId="0" applyNumberFormat="1" applyFont="1" applyFill="1" applyAlignment="1"/>
    <xf numFmtId="0" fontId="15" fillId="0" borderId="0" xfId="0" applyNumberFormat="1" applyFont="1" applyFill="1" applyAlignment="1">
      <alignment wrapText="1"/>
    </xf>
    <xf numFmtId="0" fontId="36" fillId="0" borderId="0" xfId="0" applyNumberFormat="1" applyFont="1" applyFill="1" applyAlignment="1">
      <alignment horizontal="left"/>
    </xf>
    <xf numFmtId="37" fontId="0" fillId="0" borderId="27" xfId="0" applyNumberFormat="1" applyFill="1" applyBorder="1" applyAlignment="1"/>
    <xf numFmtId="0" fontId="34" fillId="0" borderId="0" xfId="0" applyNumberFormat="1" applyFont="1" applyFill="1" applyAlignment="1"/>
    <xf numFmtId="5" fontId="7" fillId="0" borderId="53" xfId="0" applyNumberFormat="1" applyFont="1" applyFill="1" applyBorder="1" applyAlignment="1"/>
    <xf numFmtId="5" fontId="7" fillId="0" borderId="52" xfId="0" applyNumberFormat="1" applyFont="1" applyFill="1" applyBorder="1" applyAlignment="1"/>
    <xf numFmtId="0" fontId="0" fillId="0" borderId="52" xfId="0" applyNumberFormat="1" applyFill="1" applyBorder="1" applyAlignment="1"/>
    <xf numFmtId="164" fontId="7" fillId="0" borderId="23" xfId="0" applyFont="1" applyFill="1" applyBorder="1" applyAlignment="1"/>
    <xf numFmtId="9" fontId="7" fillId="0" borderId="17" xfId="0" applyNumberFormat="1" applyFont="1" applyFill="1" applyBorder="1" applyAlignment="1">
      <alignment horizontal="center"/>
    </xf>
    <xf numFmtId="9" fontId="7" fillId="0" borderId="42" xfId="0" applyNumberFormat="1" applyFont="1" applyFill="1" applyBorder="1" applyAlignment="1">
      <alignment horizontal="center"/>
    </xf>
    <xf numFmtId="9" fontId="7" fillId="0" borderId="14" xfId="0" applyNumberFormat="1" applyFont="1" applyFill="1" applyBorder="1" applyAlignment="1">
      <alignment horizontal="center"/>
    </xf>
    <xf numFmtId="9" fontId="7" fillId="0" borderId="41" xfId="0" applyNumberFormat="1" applyFont="1" applyFill="1" applyBorder="1" applyAlignment="1">
      <alignment horizontal="center"/>
    </xf>
    <xf numFmtId="9" fontId="7" fillId="0" borderId="21" xfId="0" applyNumberFormat="1" applyFont="1" applyFill="1" applyBorder="1" applyAlignment="1">
      <alignment horizontal="center"/>
    </xf>
    <xf numFmtId="9" fontId="7" fillId="0" borderId="40" xfId="0" applyNumberFormat="1" applyFont="1" applyFill="1" applyBorder="1" applyAlignment="1">
      <alignment horizontal="center"/>
    </xf>
    <xf numFmtId="5" fontId="7" fillId="0" borderId="17" xfId="0" applyNumberFormat="1" applyFont="1" applyFill="1" applyBorder="1" applyAlignment="1">
      <alignment horizontal="center"/>
    </xf>
    <xf numFmtId="5" fontId="7" fillId="0" borderId="42" xfId="0" applyNumberFormat="1" applyFont="1" applyFill="1" applyBorder="1" applyAlignment="1">
      <alignment horizontal="center"/>
    </xf>
    <xf numFmtId="5" fontId="7" fillId="0" borderId="16" xfId="0" applyNumberFormat="1" applyFont="1" applyFill="1" applyBorder="1" applyAlignment="1">
      <alignment horizontal="center"/>
    </xf>
    <xf numFmtId="164" fontId="34" fillId="0" borderId="12" xfId="0" applyFont="1" applyFill="1" applyBorder="1" applyAlignment="1"/>
    <xf numFmtId="5" fontId="7" fillId="0" borderId="51" xfId="0" applyNumberFormat="1" applyFont="1" applyFill="1" applyBorder="1" applyAlignment="1"/>
    <xf numFmtId="164" fontId="7" fillId="0" borderId="0" xfId="0" applyFont="1" applyFill="1" applyBorder="1" applyAlignment="1"/>
    <xf numFmtId="5" fontId="7" fillId="0" borderId="21" xfId="0" applyNumberFormat="1" applyFont="1" applyFill="1" applyBorder="1" applyAlignment="1">
      <alignment horizontal="centerContinuous"/>
    </xf>
    <xf numFmtId="5" fontId="7" fillId="0" borderId="40" xfId="0" applyNumberFormat="1" applyFont="1" applyFill="1" applyBorder="1" applyAlignment="1">
      <alignment horizontal="centerContinuous"/>
    </xf>
    <xf numFmtId="5" fontId="7" fillId="0" borderId="20" xfId="0" applyNumberFormat="1" applyFont="1" applyFill="1" applyBorder="1" applyAlignment="1">
      <alignment horizontal="center"/>
    </xf>
    <xf numFmtId="164" fontId="7" fillId="0" borderId="12" xfId="0" applyFont="1" applyFill="1" applyBorder="1" applyAlignment="1"/>
    <xf numFmtId="5" fontId="7" fillId="0" borderId="50" xfId="0" applyNumberFormat="1" applyFont="1" applyFill="1" applyBorder="1" applyAlignment="1"/>
    <xf numFmtId="5" fontId="7" fillId="0" borderId="10" xfId="0" applyNumberFormat="1" applyFont="1" applyFill="1" applyBorder="1" applyAlignment="1"/>
    <xf numFmtId="0" fontId="0" fillId="0" borderId="10" xfId="0" applyNumberFormat="1" applyFill="1" applyBorder="1" applyAlignment="1"/>
    <xf numFmtId="164" fontId="7" fillId="0" borderId="7" xfId="0" applyFont="1" applyFill="1" applyBorder="1" applyAlignment="1"/>
    <xf numFmtId="5" fontId="39" fillId="0" borderId="0" xfId="0" applyNumberFormat="1" applyFont="1" applyFill="1" applyBorder="1" applyAlignment="1"/>
    <xf numFmtId="5" fontId="7" fillId="0" borderId="13" xfId="0" applyNumberFormat="1" applyFont="1" applyFill="1" applyBorder="1" applyAlignment="1"/>
    <xf numFmtId="5" fontId="7" fillId="0" borderId="0" xfId="0" applyNumberFormat="1" applyFont="1" applyFill="1" applyBorder="1" applyAlignment="1"/>
    <xf numFmtId="164" fontId="7" fillId="0" borderId="41" xfId="0" applyFont="1" applyFill="1" applyBorder="1" applyAlignment="1"/>
    <xf numFmtId="5" fontId="7" fillId="0" borderId="16" xfId="0" applyNumberFormat="1" applyFont="1" applyFill="1" applyBorder="1" applyAlignment="1"/>
    <xf numFmtId="5" fontId="7" fillId="0" borderId="18" xfId="0" applyNumberFormat="1" applyFont="1" applyFill="1" applyBorder="1" applyAlignment="1"/>
    <xf numFmtId="0" fontId="0" fillId="0" borderId="18" xfId="0" applyNumberFormat="1" applyFill="1" applyBorder="1" applyAlignment="1"/>
    <xf numFmtId="164" fontId="7" fillId="0" borderId="42" xfId="0" applyFont="1" applyFill="1" applyBorder="1" applyAlignment="1"/>
    <xf numFmtId="5" fontId="7" fillId="0" borderId="20" xfId="0" applyNumberFormat="1" applyFont="1" applyFill="1" applyBorder="1" applyAlignment="1"/>
    <xf numFmtId="5" fontId="7" fillId="0" borderId="1" xfId="0" applyNumberFormat="1" applyFont="1" applyFill="1" applyBorder="1" applyAlignment="1"/>
    <xf numFmtId="0" fontId="0" fillId="0" borderId="1" xfId="0" applyNumberFormat="1" applyFill="1" applyBorder="1" applyAlignment="1"/>
    <xf numFmtId="164" fontId="7" fillId="0" borderId="40" xfId="0" applyFont="1" applyFill="1" applyBorder="1" applyAlignment="1"/>
    <xf numFmtId="5" fontId="39" fillId="0" borderId="0" xfId="0" applyNumberFormat="1" applyFont="1" applyFill="1" applyAlignment="1"/>
    <xf numFmtId="164" fontId="39" fillId="0" borderId="0" xfId="0" applyFont="1" applyFill="1" applyAlignment="1">
      <alignment horizontal="right"/>
    </xf>
    <xf numFmtId="5" fontId="7" fillId="0" borderId="0" xfId="0" applyNumberFormat="1" applyFont="1" applyFill="1" applyAlignment="1"/>
    <xf numFmtId="164" fontId="7" fillId="0" borderId="0" xfId="0" applyFont="1" applyFill="1" applyAlignment="1"/>
    <xf numFmtId="164" fontId="65" fillId="0" borderId="0" xfId="0" applyFont="1" applyFill="1" applyAlignment="1"/>
    <xf numFmtId="164" fontId="13" fillId="0" borderId="0" xfId="0" applyFont="1" applyFill="1" applyAlignment="1">
      <alignment wrapText="1"/>
    </xf>
    <xf numFmtId="0" fontId="0" fillId="0" borderId="0" xfId="0" applyNumberFormat="1" applyFill="1" applyBorder="1" applyAlignment="1">
      <alignment wrapText="1"/>
    </xf>
    <xf numFmtId="0" fontId="0" fillId="0" borderId="0" xfId="0" applyNumberFormat="1" applyFill="1" applyBorder="1" applyAlignment="1">
      <alignment horizontal="left" wrapText="1"/>
    </xf>
    <xf numFmtId="165" fontId="12" fillId="0" borderId="0" xfId="0" applyNumberFormat="1" applyFont="1" applyFill="1" applyAlignment="1"/>
    <xf numFmtId="0" fontId="21" fillId="0" borderId="0" xfId="0" quotePrefix="1" applyNumberFormat="1" applyFont="1" applyFill="1" applyAlignment="1">
      <alignment horizontal="center"/>
    </xf>
    <xf numFmtId="165" fontId="0" fillId="0" borderId="0" xfId="0" applyNumberFormat="1" applyFill="1" applyAlignment="1"/>
    <xf numFmtId="0" fontId="21" fillId="0" borderId="0" xfId="0" applyNumberFormat="1" applyFont="1" applyFill="1" applyAlignment="1"/>
    <xf numFmtId="0" fontId="0" fillId="0" borderId="0" xfId="0" applyNumberFormat="1" applyFill="1" applyAlignment="1">
      <alignment horizontal="right"/>
    </xf>
    <xf numFmtId="0" fontId="0" fillId="0" borderId="0" xfId="0" applyNumberFormat="1" applyFill="1" applyAlignment="1" applyProtection="1">
      <alignment horizontal="left"/>
      <protection locked="0"/>
    </xf>
    <xf numFmtId="0" fontId="0" fillId="0" borderId="0" xfId="0" quotePrefix="1" applyNumberFormat="1" applyFill="1" applyAlignment="1" applyProtection="1">
      <alignment horizontal="left"/>
      <protection locked="0"/>
    </xf>
    <xf numFmtId="166" fontId="16" fillId="0" borderId="0" xfId="0" applyNumberFormat="1" applyFont="1" applyFill="1" applyBorder="1" applyAlignment="1"/>
    <xf numFmtId="0" fontId="15" fillId="0" borderId="0" xfId="0" applyNumberFormat="1" applyFont="1" applyFill="1" applyAlignment="1"/>
    <xf numFmtId="170" fontId="12" fillId="0" borderId="0" xfId="0" applyNumberFormat="1" applyFont="1" applyFill="1" applyBorder="1" applyAlignment="1"/>
    <xf numFmtId="0" fontId="22" fillId="0" borderId="0" xfId="0" applyNumberFormat="1" applyFont="1" applyFill="1" applyAlignment="1"/>
    <xf numFmtId="0" fontId="23" fillId="0" borderId="0" xfId="0" applyNumberFormat="1" applyFont="1" applyFill="1" applyAlignment="1"/>
    <xf numFmtId="43" fontId="24" fillId="0" borderId="0" xfId="0" applyNumberFormat="1" applyFont="1" applyFill="1" applyAlignment="1">
      <alignment horizontal="center"/>
    </xf>
    <xf numFmtId="0" fontId="13" fillId="0" borderId="0" xfId="0" applyNumberFormat="1" applyFont="1" applyFill="1" applyBorder="1" applyAlignment="1"/>
    <xf numFmtId="0" fontId="0" fillId="0" borderId="0" xfId="0" applyNumberFormat="1" applyFill="1" applyBorder="1" applyAlignment="1">
      <alignment horizontal="center"/>
    </xf>
    <xf numFmtId="0" fontId="0" fillId="0" borderId="0" xfId="0" applyNumberFormat="1" applyFill="1" applyBorder="1" applyAlignment="1"/>
    <xf numFmtId="0" fontId="13" fillId="0" borderId="0" xfId="0" applyNumberFormat="1" applyFont="1" applyFill="1" applyAlignment="1">
      <alignment horizontal="center"/>
    </xf>
    <xf numFmtId="0" fontId="0" fillId="0" borderId="0" xfId="0" applyNumberFormat="1" applyFill="1" applyAlignment="1">
      <alignment horizontal="left"/>
    </xf>
    <xf numFmtId="0" fontId="20" fillId="0" borderId="0" xfId="0" applyNumberFormat="1" applyFont="1" applyFill="1" applyAlignment="1"/>
    <xf numFmtId="164" fontId="10" fillId="0" borderId="0" xfId="0" applyFont="1" applyFill="1" applyAlignment="1">
      <alignment horizontal="left"/>
    </xf>
    <xf numFmtId="0" fontId="9" fillId="0" borderId="0" xfId="0" applyNumberFormat="1" applyFont="1" applyFill="1" applyAlignment="1">
      <alignment horizontal="left"/>
    </xf>
    <xf numFmtId="164" fontId="0" fillId="0" borderId="0" xfId="0" applyAlignment="1">
      <alignment horizontal="left"/>
    </xf>
    <xf numFmtId="164" fontId="34" fillId="0" borderId="0" xfId="0" applyFont="1" applyAlignment="1"/>
    <xf numFmtId="164" fontId="23" fillId="0" borderId="0" xfId="0" applyFont="1" applyAlignment="1">
      <alignment horizontal="center" vertical="center"/>
    </xf>
    <xf numFmtId="164" fontId="0" fillId="0" borderId="59" xfId="0" applyBorder="1" applyAlignment="1">
      <alignment horizontal="right"/>
    </xf>
    <xf numFmtId="164" fontId="0" fillId="0" borderId="0" xfId="0" applyFill="1" applyAlignment="1">
      <alignment horizontal="right" vertical="center"/>
    </xf>
    <xf numFmtId="164" fontId="0" fillId="0" borderId="0" xfId="0" applyAlignment="1">
      <alignment horizontal="right"/>
    </xf>
    <xf numFmtId="164" fontId="12" fillId="0" borderId="0" xfId="0" applyFont="1" applyFill="1" applyBorder="1" applyAlignment="1">
      <alignment horizontal="right" vertical="center"/>
    </xf>
    <xf numFmtId="164" fontId="12" fillId="0" borderId="0" xfId="0" applyFont="1" applyFill="1" applyBorder="1" applyAlignment="1">
      <alignment horizontal="right" vertical="center" wrapText="1"/>
    </xf>
    <xf numFmtId="164" fontId="12" fillId="0" borderId="57" xfId="0" applyFont="1" applyFill="1" applyBorder="1" applyAlignment="1">
      <alignment horizontal="right" vertical="center"/>
    </xf>
    <xf numFmtId="37" fontId="73" fillId="0" borderId="0" xfId="0" applyNumberFormat="1" applyFont="1" applyFill="1" applyBorder="1" applyAlignment="1">
      <alignment horizontal="center"/>
    </xf>
    <xf numFmtId="0" fontId="9" fillId="0" borderId="0" xfId="0" applyNumberFormat="1" applyFont="1" applyFill="1" applyAlignment="1"/>
    <xf numFmtId="16" fontId="13" fillId="0" borderId="0" xfId="0" applyNumberFormat="1" applyFont="1" applyFill="1" applyAlignment="1"/>
    <xf numFmtId="166" fontId="12" fillId="0" borderId="4" xfId="0" applyNumberFormat="1" applyFont="1" applyFill="1" applyBorder="1" applyAlignment="1"/>
    <xf numFmtId="166" fontId="72" fillId="0" borderId="0" xfId="0" applyNumberFormat="1" applyFont="1" applyFill="1" applyAlignment="1"/>
    <xf numFmtId="5" fontId="12" fillId="0" borderId="4" xfId="0" applyNumberFormat="1" applyFont="1" applyFill="1" applyBorder="1" applyAlignment="1"/>
    <xf numFmtId="5" fontId="72" fillId="0" borderId="0" xfId="0" applyNumberFormat="1" applyFont="1" applyFill="1" applyAlignment="1"/>
    <xf numFmtId="5" fontId="12" fillId="0" borderId="0" xfId="0" applyNumberFormat="1" applyFont="1" applyFill="1" applyAlignment="1"/>
    <xf numFmtId="0" fontId="68" fillId="0" borderId="0" xfId="0" applyNumberFormat="1" applyFont="1" applyFill="1" applyAlignment="1"/>
    <xf numFmtId="0" fontId="63" fillId="0" borderId="0" xfId="0" applyNumberFormat="1" applyFont="1" applyFill="1" applyAlignment="1"/>
    <xf numFmtId="0" fontId="6" fillId="0" borderId="0" xfId="0" applyNumberFormat="1" applyFont="1" applyAlignment="1"/>
    <xf numFmtId="0" fontId="63" fillId="0" borderId="0" xfId="0" applyNumberFormat="1" applyFont="1" applyAlignment="1">
      <alignment horizontal="center"/>
    </xf>
    <xf numFmtId="171" fontId="12" fillId="0" borderId="0" xfId="0" applyNumberFormat="1" applyFont="1" applyAlignment="1">
      <alignment horizontal="left"/>
    </xf>
    <xf numFmtId="0" fontId="15" fillId="0" borderId="0" xfId="0" applyNumberFormat="1" applyFont="1" applyFill="1" applyBorder="1" applyAlignment="1" applyProtection="1">
      <alignment horizontal="centerContinuous"/>
      <protection locked="0"/>
    </xf>
    <xf numFmtId="0" fontId="15" fillId="0" borderId="0" xfId="0" applyNumberFormat="1" applyFont="1" applyFill="1" applyBorder="1" applyAlignment="1">
      <alignment horizontal="centerContinuous"/>
    </xf>
    <xf numFmtId="0" fontId="15" fillId="0" borderId="0" xfId="0" applyNumberFormat="1" applyFont="1" applyFill="1" applyBorder="1" applyAlignment="1"/>
    <xf numFmtId="0" fontId="15" fillId="0" borderId="18" xfId="0" applyNumberFormat="1" applyFont="1" applyFill="1" applyBorder="1" applyAlignment="1">
      <alignment horizontal="center"/>
    </xf>
    <xf numFmtId="0" fontId="15" fillId="0" borderId="0" xfId="0" applyNumberFormat="1" applyFont="1" applyFill="1" applyBorder="1" applyAlignment="1">
      <alignment horizontal="center"/>
    </xf>
    <xf numFmtId="177" fontId="12" fillId="0" borderId="0" xfId="0" quotePrefix="1" applyNumberFormat="1" applyFont="1" applyFill="1" applyBorder="1" applyAlignment="1">
      <alignment horizontal="left"/>
    </xf>
    <xf numFmtId="42" fontId="72" fillId="0" borderId="0" xfId="0" applyNumberFormat="1" applyFont="1" applyFill="1" applyBorder="1" applyAlignment="1"/>
    <xf numFmtId="166" fontId="72" fillId="0" borderId="1" xfId="0" applyNumberFormat="1" applyFont="1" applyFill="1" applyBorder="1" applyAlignment="1"/>
    <xf numFmtId="0" fontId="13" fillId="0" borderId="0" xfId="0" applyNumberFormat="1" applyFont="1" applyFill="1" applyBorder="1" applyAlignment="1">
      <alignment horizontal="left"/>
    </xf>
    <xf numFmtId="164" fontId="12" fillId="0" borderId="0" xfId="0" applyFont="1" applyFill="1" applyBorder="1" applyAlignment="1"/>
    <xf numFmtId="166" fontId="72" fillId="0" borderId="0" xfId="0" applyNumberFormat="1" applyFont="1" applyFill="1" applyBorder="1" applyAlignment="1"/>
    <xf numFmtId="164" fontId="12" fillId="0" borderId="0" xfId="0" applyFont="1" applyFill="1" applyBorder="1" applyAlignment="1">
      <alignment horizontal="left"/>
    </xf>
    <xf numFmtId="0" fontId="12" fillId="0" borderId="0" xfId="0" applyNumberFormat="1" applyFont="1" applyFill="1" applyBorder="1" applyAlignment="1">
      <alignment horizontal="left"/>
    </xf>
    <xf numFmtId="164" fontId="12" fillId="0" borderId="0" xfId="0" applyNumberFormat="1" applyFont="1" applyFill="1" applyBorder="1" applyAlignment="1">
      <alignment horizontal="left"/>
    </xf>
    <xf numFmtId="9" fontId="12"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12" fillId="0" borderId="0" xfId="0" applyNumberFormat="1" applyFont="1" applyFill="1" applyBorder="1" applyAlignment="1"/>
    <xf numFmtId="165" fontId="13" fillId="0" borderId="4" xfId="0" applyNumberFormat="1" applyFont="1" applyFill="1" applyBorder="1" applyAlignment="1"/>
    <xf numFmtId="166" fontId="12" fillId="0" borderId="0" xfId="0" applyNumberFormat="1" applyFont="1" applyAlignment="1">
      <alignment horizontal="left" wrapText="1"/>
    </xf>
    <xf numFmtId="165" fontId="32" fillId="0" borderId="0" xfId="0" applyNumberFormat="1" applyFont="1" applyFill="1" applyAlignment="1"/>
    <xf numFmtId="164" fontId="30" fillId="0" borderId="0" xfId="0" applyFont="1" applyAlignment="1">
      <alignment horizontal="left"/>
    </xf>
    <xf numFmtId="0" fontId="11" fillId="0" borderId="0" xfId="0" applyNumberFormat="1" applyFont="1" applyAlignment="1"/>
    <xf numFmtId="0" fontId="10" fillId="0" borderId="0" xfId="0" applyNumberFormat="1" applyFont="1" applyFill="1" applyAlignment="1"/>
    <xf numFmtId="0" fontId="10" fillId="0" borderId="0" xfId="0" applyNumberFormat="1" applyFont="1" applyAlignment="1"/>
    <xf numFmtId="17" fontId="22" fillId="0" borderId="0" xfId="0" applyNumberFormat="1" applyFont="1" applyFill="1" applyAlignment="1">
      <alignment horizontal="center"/>
    </xf>
    <xf numFmtId="17" fontId="22" fillId="0" borderId="0" xfId="0" applyNumberFormat="1" applyFont="1" applyAlignment="1">
      <alignment horizontal="center"/>
    </xf>
    <xf numFmtId="0" fontId="22" fillId="0" borderId="0" xfId="0" applyNumberFormat="1" applyFont="1" applyAlignment="1">
      <alignment horizontal="center"/>
    </xf>
    <xf numFmtId="166" fontId="23" fillId="0" borderId="0" xfId="0" applyNumberFormat="1" applyFont="1" applyAlignment="1"/>
    <xf numFmtId="166" fontId="12" fillId="0" borderId="3" xfId="0" applyNumberFormat="1" applyFont="1" applyFill="1" applyBorder="1" applyAlignment="1"/>
    <xf numFmtId="166" fontId="21" fillId="0" borderId="0" xfId="0" applyNumberFormat="1" applyFont="1" applyAlignment="1">
      <alignment horizontal="center"/>
    </xf>
    <xf numFmtId="0" fontId="21" fillId="0" borderId="0" xfId="0" applyNumberFormat="1" applyFont="1" applyFill="1" applyAlignment="1">
      <alignment horizontal="right"/>
    </xf>
    <xf numFmtId="166" fontId="12" fillId="0" borderId="0" xfId="0" applyNumberFormat="1" applyFont="1" applyFill="1" applyAlignment="1"/>
    <xf numFmtId="166" fontId="13" fillId="0" borderId="0" xfId="0" applyNumberFormat="1" applyFont="1" applyFill="1" applyAlignment="1"/>
    <xf numFmtId="166" fontId="14" fillId="0" borderId="0" xfId="0" applyNumberFormat="1" applyFont="1" applyAlignment="1"/>
    <xf numFmtId="166" fontId="14" fillId="0" borderId="0" xfId="0" applyNumberFormat="1" applyFont="1" applyFill="1" applyAlignment="1"/>
    <xf numFmtId="0" fontId="31" fillId="0" borderId="0" xfId="0" applyNumberFormat="1" applyFont="1" applyAlignment="1"/>
    <xf numFmtId="166" fontId="15" fillId="0" borderId="0" xfId="0" applyNumberFormat="1" applyFont="1" applyAlignment="1"/>
    <xf numFmtId="171" fontId="12" fillId="0" borderId="0" xfId="0" applyNumberFormat="1" applyFont="1" applyAlignment="1">
      <alignment horizontal="right"/>
    </xf>
    <xf numFmtId="166" fontId="13" fillId="0" borderId="0" xfId="0" applyNumberFormat="1" applyFont="1" applyAlignment="1">
      <alignment horizontal="left"/>
    </xf>
    <xf numFmtId="166" fontId="12" fillId="0" borderId="3" xfId="0" applyNumberFormat="1" applyFont="1" applyBorder="1" applyAlignment="1"/>
    <xf numFmtId="0" fontId="12" fillId="0" borderId="0" xfId="0" applyNumberFormat="1" applyFont="1" applyAlignment="1">
      <alignment wrapText="1"/>
    </xf>
    <xf numFmtId="0" fontId="30" fillId="0" borderId="0" xfId="0" applyNumberFormat="1" applyFont="1" applyFill="1" applyAlignment="1"/>
    <xf numFmtId="166" fontId="30" fillId="0" borderId="0" xfId="0" applyNumberFormat="1" applyFont="1" applyFill="1" applyBorder="1" applyAlignment="1"/>
    <xf numFmtId="166" fontId="13" fillId="0" borderId="0" xfId="0" applyNumberFormat="1" applyFont="1" applyAlignment="1"/>
    <xf numFmtId="166" fontId="12" fillId="0" borderId="0" xfId="0" applyNumberFormat="1" applyFont="1" applyAlignment="1"/>
    <xf numFmtId="0" fontId="9" fillId="0" borderId="0" xfId="0" applyNumberFormat="1" applyFont="1" applyAlignment="1">
      <alignment horizontal="left"/>
    </xf>
    <xf numFmtId="164" fontId="10"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11" fillId="0" borderId="0" xfId="0" applyNumberFormat="1" applyFont="1" applyFill="1" applyAlignment="1">
      <alignment horizontal="left"/>
    </xf>
    <xf numFmtId="0" fontId="13" fillId="0" borderId="0" xfId="0" applyNumberFormat="1" applyFont="1" applyAlignment="1">
      <alignment horizontal="center"/>
    </xf>
    <xf numFmtId="0" fontId="13" fillId="0" borderId="0" xfId="0" applyNumberFormat="1" applyFont="1" applyFill="1" applyBorder="1" applyAlignment="1">
      <alignment horizontal="centerContinuous"/>
    </xf>
    <xf numFmtId="0" fontId="12" fillId="0" borderId="0" xfId="0" applyNumberFormat="1" applyFont="1" applyAlignment="1">
      <alignment horizontal="center"/>
    </xf>
    <xf numFmtId="0" fontId="0" fillId="0" borderId="0" xfId="0" applyNumberFormat="1" applyBorder="1" applyAlignment="1"/>
    <xf numFmtId="0" fontId="0" fillId="0" borderId="0" xfId="0" applyNumberFormat="1" applyBorder="1" applyAlignment="1">
      <alignment horizontal="center"/>
    </xf>
    <xf numFmtId="17" fontId="13" fillId="0" borderId="0" xfId="0" applyNumberFormat="1" applyFont="1" applyFill="1" applyBorder="1" applyAlignment="1">
      <alignment horizontal="center"/>
    </xf>
    <xf numFmtId="17" fontId="13" fillId="0" borderId="0" xfId="0" applyNumberFormat="1" applyFont="1" applyBorder="1" applyAlignment="1">
      <alignment horizontal="center"/>
    </xf>
    <xf numFmtId="0" fontId="13" fillId="0" borderId="0" xfId="0" applyNumberFormat="1" applyFont="1" applyBorder="1" applyAlignment="1"/>
    <xf numFmtId="43" fontId="24" fillId="0" borderId="0" xfId="0" applyNumberFormat="1" applyFont="1" applyAlignment="1">
      <alignment horizontal="center"/>
    </xf>
    <xf numFmtId="165" fontId="14" fillId="0" borderId="0" xfId="0" applyNumberFormat="1" applyFont="1" applyBorder="1" applyAlignment="1"/>
    <xf numFmtId="0" fontId="23" fillId="0" borderId="0" xfId="0" applyNumberFormat="1" applyFont="1" applyAlignment="1"/>
    <xf numFmtId="0" fontId="0" fillId="0" borderId="0" xfId="0" applyNumberFormat="1" applyFill="1" applyAlignment="1">
      <alignment horizontal="left" indent="1"/>
    </xf>
    <xf numFmtId="0" fontId="12" fillId="0" borderId="0" xfId="0" applyNumberFormat="1" applyFont="1" applyFill="1" applyAlignment="1">
      <alignment horizontal="left" indent="1"/>
    </xf>
    <xf numFmtId="171" fontId="12" fillId="0" borderId="0" xfId="0" applyNumberFormat="1" applyFont="1" applyFill="1" applyAlignment="1">
      <alignment horizontal="center"/>
    </xf>
    <xf numFmtId="43" fontId="12" fillId="0" borderId="0" xfId="0" applyNumberFormat="1" applyFont="1" applyFill="1" applyAlignment="1"/>
    <xf numFmtId="165" fontId="12" fillId="0" borderId="1" xfId="0" applyNumberFormat="1" applyFont="1" applyFill="1" applyBorder="1" applyAlignment="1"/>
    <xf numFmtId="0" fontId="0" fillId="0" borderId="0" xfId="0" applyNumberFormat="1" applyAlignment="1">
      <alignment horizontal="left" indent="1"/>
    </xf>
    <xf numFmtId="171" fontId="12" fillId="0" borderId="0" xfId="0" applyNumberFormat="1" applyFont="1" applyAlignment="1">
      <alignment horizontal="center"/>
    </xf>
    <xf numFmtId="165" fontId="14" fillId="0" borderId="0" xfId="0" applyNumberFormat="1" applyFont="1" applyFill="1" applyBorder="1" applyAlignment="1"/>
    <xf numFmtId="166" fontId="12" fillId="0" borderId="0" xfId="0" applyNumberFormat="1" applyFont="1" applyFill="1" applyBorder="1" applyAlignment="1"/>
    <xf numFmtId="37" fontId="12" fillId="0" borderId="0" xfId="0" applyNumberFormat="1" applyFont="1" applyAlignment="1"/>
    <xf numFmtId="37" fontId="12" fillId="0" borderId="0" xfId="0" applyNumberFormat="1" applyFont="1" applyFill="1" applyAlignment="1"/>
    <xf numFmtId="0" fontId="22" fillId="0" borderId="0" xfId="0" applyNumberFormat="1" applyFont="1" applyAlignment="1"/>
    <xf numFmtId="170" fontId="12" fillId="0" borderId="0" xfId="0" applyNumberFormat="1" applyFont="1" applyBorder="1" applyAlignment="1"/>
    <xf numFmtId="165" fontId="12" fillId="0" borderId="2" xfId="0" applyNumberFormat="1" applyFont="1" applyFill="1" applyBorder="1" applyAlignment="1"/>
    <xf numFmtId="166" fontId="16" fillId="0" borderId="0" xfId="0" applyNumberFormat="1" applyFont="1" applyBorder="1" applyAlignment="1"/>
    <xf numFmtId="0" fontId="0" fillId="0" borderId="0" xfId="0" quotePrefix="1" applyNumberFormat="1" applyAlignment="1" applyProtection="1">
      <alignment horizontal="left"/>
      <protection locked="0"/>
    </xf>
    <xf numFmtId="37" fontId="12" fillId="0" borderId="0" xfId="0" applyNumberFormat="1" applyFont="1" applyFill="1" applyBorder="1" applyAlignment="1"/>
    <xf numFmtId="37" fontId="12" fillId="0" borderId="0" xfId="0" applyNumberFormat="1" applyFont="1" applyBorder="1" applyAlignment="1"/>
    <xf numFmtId="0" fontId="0" fillId="0" borderId="0" xfId="0" applyNumberFormat="1" applyAlignment="1" applyProtection="1">
      <alignment horizontal="left"/>
      <protection locked="0"/>
    </xf>
    <xf numFmtId="37" fontId="14" fillId="0" borderId="0" xfId="0" applyNumberFormat="1" applyFont="1" applyBorder="1" applyAlignment="1"/>
    <xf numFmtId="0" fontId="13" fillId="0" borderId="0" xfId="0" applyNumberFormat="1" applyFont="1" applyFill="1" applyAlignment="1" applyProtection="1">
      <alignment horizontal="left"/>
      <protection locked="0"/>
    </xf>
    <xf numFmtId="43" fontId="13" fillId="0" borderId="0" xfId="0" applyNumberFormat="1" applyFont="1" applyFill="1" applyBorder="1" applyAlignment="1"/>
    <xf numFmtId="43" fontId="14" fillId="0" borderId="0" xfId="0" applyNumberFormat="1" applyFont="1" applyFill="1" applyBorder="1" applyAlignment="1"/>
    <xf numFmtId="37" fontId="14" fillId="0" borderId="0" xfId="0" applyNumberFormat="1" applyFont="1" applyFill="1" applyBorder="1" applyAlignment="1"/>
    <xf numFmtId="166" fontId="14" fillId="0" borderId="0" xfId="0" applyNumberFormat="1" applyFont="1" applyFill="1" applyBorder="1" applyAlignment="1"/>
    <xf numFmtId="0" fontId="0" fillId="0" borderId="6" xfId="0" applyNumberFormat="1" applyFill="1" applyBorder="1" applyAlignment="1">
      <alignment wrapText="1"/>
    </xf>
    <xf numFmtId="0" fontId="12" fillId="0" borderId="0" xfId="0" applyNumberFormat="1" applyFont="1" applyAlignment="1">
      <alignment horizontal="right"/>
    </xf>
    <xf numFmtId="166" fontId="12" fillId="0" borderId="0" xfId="0" applyNumberFormat="1" applyFont="1" applyBorder="1" applyAlignment="1"/>
    <xf numFmtId="0" fontId="22" fillId="0" borderId="0" xfId="0" applyNumberFormat="1" applyFont="1" applyAlignment="1">
      <alignment horizontal="left"/>
    </xf>
    <xf numFmtId="165" fontId="12" fillId="0" borderId="3" xfId="0" applyNumberFormat="1" applyFont="1" applyBorder="1" applyAlignment="1"/>
    <xf numFmtId="0" fontId="0" fillId="0" borderId="0" xfId="0" applyNumberFormat="1" applyAlignment="1">
      <alignment horizontal="right"/>
    </xf>
    <xf numFmtId="169" fontId="21" fillId="0" borderId="0" xfId="0" applyNumberFormat="1" applyFont="1" applyFill="1" applyBorder="1" applyAlignment="1"/>
    <xf numFmtId="166" fontId="14" fillId="0" borderId="0" xfId="0" applyNumberFormat="1" applyFont="1" applyBorder="1" applyAlignment="1"/>
    <xf numFmtId="0" fontId="13" fillId="0" borderId="0" xfId="0" quotePrefix="1" applyNumberFormat="1" applyFont="1" applyAlignment="1" applyProtection="1">
      <alignment horizontal="left"/>
      <protection locked="0"/>
    </xf>
    <xf numFmtId="165" fontId="12" fillId="0" borderId="2" xfId="0" applyNumberFormat="1" applyFont="1" applyBorder="1" applyAlignment="1"/>
    <xf numFmtId="0" fontId="21" fillId="0" borderId="0" xfId="0" applyNumberFormat="1" applyFont="1" applyAlignment="1"/>
    <xf numFmtId="0" fontId="13" fillId="0" borderId="0" xfId="0" applyNumberFormat="1" applyFont="1" applyFill="1" applyAlignment="1"/>
    <xf numFmtId="0" fontId="21" fillId="0" borderId="0" xfId="0" quotePrefix="1" applyNumberFormat="1" applyFont="1" applyAlignment="1">
      <alignment horizontal="center"/>
    </xf>
    <xf numFmtId="165" fontId="12" fillId="0" borderId="0" xfId="0" applyNumberFormat="1" applyFont="1" applyAlignment="1"/>
    <xf numFmtId="0" fontId="0" fillId="0" borderId="6" xfId="0" applyNumberFormat="1" applyBorder="1" applyAlignment="1">
      <alignment wrapText="1"/>
    </xf>
    <xf numFmtId="0" fontId="12" fillId="0" borderId="0" xfId="0" applyNumberFormat="1" applyFont="1" applyFill="1" applyAlignment="1">
      <alignment horizontal="right"/>
    </xf>
    <xf numFmtId="167" fontId="21" fillId="0" borderId="0" xfId="0" applyNumberFormat="1" applyFont="1" applyFill="1" applyAlignment="1"/>
    <xf numFmtId="165" fontId="0" fillId="0" borderId="0" xfId="0" applyNumberFormat="1" applyFill="1" applyBorder="1" applyAlignment="1">
      <alignment horizontal="left" wrapText="1"/>
    </xf>
    <xf numFmtId="0" fontId="0" fillId="0" borderId="0" xfId="0" applyNumberFormat="1" applyFill="1" applyAlignment="1"/>
    <xf numFmtId="0" fontId="15" fillId="0" borderId="0" xfId="0" applyNumberFormat="1" applyFont="1" applyAlignment="1"/>
    <xf numFmtId="165" fontId="12" fillId="0" borderId="0" xfId="0" applyNumberFormat="1" applyFont="1" applyFill="1" applyBorder="1" applyAlignment="1"/>
    <xf numFmtId="0" fontId="0" fillId="0" borderId="0" xfId="0" applyNumberFormat="1" applyBorder="1" applyAlignment="1">
      <alignment horizontal="left" wrapText="1"/>
    </xf>
    <xf numFmtId="0" fontId="13" fillId="0" borderId="0" xfId="0" applyNumberFormat="1" applyFont="1" applyAlignment="1"/>
    <xf numFmtId="43" fontId="12" fillId="0" borderId="0" xfId="0" applyNumberFormat="1" applyFont="1" applyAlignment="1"/>
    <xf numFmtId="164" fontId="13" fillId="0" borderId="0" xfId="0" applyFont="1" applyAlignment="1">
      <alignment wrapText="1"/>
    </xf>
    <xf numFmtId="0" fontId="0" fillId="0" borderId="0" xfId="0" applyNumberFormat="1" applyBorder="1" applyAlignment="1">
      <alignment wrapText="1"/>
    </xf>
    <xf numFmtId="43" fontId="12" fillId="0" borderId="0" xfId="0" applyNumberFormat="1" applyFont="1" applyBorder="1" applyAlignment="1"/>
    <xf numFmtId="165" fontId="12" fillId="0" borderId="0" xfId="0" applyNumberFormat="1" applyFont="1" applyBorder="1" applyAlignment="1"/>
    <xf numFmtId="0" fontId="12" fillId="0" borderId="0" xfId="0" applyNumberFormat="1" applyFont="1" applyAlignment="1"/>
    <xf numFmtId="0" fontId="12" fillId="0" borderId="0" xfId="0" applyNumberFormat="1" applyFont="1" applyFill="1" applyAlignment="1"/>
    <xf numFmtId="43" fontId="0" fillId="0" borderId="0" xfId="0" applyNumberFormat="1" applyFont="1" applyAlignment="1"/>
    <xf numFmtId="0" fontId="20" fillId="0" borderId="0" xfId="0" applyNumberFormat="1" applyFont="1" applyAlignment="1"/>
    <xf numFmtId="0" fontId="19" fillId="0" borderId="0" xfId="0" applyNumberFormat="1" applyFont="1" applyAlignment="1"/>
    <xf numFmtId="43" fontId="0" fillId="0" borderId="0" xfId="0" applyNumberFormat="1" applyAlignment="1"/>
    <xf numFmtId="44" fontId="0" fillId="0" borderId="0" xfId="0" applyNumberFormat="1" applyAlignment="1"/>
    <xf numFmtId="165" fontId="0" fillId="0" borderId="0" xfId="0" applyNumberFormat="1" applyAlignment="1"/>
    <xf numFmtId="166" fontId="0" fillId="0" borderId="0" xfId="0" applyNumberFormat="1" applyAlignment="1"/>
    <xf numFmtId="0" fontId="0" fillId="0" borderId="0" xfId="0" applyNumberFormat="1" applyAlignment="1" applyProtection="1">
      <alignment horizontal="center"/>
      <protection locked="0"/>
    </xf>
    <xf numFmtId="0" fontId="0" fillId="0" borderId="0" xfId="0" applyNumberFormat="1" applyAlignment="1">
      <alignment horizontal="center"/>
    </xf>
    <xf numFmtId="0" fontId="0" fillId="0" borderId="0" xfId="0" applyNumberFormat="1" applyAlignment="1"/>
    <xf numFmtId="164" fontId="12" fillId="0" borderId="0" xfId="0" applyFont="1">
      <alignment horizontal="left" wrapText="1"/>
    </xf>
    <xf numFmtId="164" fontId="18" fillId="0" borderId="0" xfId="0" applyFont="1" applyAlignment="1"/>
    <xf numFmtId="166" fontId="18" fillId="0" borderId="0" xfId="0" applyNumberFormat="1" applyFont="1" applyFill="1" applyAlignment="1"/>
    <xf numFmtId="164" fontId="18" fillId="0" borderId="0" xfId="0" applyFont="1" applyFill="1" applyAlignment="1"/>
    <xf numFmtId="165" fontId="18" fillId="0" borderId="4" xfId="0" applyNumberFormat="1" applyFont="1" applyFill="1" applyBorder="1" applyAlignment="1"/>
    <xf numFmtId="0" fontId="12" fillId="0" borderId="0" xfId="0" applyNumberFormat="1" applyFont="1" applyAlignment="1">
      <alignment horizontal="center" wrapText="1"/>
    </xf>
    <xf numFmtId="164" fontId="12" fillId="0" borderId="0" xfId="0" applyFont="1" applyAlignment="1">
      <alignment horizontal="left"/>
    </xf>
    <xf numFmtId="166" fontId="18" fillId="0" borderId="1" xfId="0" applyNumberFormat="1" applyFont="1" applyFill="1" applyBorder="1" applyAlignment="1"/>
    <xf numFmtId="165" fontId="18" fillId="0" borderId="0" xfId="0" applyNumberFormat="1" applyFont="1" applyFill="1" applyAlignment="1"/>
    <xf numFmtId="164" fontId="18" fillId="0" borderId="1" xfId="0" applyFont="1" applyFill="1" applyBorder="1" applyAlignment="1"/>
    <xf numFmtId="164" fontId="12" fillId="0" borderId="1" xfId="0" applyFont="1" applyBorder="1">
      <alignment horizontal="left" wrapText="1"/>
    </xf>
    <xf numFmtId="164" fontId="11" fillId="0" borderId="0" xfId="0" applyFont="1" applyFill="1" applyBorder="1" applyAlignment="1">
      <alignment horizontal="center"/>
    </xf>
    <xf numFmtId="164" fontId="18" fillId="0" borderId="0" xfId="0" applyFont="1" applyFill="1" applyBorder="1" applyAlignment="1"/>
    <xf numFmtId="164" fontId="18" fillId="0" borderId="0" xfId="0" applyFont="1" applyAlignment="1">
      <alignment horizontal="centerContinuous"/>
    </xf>
    <xf numFmtId="164" fontId="11" fillId="0" borderId="0" xfId="0" applyFont="1" applyFill="1" applyAlignment="1">
      <alignment horizontal="centerContinuous"/>
    </xf>
    <xf numFmtId="164" fontId="11" fillId="0" borderId="0" xfId="0" applyFont="1" applyAlignment="1">
      <alignment horizontal="centerContinuous"/>
    </xf>
    <xf numFmtId="9" fontId="18" fillId="0" borderId="0" xfId="0" applyNumberFormat="1" applyFont="1" applyFill="1" applyAlignment="1"/>
    <xf numFmtId="166" fontId="0" fillId="0" borderId="0" xfId="0" applyNumberFormat="1" applyFont="1" applyAlignment="1"/>
    <xf numFmtId="17" fontId="34" fillId="0" borderId="0" xfId="0" applyNumberFormat="1" applyFont="1" applyFill="1" applyAlignment="1">
      <alignment horizontal="center"/>
    </xf>
    <xf numFmtId="0" fontId="13"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37" fontId="13" fillId="0" borderId="0" xfId="0" applyNumberFormat="1" applyFont="1" applyFill="1" applyBorder="1" applyAlignment="1"/>
    <xf numFmtId="37" fontId="13" fillId="0" borderId="1" xfId="0" applyNumberFormat="1" applyFont="1" applyFill="1" applyBorder="1" applyAlignment="1"/>
    <xf numFmtId="0" fontId="44" fillId="0" borderId="0" xfId="0" applyNumberFormat="1" applyFont="1" applyFill="1" applyAlignment="1">
      <alignment horizontal="center"/>
    </xf>
    <xf numFmtId="174" fontId="46" fillId="0" borderId="0" xfId="0" applyNumberFormat="1" applyFont="1" applyFill="1" applyAlignment="1">
      <alignment horizontal="center"/>
    </xf>
    <xf numFmtId="37" fontId="47" fillId="0" borderId="0" xfId="0" applyNumberFormat="1" applyFont="1" applyFill="1" applyAlignment="1"/>
    <xf numFmtId="37" fontId="12" fillId="0" borderId="2" xfId="0" applyNumberFormat="1" applyFont="1" applyFill="1" applyBorder="1" applyAlignment="1"/>
    <xf numFmtId="37" fontId="13" fillId="0" borderId="0" xfId="0" applyNumberFormat="1" applyFont="1" applyFill="1" applyAlignment="1"/>
    <xf numFmtId="0" fontId="47" fillId="0" borderId="0" xfId="0" applyNumberFormat="1" applyFont="1" applyFill="1" applyAlignment="1"/>
    <xf numFmtId="37" fontId="12" fillId="0" borderId="1" xfId="0" applyNumberFormat="1" applyFont="1" applyFill="1" applyBorder="1" applyAlignment="1"/>
    <xf numFmtId="37" fontId="12" fillId="0" borderId="18" xfId="0" applyNumberFormat="1" applyFont="1" applyFill="1" applyBorder="1" applyAlignment="1"/>
    <xf numFmtId="17" fontId="22" fillId="0" borderId="0" xfId="0" applyNumberFormat="1" applyFont="1" applyFill="1" applyAlignment="1"/>
    <xf numFmtId="0" fontId="44" fillId="0" borderId="0" xfId="0" applyNumberFormat="1" applyFont="1" applyFill="1" applyAlignment="1"/>
    <xf numFmtId="37" fontId="44" fillId="0" borderId="0" xfId="0" applyNumberFormat="1" applyFont="1" applyFill="1" applyAlignment="1"/>
    <xf numFmtId="0" fontId="44" fillId="0" borderId="0" xfId="0" applyNumberFormat="1" applyFont="1" applyFill="1" applyAlignment="1">
      <alignment horizontal="right"/>
    </xf>
    <xf numFmtId="37" fontId="44" fillId="0" borderId="2" xfId="0" applyNumberFormat="1" applyFont="1" applyFill="1" applyBorder="1" applyAlignment="1"/>
    <xf numFmtId="3" fontId="44" fillId="0" borderId="0" xfId="0" applyNumberFormat="1" applyFont="1" applyFill="1" applyAlignment="1"/>
    <xf numFmtId="165" fontId="44" fillId="0" borderId="2" xfId="0" applyNumberFormat="1" applyFont="1" applyFill="1" applyBorder="1" applyAlignment="1"/>
    <xf numFmtId="164" fontId="0" fillId="0" borderId="0" xfId="0" applyAlignment="1"/>
    <xf numFmtId="164" fontId="0" fillId="0" borderId="28" xfId="0" applyFill="1" applyBorder="1" applyAlignment="1"/>
    <xf numFmtId="166" fontId="0" fillId="0" borderId="28" xfId="0" applyNumberFormat="1" applyFill="1" applyBorder="1" applyAlignment="1"/>
    <xf numFmtId="166" fontId="0" fillId="0" borderId="31" xfId="0" applyNumberFormat="1" applyFill="1" applyBorder="1" applyAlignment="1"/>
    <xf numFmtId="166" fontId="0" fillId="0" borderId="32" xfId="0" applyNumberFormat="1" applyFill="1" applyBorder="1" applyAlignment="1"/>
    <xf numFmtId="164" fontId="0" fillId="0" borderId="33" xfId="0" applyFill="1" applyBorder="1" applyAlignment="1"/>
    <xf numFmtId="164" fontId="0" fillId="0" borderId="34" xfId="0" applyFill="1" applyBorder="1" applyAlignment="1"/>
    <xf numFmtId="166" fontId="0" fillId="0" borderId="34" xfId="0" applyNumberFormat="1" applyFill="1" applyBorder="1" applyAlignment="1"/>
    <xf numFmtId="166" fontId="0" fillId="0" borderId="0" xfId="0" applyNumberFormat="1" applyFill="1" applyAlignment="1"/>
    <xf numFmtId="166" fontId="0" fillId="0" borderId="35" xfId="0" applyNumberFormat="1" applyFill="1" applyBorder="1" applyAlignment="1"/>
    <xf numFmtId="164" fontId="0" fillId="0" borderId="29" xfId="0" applyFill="1" applyBorder="1" applyAlignment="1"/>
    <xf numFmtId="164" fontId="0" fillId="0" borderId="0" xfId="0" applyFill="1" applyAlignment="1"/>
    <xf numFmtId="164" fontId="54" fillId="0" borderId="0" xfId="0" applyFont="1" applyAlignment="1"/>
    <xf numFmtId="164" fontId="13" fillId="0" borderId="0" xfId="0" applyFont="1" applyAlignment="1">
      <alignment horizontal="center"/>
    </xf>
    <xf numFmtId="164" fontId="12" fillId="0" borderId="0" xfId="0" applyFont="1" applyAlignment="1">
      <alignment horizontal="right"/>
    </xf>
    <xf numFmtId="3" fontId="0" fillId="0" borderId="0" xfId="0" applyNumberFormat="1" applyAlignment="1"/>
    <xf numFmtId="3" fontId="12" fillId="0" borderId="0" xfId="0" applyNumberFormat="1" applyFont="1" applyAlignment="1"/>
    <xf numFmtId="164" fontId="55" fillId="0" borderId="0" xfId="0" applyFont="1" applyAlignment="1">
      <alignment horizontal="right"/>
    </xf>
    <xf numFmtId="3" fontId="55" fillId="0" borderId="0" xfId="0" applyNumberFormat="1" applyFont="1" applyAlignment="1"/>
    <xf numFmtId="164" fontId="12" fillId="0" borderId="0" xfId="0" applyFont="1" applyFill="1" applyBorder="1" applyAlignment="1">
      <alignment horizontal="right"/>
    </xf>
    <xf numFmtId="166" fontId="0" fillId="0" borderId="0" xfId="0" applyNumberFormat="1" applyFont="1" applyAlignment="1"/>
    <xf numFmtId="166" fontId="0" fillId="0" borderId="0" xfId="0" applyNumberFormat="1" applyFont="1" applyFill="1" applyBorder="1" applyAlignment="1"/>
    <xf numFmtId="165" fontId="58" fillId="0" borderId="0" xfId="0" applyNumberFormat="1" applyFont="1" applyFill="1" applyBorder="1" applyAlignment="1">
      <alignment horizontal="center"/>
    </xf>
    <xf numFmtId="8" fontId="58" fillId="0" borderId="0" xfId="0" applyNumberFormat="1" applyFont="1" applyFill="1" applyBorder="1" applyAlignment="1">
      <alignment horizontal="center"/>
    </xf>
    <xf numFmtId="165" fontId="58" fillId="0" borderId="18" xfId="0" applyNumberFormat="1" applyFont="1" applyFill="1" applyBorder="1" applyAlignment="1">
      <alignment horizontal="center"/>
    </xf>
    <xf numFmtId="165" fontId="58" fillId="0" borderId="47" xfId="0" applyNumberFormat="1" applyFont="1" applyFill="1" applyBorder="1" applyAlignment="1">
      <alignment horizontal="center"/>
    </xf>
    <xf numFmtId="0" fontId="58" fillId="0" borderId="0" xfId="0" applyNumberFormat="1" applyFont="1" applyFill="1" applyBorder="1" applyAlignment="1">
      <alignment horizontal="center"/>
    </xf>
    <xf numFmtId="0" fontId="58" fillId="0" borderId="18" xfId="0" applyNumberFormat="1" applyFont="1" applyFill="1" applyBorder="1" applyAlignment="1">
      <alignment horizontal="center" wrapText="1"/>
    </xf>
    <xf numFmtId="0" fontId="34" fillId="0" borderId="42" xfId="0" applyNumberFormat="1" applyFont="1" applyFill="1" applyBorder="1" applyAlignment="1">
      <alignment horizontal="left" wrapText="1" indent="1"/>
    </xf>
    <xf numFmtId="0" fontId="62" fillId="0" borderId="18" xfId="0" applyNumberFormat="1" applyFont="1" applyFill="1" applyBorder="1" applyAlignment="1">
      <alignment horizontal="center"/>
    </xf>
    <xf numFmtId="0" fontId="63" fillId="0" borderId="18" xfId="0" applyNumberFormat="1" applyFont="1" applyFill="1" applyBorder="1" applyAlignment="1">
      <alignment horizontal="center"/>
    </xf>
    <xf numFmtId="165" fontId="63" fillId="0" borderId="18" xfId="0" applyNumberFormat="1" applyFont="1" applyFill="1" applyBorder="1" applyAlignment="1">
      <alignment horizontal="center"/>
    </xf>
    <xf numFmtId="8" fontId="63" fillId="0" borderId="18" xfId="0" applyNumberFormat="1" applyFont="1" applyFill="1" applyBorder="1" applyAlignment="1">
      <alignment horizontal="center"/>
    </xf>
    <xf numFmtId="17" fontId="61" fillId="0" borderId="0" xfId="0" applyNumberFormat="1" applyFont="1" applyFill="1" applyAlignment="1">
      <alignment horizontal="right"/>
    </xf>
    <xf numFmtId="0" fontId="58" fillId="0" borderId="0" xfId="0" applyNumberFormat="1" applyFont="1" applyFill="1" applyAlignment="1"/>
    <xf numFmtId="0" fontId="58" fillId="0" borderId="41" xfId="0" applyNumberFormat="1" applyFont="1" applyFill="1" applyBorder="1" applyAlignment="1">
      <alignment horizontal="left" indent="1"/>
    </xf>
    <xf numFmtId="0" fontId="58" fillId="0" borderId="0" xfId="0" applyNumberFormat="1" applyFont="1" applyFill="1" applyBorder="1" applyAlignment="1">
      <alignment horizontal="left" indent="1"/>
    </xf>
    <xf numFmtId="37" fontId="58" fillId="0" borderId="0" xfId="0" applyNumberFormat="1" applyFont="1" applyFill="1" applyAlignment="1"/>
    <xf numFmtId="37" fontId="58" fillId="0" borderId="0" xfId="0" applyNumberFormat="1" applyFont="1" applyFill="1" applyBorder="1" applyAlignment="1"/>
    <xf numFmtId="1" fontId="58" fillId="0" borderId="0" xfId="0" applyNumberFormat="1" applyFont="1" applyFill="1" applyAlignment="1">
      <alignment horizontal="center"/>
    </xf>
    <xf numFmtId="8" fontId="58" fillId="0" borderId="0" xfId="0" applyNumberFormat="1" applyFont="1" applyFill="1" applyBorder="1" applyAlignment="1">
      <alignment horizontal="left" indent="1"/>
    </xf>
    <xf numFmtId="8" fontId="58" fillId="0" borderId="0" xfId="0" applyNumberFormat="1" applyFont="1" applyFill="1" applyAlignment="1"/>
    <xf numFmtId="0" fontId="58" fillId="0" borderId="0" xfId="0" applyNumberFormat="1" applyFont="1" applyFill="1" applyBorder="1" applyAlignment="1">
      <alignment horizontal="right" indent="1"/>
    </xf>
    <xf numFmtId="165" fontId="58" fillId="0" borderId="0" xfId="0" applyNumberFormat="1" applyFont="1" applyFill="1" applyAlignment="1"/>
    <xf numFmtId="8" fontId="58" fillId="0" borderId="0" xfId="0" applyNumberFormat="1" applyFont="1" applyFill="1" applyBorder="1" applyAlignment="1">
      <alignment horizontal="right" indent="1"/>
    </xf>
    <xf numFmtId="6" fontId="58" fillId="0" borderId="0" xfId="0" applyNumberFormat="1" applyFont="1" applyFill="1" applyAlignment="1"/>
    <xf numFmtId="165" fontId="58" fillId="0" borderId="0" xfId="0" applyNumberFormat="1" applyFont="1" applyFill="1" applyBorder="1" applyAlignment="1"/>
    <xf numFmtId="7" fontId="12" fillId="0" borderId="0" xfId="0" applyNumberFormat="1" applyFont="1" applyFill="1" applyAlignment="1"/>
    <xf numFmtId="0" fontId="0" fillId="0" borderId="0" xfId="0" applyNumberFormat="1" applyFill="1" applyAlignment="1">
      <alignment horizontal="center"/>
    </xf>
    <xf numFmtId="165" fontId="34" fillId="0" borderId="0" xfId="0" applyNumberFormat="1" applyFont="1" applyFill="1" applyAlignment="1"/>
    <xf numFmtId="5" fontId="0" fillId="0" borderId="0" xfId="0" applyNumberFormat="1" applyFill="1" applyAlignment="1"/>
    <xf numFmtId="5" fontId="34" fillId="0" borderId="0" xfId="0" applyNumberFormat="1" applyFont="1" applyFill="1" applyAlignment="1"/>
    <xf numFmtId="165" fontId="0" fillId="0" borderId="4" xfId="0" applyNumberFormat="1" applyFill="1" applyBorder="1" applyAlignment="1"/>
    <xf numFmtId="0" fontId="0" fillId="0" borderId="0" xfId="0" applyNumberFormat="1" applyFill="1" applyAlignment="1" applyProtection="1">
      <alignment horizontal="center"/>
      <protection locked="0"/>
    </xf>
    <xf numFmtId="37" fontId="0" fillId="0" borderId="1" xfId="0" applyNumberFormat="1" applyFill="1" applyBorder="1" applyAlignment="1"/>
    <xf numFmtId="37" fontId="0" fillId="0" borderId="0" xfId="0" applyNumberFormat="1" applyFill="1" applyAlignment="1"/>
    <xf numFmtId="0" fontId="69" fillId="3" borderId="0" xfId="0" applyNumberFormat="1" applyFont="1" applyFill="1" applyAlignment="1" applyProtection="1">
      <alignment horizontal="left"/>
      <protection locked="0"/>
    </xf>
    <xf numFmtId="164" fontId="12" fillId="3" borderId="0" xfId="0" applyFont="1" applyFill="1">
      <alignment horizontal="left" wrapText="1"/>
    </xf>
    <xf numFmtId="0" fontId="12" fillId="3" borderId="0" xfId="0" applyNumberFormat="1" applyFont="1" applyFill="1" applyAlignment="1">
      <alignment horizontal="center" wrapText="1"/>
    </xf>
    <xf numFmtId="164" fontId="18" fillId="3" borderId="0" xfId="0" applyFont="1" applyFill="1" applyAlignment="1"/>
    <xf numFmtId="164" fontId="30" fillId="3" borderId="0" xfId="0" applyFont="1" applyFill="1" applyAlignment="1">
      <alignment horizontal="left"/>
    </xf>
    <xf numFmtId="165" fontId="32" fillId="3" borderId="0" xfId="0" applyNumberFormat="1" applyFont="1" applyFill="1" applyAlignment="1"/>
    <xf numFmtId="165" fontId="18" fillId="3" borderId="0" xfId="0" applyNumberFormat="1" applyFont="1" applyFill="1" applyAlignment="1"/>
    <xf numFmtId="166" fontId="18" fillId="3" borderId="0" xfId="0" applyNumberFormat="1" applyFont="1" applyFill="1" applyAlignment="1"/>
    <xf numFmtId="164" fontId="12" fillId="3" borderId="0" xfId="0" applyFont="1" applyFill="1" applyAlignment="1">
      <alignment horizontal="left"/>
    </xf>
    <xf numFmtId="166" fontId="18" fillId="3" borderId="1" xfId="0" applyNumberFormat="1" applyFont="1" applyFill="1" applyBorder="1" applyAlignment="1"/>
    <xf numFmtId="164" fontId="0" fillId="3" borderId="0" xfId="0" applyFill="1">
      <alignment horizontal="left" wrapText="1"/>
    </xf>
    <xf numFmtId="9" fontId="18" fillId="3" borderId="0" xfId="0" applyNumberFormat="1" applyFont="1" applyFill="1" applyAlignment="1"/>
    <xf numFmtId="165" fontId="18" fillId="3" borderId="4" xfId="0" applyNumberFormat="1" applyFont="1" applyFill="1" applyBorder="1" applyAlignment="1"/>
    <xf numFmtId="0" fontId="12" fillId="0" borderId="0" xfId="0" applyNumberFormat="1" applyFont="1" applyAlignment="1">
      <alignment wrapText="1"/>
    </xf>
    <xf numFmtId="164" fontId="12" fillId="0" borderId="0" xfId="0" applyFont="1" applyAlignment="1">
      <alignment wrapText="1"/>
    </xf>
    <xf numFmtId="3" fontId="7" fillId="0" borderId="0" xfId="0" applyNumberFormat="1" applyFont="1" applyFill="1" applyBorder="1" applyAlignment="1"/>
    <xf numFmtId="0" fontId="7" fillId="0" borderId="0" xfId="0" applyNumberFormat="1" applyFont="1" applyFill="1" applyBorder="1" applyAlignment="1"/>
    <xf numFmtId="0" fontId="7" fillId="0" borderId="0" xfId="0" applyNumberFormat="1" applyFont="1" applyFill="1" applyAlignment="1"/>
    <xf numFmtId="0" fontId="7" fillId="0" borderId="0" xfId="0" applyNumberFormat="1" applyFont="1" applyFill="1" applyBorder="1" applyAlignment="1">
      <alignment horizontal="center"/>
    </xf>
    <xf numFmtId="0" fontId="7" fillId="0" borderId="41" xfId="0" applyNumberFormat="1" applyFont="1" applyFill="1" applyBorder="1" applyAlignment="1">
      <alignment horizontal="center"/>
    </xf>
    <xf numFmtId="0" fontId="13" fillId="0" borderId="0" xfId="0" applyNumberFormat="1" applyFont="1" applyAlignment="1"/>
    <xf numFmtId="0" fontId="75" fillId="0" borderId="0" xfId="0" applyNumberFormat="1" applyFont="1" applyAlignment="1"/>
    <xf numFmtId="0" fontId="30" fillId="0" borderId="0" xfId="0" applyNumberFormat="1" applyFont="1" applyAlignment="1"/>
    <xf numFmtId="0" fontId="13" fillId="0" borderId="0" xfId="0" applyNumberFormat="1" applyFont="1" applyAlignment="1">
      <alignment horizontal="center" wrapText="1"/>
    </xf>
    <xf numFmtId="165" fontId="75" fillId="0" borderId="0" xfId="0" applyNumberFormat="1" applyFont="1" applyAlignment="1"/>
    <xf numFmtId="0" fontId="75" fillId="0" borderId="0" xfId="0" quotePrefix="1" applyNumberFormat="1" applyFont="1" applyAlignment="1"/>
    <xf numFmtId="165" fontId="0" fillId="0" borderId="0" xfId="0" applyNumberFormat="1" applyFont="1" applyAlignment="1"/>
    <xf numFmtId="165" fontId="13" fillId="0" borderId="0" xfId="0" applyNumberFormat="1" applyFont="1" applyAlignment="1"/>
    <xf numFmtId="0" fontId="75" fillId="0" borderId="0" xfId="0" applyNumberFormat="1" applyFont="1" applyAlignment="1">
      <alignment horizontal="right"/>
    </xf>
    <xf numFmtId="165" fontId="13" fillId="0" borderId="0" xfId="0" applyNumberFormat="1" applyFont="1" applyAlignment="1"/>
    <xf numFmtId="0" fontId="13" fillId="0" borderId="0" xfId="0" applyNumberFormat="1" applyFont="1" applyAlignment="1">
      <alignment horizontal="right"/>
    </xf>
    <xf numFmtId="165" fontId="0" fillId="0" borderId="0" xfId="0" applyNumberFormat="1" applyFont="1" applyFill="1" applyAlignment="1"/>
    <xf numFmtId="44" fontId="13" fillId="0" borderId="0" xfId="0" applyNumberFormat="1" applyFont="1" applyAlignment="1"/>
    <xf numFmtId="165" fontId="13" fillId="0" borderId="0" xfId="0" applyNumberFormat="1" applyFont="1" applyFill="1" applyAlignment="1"/>
    <xf numFmtId="165" fontId="75" fillId="0" borderId="0" xfId="0" applyNumberFormat="1" applyFont="1" applyFill="1" applyAlignment="1"/>
    <xf numFmtId="0" fontId="13" fillId="0" borderId="0" xfId="0" applyNumberFormat="1" applyFont="1" applyFill="1" applyAlignment="1">
      <alignment horizontal="center" wrapText="1"/>
    </xf>
    <xf numFmtId="0" fontId="75" fillId="0" borderId="0" xfId="0" applyNumberFormat="1" applyFont="1" applyFill="1" applyAlignment="1"/>
    <xf numFmtId="165" fontId="13" fillId="0" borderId="0" xfId="0" applyNumberFormat="1" applyFont="1" applyFill="1" applyAlignment="1"/>
    <xf numFmtId="0" fontId="13" fillId="6" borderId="11"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0" fontId="13" fillId="5" borderId="11" xfId="0" applyNumberFormat="1" applyFont="1" applyFill="1" applyBorder="1" applyAlignment="1">
      <alignment horizontal="center" wrapText="1"/>
    </xf>
    <xf numFmtId="0" fontId="13" fillId="0" borderId="58" xfId="0" applyNumberFormat="1" applyFont="1" applyFill="1" applyBorder="1" applyAlignment="1">
      <alignment horizontal="center" wrapText="1"/>
    </xf>
    <xf numFmtId="0" fontId="13" fillId="0" borderId="27" xfId="0" applyNumberFormat="1" applyFont="1" applyFill="1" applyBorder="1" applyAlignment="1">
      <alignment horizontal="center" wrapText="1"/>
    </xf>
    <xf numFmtId="0" fontId="11" fillId="0" borderId="23" xfId="0" applyNumberFormat="1" applyFont="1" applyFill="1" applyBorder="1" applyAlignment="1">
      <alignment horizontal="center" wrapText="1"/>
    </xf>
    <xf numFmtId="166" fontId="12" fillId="0" borderId="11" xfId="0" applyNumberFormat="1" applyFont="1" applyFill="1" applyBorder="1" applyAlignment="1">
      <alignment vertical="center"/>
    </xf>
    <xf numFmtId="0" fontId="12" fillId="4" borderId="16" xfId="0" applyNumberFormat="1" applyFont="1" applyFill="1" applyBorder="1" applyAlignment="1">
      <alignment vertical="center" wrapText="1"/>
    </xf>
    <xf numFmtId="166" fontId="5" fillId="0" borderId="15" xfId="0" applyNumberFormat="1" applyFont="1" applyFill="1" applyBorder="1" applyAlignment="1">
      <alignment vertical="center"/>
    </xf>
    <xf numFmtId="166" fontId="12" fillId="0" borderId="15" xfId="0" applyNumberFormat="1" applyFont="1" applyFill="1" applyBorder="1" applyAlignment="1">
      <alignment vertical="center"/>
    </xf>
    <xf numFmtId="0" fontId="12" fillId="4" borderId="54" xfId="0" applyNumberFormat="1" applyFont="1" applyFill="1" applyBorder="1" applyAlignment="1">
      <alignment vertical="center" wrapText="1"/>
    </xf>
    <xf numFmtId="166" fontId="5" fillId="0" borderId="12" xfId="0" applyNumberFormat="1" applyFont="1" applyFill="1" applyBorder="1" applyAlignment="1">
      <alignment vertical="center"/>
    </xf>
    <xf numFmtId="166" fontId="12" fillId="0" borderId="56" xfId="0" applyNumberFormat="1" applyFont="1" applyFill="1" applyBorder="1" applyAlignment="1">
      <alignment vertical="center"/>
    </xf>
    <xf numFmtId="0" fontId="13" fillId="0" borderId="0" xfId="0" applyNumberFormat="1" applyFont="1" applyFill="1" applyAlignment="1">
      <alignment horizontal="right"/>
    </xf>
    <xf numFmtId="166" fontId="12" fillId="0" borderId="26" xfId="0" applyNumberFormat="1" applyFont="1" applyFill="1" applyBorder="1" applyAlignment="1"/>
    <xf numFmtId="166" fontId="12" fillId="0" borderId="1" xfId="0" applyNumberFormat="1" applyFont="1" applyFill="1" applyBorder="1" applyAlignment="1"/>
    <xf numFmtId="43" fontId="12" fillId="0" borderId="0" xfId="0" applyNumberFormat="1" applyFont="1" applyFill="1" applyBorder="1" applyAlignment="1"/>
    <xf numFmtId="0" fontId="4" fillId="0" borderId="0" xfId="0" applyNumberFormat="1" applyFont="1" applyAlignment="1"/>
    <xf numFmtId="0" fontId="4" fillId="0" borderId="0" xfId="0" applyNumberFormat="1" applyFont="1" applyAlignment="1">
      <alignment horizontal="center"/>
    </xf>
    <xf numFmtId="0" fontId="34" fillId="0" borderId="0" xfId="0" applyNumberFormat="1" applyFont="1" applyAlignment="1">
      <alignment horizontal="center"/>
    </xf>
    <xf numFmtId="0" fontId="34" fillId="0" borderId="1" xfId="0" applyNumberFormat="1" applyFont="1" applyBorder="1" applyAlignment="1"/>
    <xf numFmtId="17" fontId="4" fillId="0" borderId="0" xfId="0" applyNumberFormat="1" applyFont="1" applyAlignment="1"/>
    <xf numFmtId="166" fontId="0" fillId="0" borderId="0" xfId="0" applyNumberFormat="1" applyFont="1" applyAlignment="1"/>
    <xf numFmtId="44" fontId="0" fillId="0" borderId="0" xfId="0" applyNumberFormat="1" applyFont="1" applyAlignment="1"/>
    <xf numFmtId="165" fontId="4" fillId="0" borderId="0" xfId="0" applyNumberFormat="1" applyFont="1" applyAlignment="1"/>
    <xf numFmtId="166" fontId="14" fillId="0" borderId="0" xfId="0" applyNumberFormat="1" applyFont="1" applyFill="1" applyBorder="1" applyAlignment="1"/>
    <xf numFmtId="44" fontId="4" fillId="0" borderId="0" xfId="0" applyNumberFormat="1" applyFont="1" applyAlignment="1"/>
    <xf numFmtId="44" fontId="4" fillId="0" borderId="0" xfId="0" applyNumberFormat="1" applyFont="1" applyFill="1" applyAlignment="1"/>
    <xf numFmtId="0" fontId="36" fillId="0" borderId="0" xfId="0" applyNumberFormat="1" applyFont="1" applyAlignment="1"/>
    <xf numFmtId="166" fontId="34" fillId="0" borderId="4" xfId="0" applyNumberFormat="1" applyFont="1" applyBorder="1" applyAlignment="1"/>
    <xf numFmtId="165" fontId="34" fillId="0" borderId="4" xfId="0" applyNumberFormat="1" applyFont="1" applyBorder="1" applyAlignment="1"/>
    <xf numFmtId="166" fontId="4" fillId="0" borderId="0" xfId="0" applyNumberFormat="1" applyFont="1" applyAlignment="1"/>
    <xf numFmtId="164" fontId="77" fillId="0" borderId="0" xfId="0" applyFont="1" applyAlignment="1">
      <alignment horizontal="left"/>
    </xf>
    <xf numFmtId="164" fontId="0" fillId="0" borderId="0" xfId="0" applyFont="1" applyAlignment="1">
      <alignment horizontal="centerContinuous"/>
    </xf>
    <xf numFmtId="164" fontId="78" fillId="0" borderId="0" xfId="0" applyFont="1" applyAlignment="1"/>
    <xf numFmtId="164" fontId="79" fillId="0" borderId="0" xfId="0" applyFont="1" applyFill="1" applyAlignment="1">
      <alignment horizontal="left"/>
    </xf>
    <xf numFmtId="164" fontId="0" fillId="0" borderId="0" xfId="0" applyFont="1" applyAlignment="1"/>
    <xf numFmtId="164" fontId="0" fillId="0" borderId="0" xfId="0" applyFont="1" applyFill="1" applyAlignment="1">
      <alignment horizontal="centerContinuous"/>
    </xf>
    <xf numFmtId="0" fontId="80" fillId="0" borderId="61" xfId="0" applyNumberFormat="1" applyFont="1" applyBorder="1" applyAlignment="1">
      <alignment horizontal="left"/>
    </xf>
    <xf numFmtId="0" fontId="80" fillId="0" borderId="62" xfId="0" applyNumberFormat="1" applyFont="1" applyBorder="1" applyAlignment="1">
      <alignment horizontal="center"/>
    </xf>
    <xf numFmtId="164" fontId="57" fillId="0" borderId="27" xfId="0" applyFont="1" applyFill="1" applyBorder="1" applyAlignment="1">
      <alignment horizontal="center" wrapText="1"/>
    </xf>
    <xf numFmtId="0" fontId="81" fillId="0" borderId="62" xfId="0" applyNumberFormat="1" applyFont="1" applyFill="1" applyBorder="1" applyAlignment="1"/>
    <xf numFmtId="42" fontId="63" fillId="0" borderId="20" xfId="0" applyNumberFormat="1" applyFont="1" applyBorder="1" applyAlignment="1"/>
    <xf numFmtId="0" fontId="81" fillId="0" borderId="0" xfId="0" applyNumberFormat="1" applyFont="1" applyFill="1" applyBorder="1" applyAlignment="1"/>
    <xf numFmtId="42" fontId="63" fillId="0" borderId="14" xfId="0" applyNumberFormat="1" applyFont="1" applyBorder="1" applyAlignment="1"/>
    <xf numFmtId="42" fontId="63" fillId="0" borderId="13" xfId="0" applyNumberFormat="1" applyFont="1" applyBorder="1" applyAlignment="1"/>
    <xf numFmtId="0" fontId="82" fillId="0" borderId="41" xfId="0" applyNumberFormat="1" applyFont="1" applyFill="1" applyBorder="1" applyAlignment="1">
      <alignment horizontal="left"/>
    </xf>
    <xf numFmtId="0" fontId="83" fillId="0" borderId="60" xfId="0" applyNumberFormat="1" applyFont="1" applyFill="1" applyBorder="1" applyAlignment="1"/>
    <xf numFmtId="42" fontId="34" fillId="0" borderId="64" xfId="0" applyNumberFormat="1" applyFont="1" applyBorder="1" applyAlignment="1"/>
    <xf numFmtId="166" fontId="0" fillId="0" borderId="13" xfId="0" applyNumberFormat="1" applyFont="1" applyBorder="1" applyAlignment="1"/>
    <xf numFmtId="166" fontId="58" fillId="0" borderId="13" xfId="0" applyNumberFormat="1" applyFont="1" applyBorder="1" applyAlignment="1"/>
    <xf numFmtId="166" fontId="0" fillId="0" borderId="14" xfId="0" applyNumberFormat="1" applyFont="1" applyBorder="1" applyAlignment="1"/>
    <xf numFmtId="164" fontId="80" fillId="0" borderId="42" xfId="0" applyFont="1" applyFill="1" applyBorder="1" applyAlignment="1">
      <alignment horizontal="left"/>
    </xf>
    <xf numFmtId="0" fontId="81" fillId="0" borderId="65" xfId="0" applyNumberFormat="1" applyFont="1" applyFill="1" applyBorder="1" applyAlignment="1">
      <alignment horizontal="left"/>
    </xf>
    <xf numFmtId="166" fontId="63" fillId="0" borderId="16" xfId="0" applyNumberFormat="1" applyFont="1" applyBorder="1" applyAlignment="1"/>
    <xf numFmtId="164" fontId="84" fillId="0" borderId="0" xfId="0" applyNumberFormat="1" applyFont="1" applyFill="1" applyBorder="1" applyAlignment="1"/>
    <xf numFmtId="164" fontId="0" fillId="0" borderId="0" xfId="0" applyFont="1" applyBorder="1" applyAlignment="1"/>
    <xf numFmtId="0" fontId="74" fillId="4" borderId="11" xfId="0" applyNumberFormat="1" applyFont="1" applyFill="1" applyBorder="1" applyAlignment="1">
      <alignment horizontal="centerContinuous" vertical="distributed" wrapText="1"/>
    </xf>
    <xf numFmtId="0" fontId="74" fillId="4" borderId="55" xfId="0" applyNumberFormat="1" applyFont="1" applyFill="1" applyBorder="1" applyAlignment="1">
      <alignment horizontal="center" vertical="center" wrapText="1"/>
    </xf>
    <xf numFmtId="164" fontId="80" fillId="0" borderId="41" xfId="0" applyFont="1" applyFill="1" applyBorder="1" applyAlignment="1">
      <alignment horizontal="left"/>
    </xf>
    <xf numFmtId="180" fontId="80" fillId="0" borderId="41" xfId="0" applyNumberFormat="1" applyFont="1" applyFill="1" applyBorder="1" applyAlignment="1">
      <alignment horizontal="left"/>
    </xf>
    <xf numFmtId="1" fontId="80" fillId="0" borderId="41" xfId="0" applyNumberFormat="1" applyFont="1" applyFill="1" applyBorder="1" applyAlignment="1">
      <alignment horizontal="left"/>
    </xf>
    <xf numFmtId="42" fontId="63" fillId="0" borderId="63" xfId="0" applyNumberFormat="1" applyFont="1" applyBorder="1" applyAlignment="1"/>
    <xf numFmtId="166" fontId="67" fillId="0" borderId="0" xfId="0" applyNumberFormat="1" applyFont="1" applyFill="1" applyAlignment="1">
      <alignment horizontal="left" wrapText="1"/>
    </xf>
    <xf numFmtId="166" fontId="85" fillId="0" borderId="0" xfId="0" applyNumberFormat="1" applyFont="1" applyAlignment="1">
      <alignment horizontal="left" wrapText="1"/>
    </xf>
    <xf numFmtId="171" fontId="86" fillId="0" borderId="0" xfId="0" applyNumberFormat="1" applyFont="1" applyFill="1" applyBorder="1" applyAlignment="1">
      <alignment horizontal="right"/>
    </xf>
    <xf numFmtId="166" fontId="86" fillId="0" borderId="0" xfId="0" applyNumberFormat="1" applyFont="1" applyFill="1" applyBorder="1" applyAlignment="1"/>
    <xf numFmtId="0" fontId="89" fillId="0" borderId="0" xfId="0" applyNumberFormat="1" applyFont="1" applyFill="1" applyBorder="1" applyAlignment="1"/>
    <xf numFmtId="0" fontId="90" fillId="0" borderId="0" xfId="0" applyNumberFormat="1" applyFont="1" applyFill="1" applyBorder="1" applyAlignment="1">
      <alignment horizontal="left"/>
    </xf>
    <xf numFmtId="0" fontId="3" fillId="0" borderId="0" xfId="2"/>
    <xf numFmtId="183" fontId="0" fillId="0" borderId="46" xfId="3" applyNumberFormat="1" applyFont="1" applyBorder="1"/>
    <xf numFmtId="0" fontId="3" fillId="0" borderId="45" xfId="2" applyBorder="1"/>
    <xf numFmtId="0" fontId="3" fillId="0" borderId="44" xfId="2" applyBorder="1" applyAlignment="1">
      <alignment horizontal="center"/>
    </xf>
    <xf numFmtId="166" fontId="33" fillId="0" borderId="0" xfId="2" applyNumberFormat="1" applyFont="1"/>
    <xf numFmtId="166" fontId="3" fillId="0" borderId="46" xfId="2" applyNumberFormat="1" applyBorder="1"/>
    <xf numFmtId="166" fontId="3" fillId="0" borderId="45" xfId="2" applyNumberFormat="1" applyBorder="1"/>
    <xf numFmtId="0" fontId="3" fillId="0" borderId="0" xfId="2" applyAlignment="1">
      <alignment horizontal="center"/>
    </xf>
    <xf numFmtId="166" fontId="3" fillId="0" borderId="0" xfId="2" applyNumberFormat="1" applyFont="1" applyFill="1"/>
    <xf numFmtId="0" fontId="3" fillId="0" borderId="0" xfId="2" quotePrefix="1" applyAlignment="1">
      <alignment horizontal="center"/>
    </xf>
    <xf numFmtId="0" fontId="3" fillId="0" borderId="0" xfId="2" quotePrefix="1" applyAlignment="1">
      <alignment horizontal="left" indent="1"/>
    </xf>
    <xf numFmtId="0" fontId="3" fillId="0" borderId="0" xfId="2" quotePrefix="1" applyAlignment="1">
      <alignment horizontal="left"/>
    </xf>
    <xf numFmtId="16" fontId="3" fillId="0" borderId="0" xfId="2" quotePrefix="1" applyNumberFormat="1" applyAlignment="1">
      <alignment horizontal="center"/>
    </xf>
    <xf numFmtId="0" fontId="3" fillId="0" borderId="0" xfId="2" quotePrefix="1" applyBorder="1" applyAlignment="1">
      <alignment horizontal="center" wrapText="1"/>
    </xf>
    <xf numFmtId="0" fontId="91" fillId="0" borderId="0" xfId="2" quotePrefix="1" applyFont="1" applyBorder="1" applyAlignment="1">
      <alignment horizontal="center" wrapText="1"/>
    </xf>
    <xf numFmtId="0" fontId="91" fillId="0" borderId="0" xfId="2" applyFont="1" applyBorder="1" applyAlignment="1">
      <alignment horizontal="center" wrapText="1"/>
    </xf>
    <xf numFmtId="0" fontId="3" fillId="0" borderId="0" xfId="2" applyBorder="1" applyAlignment="1">
      <alignment horizontal="center" wrapText="1"/>
    </xf>
    <xf numFmtId="0" fontId="3" fillId="0" borderId="65" xfId="2" quotePrefix="1" applyBorder="1" applyAlignment="1">
      <alignment horizontal="center" wrapText="1"/>
    </xf>
    <xf numFmtId="0" fontId="3" fillId="0" borderId="65" xfId="2" applyBorder="1" applyAlignment="1">
      <alignment horizontal="center" wrapText="1"/>
    </xf>
    <xf numFmtId="0" fontId="12" fillId="0" borderId="0" xfId="13"/>
    <xf numFmtId="3" fontId="12" fillId="7" borderId="0" xfId="13" applyNumberFormat="1" applyFill="1"/>
    <xf numFmtId="166" fontId="12" fillId="0" borderId="0" xfId="3" applyNumberFormat="1" applyFont="1"/>
    <xf numFmtId="10" fontId="12" fillId="0" borderId="0" xfId="16" applyNumberFormat="1" applyFont="1"/>
    <xf numFmtId="3" fontId="12" fillId="0" borderId="0" xfId="13" applyNumberFormat="1"/>
    <xf numFmtId="0" fontId="12" fillId="7" borderId="0" xfId="13" applyFill="1"/>
    <xf numFmtId="0" fontId="12" fillId="7" borderId="0" xfId="13" quotePrefix="1" applyFill="1" applyAlignment="1">
      <alignment horizontal="left"/>
    </xf>
    <xf numFmtId="3" fontId="12" fillId="0" borderId="0" xfId="13" applyNumberFormat="1" applyFill="1" applyBorder="1"/>
    <xf numFmtId="166" fontId="81" fillId="0" borderId="0" xfId="13" applyNumberFormat="1" applyFont="1" applyFill="1" applyBorder="1"/>
    <xf numFmtId="0" fontId="12" fillId="0" borderId="0" xfId="13" applyFill="1" applyBorder="1"/>
    <xf numFmtId="3" fontId="12" fillId="0" borderId="0" xfId="13" applyNumberFormat="1" applyFill="1" applyBorder="1" applyAlignment="1">
      <alignment horizontal="right"/>
    </xf>
    <xf numFmtId="0" fontId="12" fillId="0" borderId="0" xfId="13" applyFill="1" applyBorder="1" applyAlignment="1">
      <alignment horizontal="center"/>
    </xf>
    <xf numFmtId="3" fontId="12" fillId="0" borderId="0" xfId="13" applyNumberFormat="1" applyBorder="1"/>
    <xf numFmtId="0" fontId="12" fillId="0" borderId="0" xfId="13" applyBorder="1" applyAlignment="1">
      <alignment horizontal="center"/>
    </xf>
    <xf numFmtId="3" fontId="12" fillId="10" borderId="0" xfId="13" applyNumberFormat="1" applyFill="1" applyBorder="1"/>
    <xf numFmtId="3" fontId="12" fillId="7" borderId="0" xfId="13" applyNumberFormat="1" applyFill="1" applyBorder="1"/>
    <xf numFmtId="0" fontId="12" fillId="7" borderId="0" xfId="13" applyFill="1" applyBorder="1"/>
    <xf numFmtId="3" fontId="12" fillId="7" borderId="0" xfId="13" applyNumberFormat="1" applyFill="1" applyBorder="1" applyAlignment="1">
      <alignment horizontal="right"/>
    </xf>
    <xf numFmtId="0" fontId="12" fillId="7" borderId="0" xfId="13" applyFill="1" applyBorder="1" applyAlignment="1">
      <alignment horizontal="center"/>
    </xf>
    <xf numFmtId="3" fontId="12" fillId="0" borderId="65" xfId="13" applyNumberFormat="1" applyBorder="1"/>
    <xf numFmtId="0" fontId="12" fillId="0" borderId="17" xfId="13" applyBorder="1" applyAlignment="1">
      <alignment horizontal="center"/>
    </xf>
    <xf numFmtId="0" fontId="12" fillId="0" borderId="42" xfId="13" applyBorder="1" applyAlignment="1">
      <alignment horizontal="center"/>
    </xf>
    <xf numFmtId="3" fontId="12" fillId="0" borderId="16" xfId="13" applyNumberFormat="1" applyBorder="1"/>
    <xf numFmtId="3" fontId="12" fillId="0" borderId="17" xfId="13" applyNumberFormat="1" applyBorder="1"/>
    <xf numFmtId="3" fontId="12" fillId="10" borderId="16" xfId="13" applyNumberFormat="1" applyFill="1" applyBorder="1"/>
    <xf numFmtId="3" fontId="12" fillId="10" borderId="17" xfId="13" applyNumberFormat="1" applyFill="1" applyBorder="1"/>
    <xf numFmtId="3" fontId="12" fillId="10" borderId="65" xfId="13" applyNumberFormat="1" applyFill="1" applyBorder="1"/>
    <xf numFmtId="0" fontId="91" fillId="0" borderId="62" xfId="13" applyFont="1" applyFill="1" applyBorder="1" applyAlignment="1">
      <alignment horizontal="center"/>
    </xf>
    <xf numFmtId="0" fontId="91" fillId="0" borderId="62" xfId="13" quotePrefix="1" applyFont="1" applyFill="1" applyBorder="1" applyAlignment="1">
      <alignment horizontal="center"/>
    </xf>
    <xf numFmtId="0" fontId="91" fillId="11" borderId="20" xfId="13" applyFont="1" applyFill="1" applyBorder="1" applyAlignment="1">
      <alignment horizontal="center"/>
    </xf>
    <xf numFmtId="0" fontId="91" fillId="11" borderId="63" xfId="13" applyFont="1" applyFill="1" applyBorder="1" applyAlignment="1">
      <alignment horizontal="center"/>
    </xf>
    <xf numFmtId="0" fontId="91" fillId="11" borderId="62" xfId="13" applyFont="1" applyFill="1" applyBorder="1" applyAlignment="1">
      <alignment horizontal="center"/>
    </xf>
    <xf numFmtId="0" fontId="91" fillId="11" borderId="40" xfId="13" applyFont="1" applyFill="1" applyBorder="1" applyAlignment="1">
      <alignment horizontal="center"/>
    </xf>
    <xf numFmtId="0" fontId="91" fillId="0" borderId="3" xfId="13" applyFont="1" applyFill="1" applyBorder="1" applyAlignment="1">
      <alignment horizontal="center"/>
    </xf>
    <xf numFmtId="0" fontId="91" fillId="0" borderId="61" xfId="13" applyFont="1" applyFill="1" applyBorder="1" applyAlignment="1">
      <alignment horizontal="center"/>
    </xf>
    <xf numFmtId="0" fontId="91" fillId="0" borderId="66" xfId="13" applyFont="1" applyFill="1" applyBorder="1" applyAlignment="1">
      <alignment horizontal="center"/>
    </xf>
    <xf numFmtId="0" fontId="91" fillId="0" borderId="54" xfId="13" applyFont="1" applyFill="1" applyBorder="1" applyAlignment="1">
      <alignment horizontal="center"/>
    </xf>
    <xf numFmtId="0" fontId="12" fillId="11" borderId="0" xfId="13" applyFill="1"/>
    <xf numFmtId="0" fontId="95" fillId="11" borderId="0" xfId="13" applyFont="1" applyFill="1"/>
    <xf numFmtId="0" fontId="95" fillId="11" borderId="0" xfId="13" applyFont="1" applyFill="1" applyAlignment="1"/>
    <xf numFmtId="0" fontId="96" fillId="11" borderId="0" xfId="13" applyFont="1" applyFill="1"/>
    <xf numFmtId="0" fontId="95" fillId="0" borderId="0" xfId="13" applyFont="1"/>
    <xf numFmtId="0" fontId="96" fillId="11" borderId="0" xfId="13" applyFont="1" applyFill="1" applyAlignment="1"/>
    <xf numFmtId="0" fontId="96" fillId="0" borderId="0" xfId="13" applyFont="1"/>
    <xf numFmtId="0" fontId="35" fillId="11" borderId="0" xfId="13" applyFont="1" applyFill="1"/>
    <xf numFmtId="0" fontId="35" fillId="11" borderId="0" xfId="13" applyFont="1" applyFill="1" applyAlignment="1"/>
    <xf numFmtId="0" fontId="35" fillId="0" borderId="0" xfId="13" applyFont="1"/>
    <xf numFmtId="0" fontId="97" fillId="11" borderId="0" xfId="13" applyFont="1" applyFill="1"/>
    <xf numFmtId="0" fontId="97" fillId="11" borderId="0" xfId="13" applyFont="1" applyFill="1" applyAlignment="1"/>
    <xf numFmtId="0" fontId="97" fillId="11" borderId="0" xfId="13" quotePrefix="1" applyFont="1" applyFill="1" applyAlignment="1">
      <alignment horizontal="left"/>
    </xf>
    <xf numFmtId="0" fontId="97" fillId="0" borderId="0" xfId="13" quotePrefix="1" applyFont="1" applyAlignment="1">
      <alignment horizontal="left"/>
    </xf>
    <xf numFmtId="0" fontId="78" fillId="11" borderId="0" xfId="13" applyFont="1" applyFill="1"/>
    <xf numFmtId="0" fontId="78" fillId="11" borderId="0" xfId="13" applyFont="1" applyFill="1" applyAlignment="1"/>
    <xf numFmtId="0" fontId="78" fillId="0" borderId="0" xfId="13" applyFont="1"/>
    <xf numFmtId="0" fontId="94" fillId="0" borderId="0" xfId="14"/>
    <xf numFmtId="0" fontId="94" fillId="0" borderId="0" xfId="14" applyFill="1"/>
    <xf numFmtId="166" fontId="0" fillId="0" borderId="0" xfId="17" applyNumberFormat="1" applyFont="1" applyFill="1"/>
    <xf numFmtId="166" fontId="0" fillId="0" borderId="0" xfId="17" applyNumberFormat="1" applyFont="1" applyFill="1" applyBorder="1"/>
    <xf numFmtId="0" fontId="94" fillId="0" borderId="0" xfId="14" applyFill="1" applyAlignment="1">
      <alignment horizontal="center"/>
    </xf>
    <xf numFmtId="166" fontId="0" fillId="0" borderId="53" xfId="17" applyNumberFormat="1" applyFont="1" applyFill="1" applyBorder="1"/>
    <xf numFmtId="166" fontId="0" fillId="0" borderId="52" xfId="17" applyNumberFormat="1" applyFont="1" applyFill="1" applyBorder="1"/>
    <xf numFmtId="166" fontId="0" fillId="0" borderId="23" xfId="17" applyNumberFormat="1" applyFont="1" applyFill="1" applyBorder="1"/>
    <xf numFmtId="14" fontId="94" fillId="0" borderId="0" xfId="14" applyNumberFormat="1" applyFill="1"/>
    <xf numFmtId="166" fontId="0" fillId="0" borderId="51" xfId="17" applyNumberFormat="1" applyFont="1" applyFill="1" applyBorder="1"/>
    <xf numFmtId="166" fontId="0" fillId="0" borderId="12" xfId="17" applyNumberFormat="1" applyFont="1" applyFill="1" applyBorder="1"/>
    <xf numFmtId="166" fontId="94" fillId="0" borderId="51" xfId="14" applyNumberFormat="1" applyFill="1" applyBorder="1"/>
    <xf numFmtId="166" fontId="94" fillId="0" borderId="0" xfId="14" applyNumberFormat="1" applyFill="1"/>
    <xf numFmtId="166" fontId="0" fillId="7" borderId="51" xfId="17" applyNumberFormat="1" applyFont="1" applyFill="1" applyBorder="1"/>
    <xf numFmtId="166" fontId="0" fillId="12" borderId="0" xfId="17" applyNumberFormat="1" applyFont="1" applyFill="1" applyBorder="1"/>
    <xf numFmtId="166" fontId="0" fillId="7" borderId="0" xfId="17" applyNumberFormat="1" applyFont="1" applyFill="1" applyBorder="1"/>
    <xf numFmtId="166" fontId="0" fillId="12" borderId="12" xfId="17" applyNumberFormat="1" applyFont="1" applyFill="1" applyBorder="1"/>
    <xf numFmtId="0" fontId="94" fillId="12" borderId="0" xfId="14" applyFill="1"/>
    <xf numFmtId="14" fontId="94" fillId="12" borderId="0" xfId="14" applyNumberFormat="1" applyFill="1"/>
    <xf numFmtId="0" fontId="94" fillId="12" borderId="0" xfId="14" applyFill="1" applyAlignment="1">
      <alignment horizontal="center"/>
    </xf>
    <xf numFmtId="166" fontId="94" fillId="0" borderId="50" xfId="14" applyNumberFormat="1" applyFill="1" applyBorder="1"/>
    <xf numFmtId="166" fontId="0" fillId="0" borderId="10" xfId="17" applyNumberFormat="1" applyFont="1" applyFill="1" applyBorder="1"/>
    <xf numFmtId="166" fontId="0" fillId="0" borderId="7" xfId="17" applyNumberFormat="1" applyFont="1" applyFill="1" applyBorder="1"/>
    <xf numFmtId="166" fontId="0" fillId="0" borderId="50" xfId="17" applyNumberFormat="1" applyFont="1" applyFill="1" applyBorder="1"/>
    <xf numFmtId="0" fontId="94" fillId="0" borderId="51" xfId="14" applyFill="1" applyBorder="1"/>
    <xf numFmtId="0" fontId="94" fillId="0" borderId="0" xfId="14" applyFill="1" applyBorder="1"/>
    <xf numFmtId="0" fontId="94" fillId="0" borderId="12" xfId="14" applyFill="1" applyBorder="1"/>
    <xf numFmtId="0" fontId="94" fillId="0" borderId="51" xfId="14" applyFill="1" applyBorder="1" applyAlignment="1">
      <alignment horizontal="center"/>
    </xf>
    <xf numFmtId="0" fontId="94" fillId="0" borderId="0" xfId="14" applyFill="1" applyBorder="1" applyAlignment="1">
      <alignment horizontal="center"/>
    </xf>
    <xf numFmtId="0" fontId="94" fillId="0" borderId="12" xfId="14" applyFill="1" applyBorder="1" applyAlignment="1">
      <alignment horizontal="center"/>
    </xf>
    <xf numFmtId="0" fontId="99" fillId="0" borderId="0" xfId="14" applyFont="1"/>
    <xf numFmtId="0" fontId="100" fillId="0" borderId="0" xfId="14" applyFont="1"/>
    <xf numFmtId="165" fontId="49" fillId="0" borderId="0" xfId="0" applyNumberFormat="1" applyFont="1" applyAlignment="1"/>
    <xf numFmtId="0" fontId="94" fillId="0" borderId="0" xfId="18"/>
    <xf numFmtId="43" fontId="94" fillId="0" borderId="0" xfId="18" applyNumberFormat="1"/>
    <xf numFmtId="0" fontId="94" fillId="0" borderId="0" xfId="18" applyAlignment="1">
      <alignment horizontal="right"/>
    </xf>
    <xf numFmtId="0" fontId="94" fillId="0" borderId="0" xfId="18" applyAlignment="1">
      <alignment horizontal="center"/>
    </xf>
    <xf numFmtId="0" fontId="98" fillId="0" borderId="0" xfId="18" applyFont="1" applyAlignment="1">
      <alignment horizontal="center"/>
    </xf>
    <xf numFmtId="0" fontId="98" fillId="0" borderId="0" xfId="18" applyFont="1"/>
    <xf numFmtId="43" fontId="98" fillId="0" borderId="0" xfId="18" applyNumberFormat="1" applyFont="1"/>
    <xf numFmtId="43" fontId="98" fillId="0" borderId="0" xfId="18" applyNumberFormat="1" applyFont="1" applyAlignment="1">
      <alignment horizontal="center"/>
    </xf>
    <xf numFmtId="0" fontId="98" fillId="0" borderId="0" xfId="18" applyFont="1" applyAlignment="1">
      <alignment horizontal="left" indent="1"/>
    </xf>
    <xf numFmtId="0" fontId="115" fillId="0" borderId="0" xfId="18" applyFont="1"/>
    <xf numFmtId="165" fontId="13" fillId="0" borderId="1" xfId="0" applyNumberFormat="1" applyFont="1" applyFill="1" applyBorder="1" applyAlignment="1"/>
    <xf numFmtId="165" fontId="94" fillId="0" borderId="0" xfId="18" applyNumberFormat="1"/>
    <xf numFmtId="165" fontId="94" fillId="0" borderId="0" xfId="18" applyNumberFormat="1" applyBorder="1"/>
    <xf numFmtId="165" fontId="94" fillId="0" borderId="65" xfId="18" applyNumberFormat="1" applyBorder="1"/>
    <xf numFmtId="166" fontId="13" fillId="0" borderId="0" xfId="1" applyNumberFormat="1" applyFont="1" applyAlignment="1">
      <alignment horizontal="left" wrapText="1"/>
    </xf>
    <xf numFmtId="166" fontId="86" fillId="0" borderId="0" xfId="0" applyNumberFormat="1" applyFont="1" applyFill="1" applyBorder="1" applyAlignment="1">
      <alignment horizontal="center"/>
    </xf>
    <xf numFmtId="166" fontId="206" fillId="0" borderId="0" xfId="0" applyNumberFormat="1" applyFont="1" applyFill="1" applyBorder="1" applyAlignment="1">
      <alignment horizontal="center" vertical="top" wrapText="1"/>
    </xf>
    <xf numFmtId="0" fontId="77" fillId="0" borderId="0" xfId="15090" applyFont="1" applyAlignment="1">
      <alignment horizontal="left"/>
    </xf>
    <xf numFmtId="0" fontId="58" fillId="0" borderId="0" xfId="15090" applyNumberFormat="1" applyFont="1" applyFill="1" applyAlignment="1"/>
    <xf numFmtId="0" fontId="78" fillId="0" borderId="0" xfId="15090" applyFont="1" applyBorder="1"/>
    <xf numFmtId="0" fontId="1" fillId="0" borderId="0" xfId="15090" applyFont="1" applyBorder="1"/>
    <xf numFmtId="0" fontId="201" fillId="0" borderId="0" xfId="15090" applyNumberFormat="1" applyFont="1" applyAlignment="1">
      <alignment vertical="top"/>
    </xf>
    <xf numFmtId="0" fontId="58" fillId="0" borderId="0" xfId="15090" applyNumberFormat="1" applyFont="1" applyFill="1" applyAlignment="1">
      <alignment horizontal="center"/>
    </xf>
    <xf numFmtId="0" fontId="58" fillId="0" borderId="40" xfId="15090" applyNumberFormat="1" applyFont="1" applyFill="1" applyBorder="1" applyAlignment="1"/>
    <xf numFmtId="0" fontId="207" fillId="0" borderId="24" xfId="15090" applyFont="1" applyBorder="1" applyAlignment="1">
      <alignment horizontal="center" wrapText="1"/>
    </xf>
    <xf numFmtId="0" fontId="58" fillId="0" borderId="41" xfId="15090" applyNumberFormat="1" applyFont="1" applyFill="1" applyBorder="1" applyAlignment="1"/>
    <xf numFmtId="186" fontId="208" fillId="0" borderId="13" xfId="15090" applyNumberFormat="1" applyFont="1" applyFill="1" applyBorder="1" applyAlignment="1">
      <alignment horizontal="center"/>
    </xf>
    <xf numFmtId="186" fontId="209" fillId="0" borderId="13" xfId="15090" applyNumberFormat="1" applyFont="1" applyFill="1" applyBorder="1" applyAlignment="1">
      <alignment horizontal="center"/>
    </xf>
    <xf numFmtId="43" fontId="58" fillId="0" borderId="40" xfId="15090" applyNumberFormat="1" applyFont="1" applyFill="1" applyBorder="1" applyAlignment="1">
      <alignment horizontal="right"/>
    </xf>
    <xf numFmtId="166" fontId="58" fillId="0" borderId="20" xfId="15090" applyNumberFormat="1" applyFont="1" applyFill="1" applyBorder="1"/>
    <xf numFmtId="0" fontId="58" fillId="0" borderId="41" xfId="15090" quotePrefix="1" applyNumberFormat="1" applyFont="1" applyFill="1" applyBorder="1" applyAlignment="1">
      <alignment horizontal="right" vertical="center" indent="1"/>
    </xf>
    <xf numFmtId="166" fontId="58" fillId="0" borderId="13" xfId="15090" applyNumberFormat="1" applyFont="1" applyFill="1" applyBorder="1"/>
    <xf numFmtId="43" fontId="58" fillId="0" borderId="41" xfId="15090" applyNumberFormat="1" applyFont="1" applyFill="1" applyBorder="1" applyAlignment="1">
      <alignment horizontal="right"/>
    </xf>
    <xf numFmtId="0" fontId="58" fillId="0" borderId="61" xfId="15090" quotePrefix="1" applyNumberFormat="1" applyFont="1" applyFill="1" applyBorder="1" applyAlignment="1">
      <alignment horizontal="right" vertical="center" indent="1"/>
    </xf>
    <xf numFmtId="166" fontId="58" fillId="0" borderId="54" xfId="15090" applyNumberFormat="1" applyFont="1" applyFill="1" applyBorder="1"/>
    <xf numFmtId="0" fontId="58" fillId="0" borderId="40" xfId="15090" quotePrefix="1" applyNumberFormat="1" applyFont="1" applyFill="1" applyBorder="1" applyAlignment="1">
      <alignment horizontal="right" vertical="center" indent="1"/>
    </xf>
    <xf numFmtId="0" fontId="58" fillId="0" borderId="42" xfId="15090" quotePrefix="1" applyNumberFormat="1" applyFont="1" applyFill="1" applyBorder="1" applyAlignment="1">
      <alignment horizontal="right" vertical="center" indent="1"/>
    </xf>
    <xf numFmtId="166" fontId="58" fillId="0" borderId="16" xfId="15090" applyNumberFormat="1" applyFont="1" applyFill="1" applyBorder="1"/>
    <xf numFmtId="43" fontId="58" fillId="0" borderId="61" xfId="15090" applyNumberFormat="1" applyFont="1" applyFill="1" applyBorder="1" applyAlignment="1">
      <alignment horizontal="right"/>
    </xf>
    <xf numFmtId="43" fontId="58" fillId="0" borderId="16" xfId="15090" applyNumberFormat="1" applyFont="1" applyFill="1" applyBorder="1" applyAlignment="1">
      <alignment horizontal="right"/>
    </xf>
    <xf numFmtId="0" fontId="210" fillId="0" borderId="41" xfId="15090" applyNumberFormat="1" applyFont="1" applyFill="1" applyBorder="1" applyAlignment="1">
      <alignment horizontal="right"/>
    </xf>
    <xf numFmtId="166" fontId="210" fillId="0" borderId="20" xfId="15090" applyNumberFormat="1" applyFont="1" applyFill="1" applyBorder="1" applyAlignment="1"/>
    <xf numFmtId="0" fontId="58" fillId="0" borderId="0" xfId="15090" applyNumberFormat="1" applyFont="1" applyAlignment="1"/>
    <xf numFmtId="0" fontId="1" fillId="0" borderId="0" xfId="15090" applyFont="1"/>
    <xf numFmtId="0" fontId="58" fillId="0" borderId="41" xfId="15090" applyNumberFormat="1" applyFont="1" applyBorder="1" applyAlignment="1">
      <alignment horizontal="right"/>
    </xf>
    <xf numFmtId="166" fontId="58" fillId="0" borderId="16" xfId="15090" applyNumberFormat="1" applyFont="1" applyFill="1" applyBorder="1" applyAlignment="1"/>
    <xf numFmtId="0" fontId="58" fillId="0" borderId="16" xfId="15090" applyNumberFormat="1" applyFont="1" applyFill="1" applyBorder="1" applyAlignment="1"/>
    <xf numFmtId="0" fontId="64" fillId="0" borderId="54" xfId="15090" applyNumberFormat="1" applyFont="1" applyBorder="1" applyAlignment="1">
      <alignment horizontal="right"/>
    </xf>
    <xf numFmtId="166" fontId="64" fillId="0" borderId="54" xfId="15090" applyNumberFormat="1" applyFont="1" applyFill="1" applyBorder="1"/>
    <xf numFmtId="0" fontId="58" fillId="0" borderId="0" xfId="15090" applyNumberFormat="1" applyFont="1" applyFill="1" applyBorder="1" applyAlignment="1"/>
    <xf numFmtId="166" fontId="18" fillId="0" borderId="0" xfId="1" applyNumberFormat="1" applyFont="1" applyFill="1" applyAlignment="1"/>
    <xf numFmtId="166" fontId="64" fillId="2" borderId="61" xfId="15090" applyNumberFormat="1" applyFont="1" applyFill="1" applyBorder="1"/>
    <xf numFmtId="166" fontId="222" fillId="0" borderId="0" xfId="0" applyNumberFormat="1" applyFont="1" applyFill="1" applyBorder="1" applyAlignment="1"/>
    <xf numFmtId="43" fontId="0" fillId="0" borderId="0" xfId="1" applyFont="1" applyAlignment="1">
      <alignment horizontal="left" wrapText="1"/>
    </xf>
    <xf numFmtId="171" fontId="40" fillId="0" borderId="0" xfId="0" applyNumberFormat="1" applyFont="1" applyAlignment="1">
      <alignment horizontal="left"/>
    </xf>
    <xf numFmtId="171" fontId="40" fillId="0" borderId="0" xfId="0" applyNumberFormat="1" applyFont="1" applyAlignment="1">
      <alignment horizontal="center"/>
    </xf>
    <xf numFmtId="0" fontId="223" fillId="0" borderId="0" xfId="0" applyNumberFormat="1" applyFont="1" applyAlignment="1">
      <alignment horizontal="left"/>
    </xf>
    <xf numFmtId="171" fontId="224" fillId="0" borderId="44" xfId="0" applyNumberFormat="1" applyFont="1" applyBorder="1" applyAlignment="1">
      <alignment horizontal="centerContinuous"/>
    </xf>
    <xf numFmtId="171" fontId="224" fillId="0" borderId="46" xfId="0" applyNumberFormat="1" applyFont="1" applyBorder="1" applyAlignment="1">
      <alignment horizontal="centerContinuous"/>
    </xf>
    <xf numFmtId="0" fontId="225" fillId="0" borderId="0" xfId="0" applyNumberFormat="1" applyFont="1" applyAlignment="1">
      <alignment horizontal="center"/>
    </xf>
    <xf numFmtId="0" fontId="225" fillId="0" borderId="11" xfId="0" applyNumberFormat="1" applyFont="1" applyBorder="1" applyAlignment="1">
      <alignment horizontal="center"/>
    </xf>
    <xf numFmtId="176" fontId="225" fillId="0" borderId="55" xfId="0" applyNumberFormat="1" applyFont="1" applyBorder="1" applyAlignment="1">
      <alignment horizontal="center"/>
    </xf>
    <xf numFmtId="179" fontId="225" fillId="0" borderId="55" xfId="0" applyNumberFormat="1" applyFont="1" applyBorder="1" applyAlignment="1">
      <alignment horizontal="center"/>
    </xf>
    <xf numFmtId="178" fontId="225" fillId="0" borderId="55" xfId="0" applyNumberFormat="1" applyFont="1" applyBorder="1" applyAlignment="1">
      <alignment horizontal="center"/>
    </xf>
    <xf numFmtId="166" fontId="40" fillId="0" borderId="0" xfId="0" applyNumberFormat="1" applyFont="1" applyAlignment="1">
      <alignment horizontal="left"/>
    </xf>
    <xf numFmtId="171" fontId="224" fillId="0" borderId="0" xfId="0" applyNumberFormat="1" applyFont="1" applyFill="1" applyBorder="1" applyAlignment="1">
      <alignment horizontal="left"/>
    </xf>
    <xf numFmtId="164" fontId="40" fillId="0" borderId="0" xfId="0" applyFont="1">
      <alignment horizontal="left" wrapText="1"/>
    </xf>
    <xf numFmtId="0" fontId="40" fillId="0" borderId="0" xfId="0" applyNumberFormat="1" applyFont="1" applyAlignment="1">
      <alignment horizontal="center"/>
    </xf>
    <xf numFmtId="43" fontId="226" fillId="0" borderId="0" xfId="0" applyNumberFormat="1" applyFont="1" applyAlignment="1">
      <alignment horizontal="left"/>
    </xf>
    <xf numFmtId="166" fontId="40" fillId="0" borderId="0" xfId="0" applyNumberFormat="1" applyFont="1" applyFill="1" applyAlignment="1">
      <alignment horizontal="left"/>
    </xf>
    <xf numFmtId="171" fontId="40" fillId="0" borderId="0" xfId="0" applyNumberFormat="1" applyFont="1" applyFill="1" applyBorder="1" applyAlignment="1">
      <alignment horizontal="left"/>
    </xf>
    <xf numFmtId="166" fontId="40" fillId="0" borderId="3" xfId="0" applyNumberFormat="1" applyFont="1" applyBorder="1" applyAlignment="1">
      <alignment horizontal="left"/>
    </xf>
    <xf numFmtId="171" fontId="227" fillId="0" borderId="0" xfId="0" applyNumberFormat="1" applyFont="1" applyFill="1" applyBorder="1" applyAlignment="1">
      <alignment horizontal="right"/>
    </xf>
    <xf numFmtId="166" fontId="227" fillId="0" borderId="0" xfId="0" applyNumberFormat="1" applyFont="1" applyAlignment="1">
      <alignment horizontal="left"/>
    </xf>
    <xf numFmtId="171" fontId="40" fillId="0" borderId="0" xfId="0" applyNumberFormat="1" applyFont="1" applyFill="1" applyBorder="1" applyAlignment="1"/>
    <xf numFmtId="166" fontId="40" fillId="0" borderId="4" xfId="0" applyNumberFormat="1" applyFont="1" applyBorder="1" applyAlignment="1">
      <alignment horizontal="left"/>
    </xf>
    <xf numFmtId="5" fontId="72" fillId="117" borderId="0" xfId="0" applyNumberFormat="1" applyFont="1" applyFill="1" applyAlignment="1"/>
    <xf numFmtId="0" fontId="3" fillId="0" borderId="45" xfId="2" quotePrefix="1" applyBorder="1" applyAlignment="1">
      <alignment horizontal="left" indent="1"/>
    </xf>
    <xf numFmtId="0" fontId="3" fillId="0" borderId="0" xfId="2" quotePrefix="1" applyAlignment="1">
      <alignment horizontal="left" indent="1"/>
    </xf>
    <xf numFmtId="0" fontId="3" fillId="0" borderId="0" xfId="2" applyAlignment="1">
      <alignment horizontal="center"/>
    </xf>
    <xf numFmtId="0" fontId="3" fillId="0" borderId="0" xfId="2" quotePrefix="1" applyAlignment="1">
      <alignment horizontal="center"/>
    </xf>
    <xf numFmtId="0" fontId="3" fillId="0" borderId="65" xfId="2" applyBorder="1" applyAlignment="1">
      <alignment horizontal="center"/>
    </xf>
    <xf numFmtId="0" fontId="12" fillId="0" borderId="0" xfId="0" applyNumberFormat="1" applyFont="1" applyFill="1" applyAlignment="1">
      <alignment wrapText="1"/>
    </xf>
    <xf numFmtId="0" fontId="12" fillId="0" borderId="0" xfId="0" applyNumberFormat="1" applyFont="1" applyAlignment="1">
      <alignment wrapText="1"/>
    </xf>
    <xf numFmtId="0" fontId="34" fillId="0" borderId="0" xfId="0" applyNumberFormat="1" applyFont="1" applyAlignment="1">
      <alignment horizontal="center"/>
    </xf>
    <xf numFmtId="0" fontId="98" fillId="0" borderId="7" xfId="14" applyFont="1" applyFill="1" applyBorder="1" applyAlignment="1">
      <alignment horizontal="center"/>
    </xf>
    <xf numFmtId="0" fontId="98" fillId="0" borderId="10" xfId="14" applyFont="1" applyFill="1" applyBorder="1" applyAlignment="1">
      <alignment horizontal="center"/>
    </xf>
    <xf numFmtId="0" fontId="98" fillId="0" borderId="50" xfId="14" applyFont="1" applyFill="1" applyBorder="1" applyAlignment="1">
      <alignment horizontal="center"/>
    </xf>
    <xf numFmtId="1" fontId="13" fillId="0" borderId="44" xfId="0" applyNumberFormat="1" applyFont="1" applyBorder="1" applyAlignment="1">
      <alignment horizontal="center"/>
    </xf>
    <xf numFmtId="1" fontId="13" fillId="0" borderId="45" xfId="0" applyNumberFormat="1" applyFont="1" applyBorder="1" applyAlignment="1">
      <alignment horizontal="center"/>
    </xf>
    <xf numFmtId="1" fontId="13" fillId="0" borderId="46" xfId="0" applyNumberFormat="1" applyFont="1" applyBorder="1" applyAlignment="1">
      <alignment horizontal="center"/>
    </xf>
    <xf numFmtId="164" fontId="12" fillId="0" borderId="0" xfId="0" applyFont="1" applyAlignment="1">
      <alignment wrapText="1"/>
    </xf>
    <xf numFmtId="164" fontId="12" fillId="0" borderId="0" xfId="0" applyFont="1" applyAlignment="1">
      <alignment horizontal="left" wrapText="1"/>
    </xf>
  </cellXfs>
  <cellStyles count="15131">
    <cellStyle name="_4.06E Pass Throughs" xfId="19"/>
    <cellStyle name="_4.13E Montana Energy Tax" xfId="20"/>
    <cellStyle name="_Book1" xfId="21"/>
    <cellStyle name="_Book1 (2)" xfId="22"/>
    <cellStyle name="_Book2" xfId="23"/>
    <cellStyle name="_Chelan Debt Forecast 12.19.05" xfId="24"/>
    <cellStyle name="_Costs not in AURORA 06GRC" xfId="25"/>
    <cellStyle name="_Costs not in AURORA 2006GRC 6.15.06" xfId="26"/>
    <cellStyle name="_Costs not in AURORA 2007 Rate Case" xfId="27"/>
    <cellStyle name="_Costs not in KWI3000 '06Budget" xfId="28"/>
    <cellStyle name="_DEM-WP (C) Power Cost 2006GRC Order" xfId="29"/>
    <cellStyle name="_DEM-WP Revised (HC) Wild Horse 2006GRC" xfId="30"/>
    <cellStyle name="_DEM-WP(C) Costs not in AURORA 2006GRC" xfId="31"/>
    <cellStyle name="_DEM-WP(C) Costs not in AURORA 2007GRC" xfId="32"/>
    <cellStyle name="_DEM-WP(C) Costs not in AURORA 2007PCORC-5.07Update" xfId="33"/>
    <cellStyle name="_DEM-WP(C) Sumas Proforma 11.5.07" xfId="34"/>
    <cellStyle name="_DEM-WP(C) Westside Hydro Data_051007" xfId="35"/>
    <cellStyle name="_Fuel Prices 4-14" xfId="36"/>
    <cellStyle name="_Power Cost Value Copy 11.30.05 gas 1.09.06 AURORA at 1.10.06" xfId="37"/>
    <cellStyle name="_Recon to Darrin's 5.11.05 proforma" xfId="38"/>
    <cellStyle name="_Tenaska Comparison" xfId="39"/>
    <cellStyle name="_Value Copy 11 30 05 gas 12 09 05 AURORA at 12 14 05" xfId="40"/>
    <cellStyle name="_VC 6.15.06 update on 06GRC power costs.xls Chart 1" xfId="41"/>
    <cellStyle name="_VC 6.15.06 update on 06GRC power costs.xls Chart 2" xfId="42"/>
    <cellStyle name="_VC 6.15.06 update on 06GRC power costs.xls Chart 3" xfId="43"/>
    <cellStyle name="0,0_x000d__x000a_NA_x000d__x000a_" xfId="44"/>
    <cellStyle name="0000" xfId="45"/>
    <cellStyle name="000000" xfId="46"/>
    <cellStyle name="20% - Accent1 10" xfId="47"/>
    <cellStyle name="20% - Accent1 10 2" xfId="48"/>
    <cellStyle name="20% - Accent1 10 2 2" xfId="49"/>
    <cellStyle name="20% - Accent1 10 2 2 2" xfId="50"/>
    <cellStyle name="20% - Accent1 10 2 3" xfId="51"/>
    <cellStyle name="20% - Accent1 10 2 3 2" xfId="52"/>
    <cellStyle name="20% - Accent1 10 2 4" xfId="53"/>
    <cellStyle name="20% - Accent1 10 2 4 2" xfId="54"/>
    <cellStyle name="20% - Accent1 10 2 5" xfId="55"/>
    <cellStyle name="20% - Accent1 10 3" xfId="56"/>
    <cellStyle name="20% - Accent1 10 3 2" xfId="57"/>
    <cellStyle name="20% - Accent1 10 3 2 2" xfId="58"/>
    <cellStyle name="20% - Accent1 10 3 3" xfId="59"/>
    <cellStyle name="20% - Accent1 10 4" xfId="60"/>
    <cellStyle name="20% - Accent1 10 4 2" xfId="61"/>
    <cellStyle name="20% - Accent1 10 5" xfId="62"/>
    <cellStyle name="20% - Accent1 10 5 2" xfId="63"/>
    <cellStyle name="20% - Accent1 10 6" xfId="64"/>
    <cellStyle name="20% - Accent1 10 7" xfId="65"/>
    <cellStyle name="20% - Accent1 11" xfId="66"/>
    <cellStyle name="20% - Accent1 11 2" xfId="67"/>
    <cellStyle name="20% - Accent1 11 2 2" xfId="68"/>
    <cellStyle name="20% - Accent1 11 3" xfId="69"/>
    <cellStyle name="20% - Accent1 12" xfId="70"/>
    <cellStyle name="20% - Accent1 12 2" xfId="71"/>
    <cellStyle name="20% - Accent1 13" xfId="72"/>
    <cellStyle name="20% - Accent1 13 2" xfId="73"/>
    <cellStyle name="20% - Accent1 14" xfId="74"/>
    <cellStyle name="20% - Accent1 14 2" xfId="75"/>
    <cellStyle name="20% - Accent1 14 3" xfId="76"/>
    <cellStyle name="20% - Accent1 15" xfId="77"/>
    <cellStyle name="20% - Accent1 15 2" xfId="78"/>
    <cellStyle name="20% - Accent1 16" xfId="79"/>
    <cellStyle name="20% - Accent1 16 2" xfId="80"/>
    <cellStyle name="20% - Accent1 17" xfId="81"/>
    <cellStyle name="20% - Accent1 17 2" xfId="82"/>
    <cellStyle name="20% - Accent1 18" xfId="83"/>
    <cellStyle name="20% - Accent1 19" xfId="84"/>
    <cellStyle name="20% - Accent1 2" xfId="85"/>
    <cellStyle name="20% - Accent1 2 10" xfId="86"/>
    <cellStyle name="20% - Accent1 2 10 2" xfId="87"/>
    <cellStyle name="20% - Accent1 2 11" xfId="88"/>
    <cellStyle name="20% - Accent1 2 12" xfId="89"/>
    <cellStyle name="20% - Accent1 2 12 2" xfId="90"/>
    <cellStyle name="20% - Accent1 2 12 2 2" xfId="91"/>
    <cellStyle name="20% - Accent1 2 12 3" xfId="92"/>
    <cellStyle name="20% - Accent1 2 12 4" xfId="93"/>
    <cellStyle name="20% - Accent1 2 12 4 2" xfId="94"/>
    <cellStyle name="20% - Accent1 2 12 5" xfId="95"/>
    <cellStyle name="20% - Accent1 2 13" xfId="96"/>
    <cellStyle name="20% - Accent1 2 13 2" xfId="97"/>
    <cellStyle name="20% - Accent1 2 13 2 2" xfId="98"/>
    <cellStyle name="20% - Accent1 2 13 3" xfId="99"/>
    <cellStyle name="20% - Accent1 2 14" xfId="100"/>
    <cellStyle name="20% - Accent1 2 15" xfId="101"/>
    <cellStyle name="20% - Accent1 2 2" xfId="102"/>
    <cellStyle name="20% - Accent1 2 2 10" xfId="103"/>
    <cellStyle name="20% - Accent1 2 2 10 2" xfId="104"/>
    <cellStyle name="20% - Accent1 2 2 11" xfId="105"/>
    <cellStyle name="20% - Accent1 2 2 2" xfId="106"/>
    <cellStyle name="20% - Accent1 2 2 2 2" xfId="107"/>
    <cellStyle name="20% - Accent1 2 2 2 2 2" xfId="108"/>
    <cellStyle name="20% - Accent1 2 2 2 2 3" xfId="109"/>
    <cellStyle name="20% - Accent1 2 2 2 3" xfId="110"/>
    <cellStyle name="20% - Accent1 2 2 2 3 2" xfId="111"/>
    <cellStyle name="20% - Accent1 2 2 2 4" xfId="112"/>
    <cellStyle name="20% - Accent1 2 2 2 5" xfId="113"/>
    <cellStyle name="20% - Accent1 2 2 3" xfId="114"/>
    <cellStyle name="20% - Accent1 2 2 3 2" xfId="115"/>
    <cellStyle name="20% - Accent1 2 2 3 2 2" xfId="116"/>
    <cellStyle name="20% - Accent1 2 2 3 2 3" xfId="117"/>
    <cellStyle name="20% - Accent1 2 2 3 3" xfId="118"/>
    <cellStyle name="20% - Accent1 2 2 3 3 2" xfId="119"/>
    <cellStyle name="20% - Accent1 2 2 3 4" xfId="120"/>
    <cellStyle name="20% - Accent1 2 2 3 5" xfId="121"/>
    <cellStyle name="20% - Accent1 2 2 4" xfId="122"/>
    <cellStyle name="20% - Accent1 2 2 4 2" xfId="123"/>
    <cellStyle name="20% - Accent1 2 2 4 2 2" xfId="124"/>
    <cellStyle name="20% - Accent1 2 2 4 3" xfId="125"/>
    <cellStyle name="20% - Accent1 2 2 4 4" xfId="126"/>
    <cellStyle name="20% - Accent1 2 2 5" xfId="127"/>
    <cellStyle name="20% - Accent1 2 2 5 2" xfId="128"/>
    <cellStyle name="20% - Accent1 2 2 6" xfId="129"/>
    <cellStyle name="20% - Accent1 2 2 6 2" xfId="130"/>
    <cellStyle name="20% - Accent1 2 2 7" xfId="131"/>
    <cellStyle name="20% - Accent1 2 2 8" xfId="132"/>
    <cellStyle name="20% - Accent1 2 2 9" xfId="133"/>
    <cellStyle name="20% - Accent1 2 2 9 2"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3 2" xfId="141"/>
    <cellStyle name="20% - Accent1 2 3 2 4" xfId="142"/>
    <cellStyle name="20% - Accent1 2 3 2 5" xfId="143"/>
    <cellStyle name="20% - Accent1 2 3 3" xfId="144"/>
    <cellStyle name="20% - Accent1 2 3 3 2" xfId="145"/>
    <cellStyle name="20% - Accent1 2 3 3 2 2" xfId="146"/>
    <cellStyle name="20% - Accent1 2 3 3 3" xfId="147"/>
    <cellStyle name="20% - Accent1 2 3 3 4" xfId="148"/>
    <cellStyle name="20% - Accent1 2 3 4" xfId="149"/>
    <cellStyle name="20% - Accent1 2 3 5" xfId="150"/>
    <cellStyle name="20% - Accent1 2 3 5 2" xfId="151"/>
    <cellStyle name="20% - Accent1 2 3 6" xfId="152"/>
    <cellStyle name="20% - Accent1 2 3 7" xfId="153"/>
    <cellStyle name="20% - Accent1 2 3 8" xfId="154"/>
    <cellStyle name="20% - Accent1 2 4" xfId="155"/>
    <cellStyle name="20% - Accent1 2 4 2" xfId="156"/>
    <cellStyle name="20% - Accent1 2 4 2 2" xfId="157"/>
    <cellStyle name="20% - Accent1 2 4 2 2 2" xfId="158"/>
    <cellStyle name="20% - Accent1 2 4 2 3" xfId="159"/>
    <cellStyle name="20% - Accent1 2 4 2 4" xfId="160"/>
    <cellStyle name="20% - Accent1 2 4 3" xfId="161"/>
    <cellStyle name="20% - Accent1 2 4 3 2" xfId="162"/>
    <cellStyle name="20% - Accent1 2 4 4" xfId="163"/>
    <cellStyle name="20% - Accent1 2 4 4 2" xfId="164"/>
    <cellStyle name="20% - Accent1 2 4 5" xfId="165"/>
    <cellStyle name="20% - Accent1 2 4 6" xfId="166"/>
    <cellStyle name="20% - Accent1 2 5" xfId="167"/>
    <cellStyle name="20% - Accent1 2 5 2" xfId="168"/>
    <cellStyle name="20% - Accent1 2 5 2 2" xfId="169"/>
    <cellStyle name="20% - Accent1 2 5 3" xfId="170"/>
    <cellStyle name="20% - Accent1 2 5 4" xfId="171"/>
    <cellStyle name="20% - Accent1 2 6" xfId="172"/>
    <cellStyle name="20% - Accent1 2 6 10" xfId="173"/>
    <cellStyle name="20% - Accent1 2 6 2" xfId="174"/>
    <cellStyle name="20% - Accent1 2 6 2 2" xfId="175"/>
    <cellStyle name="20% - Accent1 2 6 2 2 2" xfId="176"/>
    <cellStyle name="20% - Accent1 2 6 2 2 2 2" xfId="177"/>
    <cellStyle name="20% - Accent1 2 6 2 2 3" xfId="178"/>
    <cellStyle name="20% - Accent1 2 6 2 2 3 2" xfId="179"/>
    <cellStyle name="20% - Accent1 2 6 2 2 4" xfId="180"/>
    <cellStyle name="20% - Accent1 2 6 2 2 5" xfId="181"/>
    <cellStyle name="20% - Accent1 2 6 2 3" xfId="182"/>
    <cellStyle name="20% - Accent1 2 6 2 3 2" xfId="183"/>
    <cellStyle name="20% - Accent1 2 6 2 3 2 2" xfId="184"/>
    <cellStyle name="20% - Accent1 2 6 2 3 3" xfId="185"/>
    <cellStyle name="20% - Accent1 2 6 2 4" xfId="186"/>
    <cellStyle name="20% - Accent1 2 6 2 4 2" xfId="187"/>
    <cellStyle name="20% - Accent1 2 6 2 5" xfId="188"/>
    <cellStyle name="20% - Accent1 2 6 2 5 2" xfId="189"/>
    <cellStyle name="20% - Accent1 2 6 2 6" xfId="190"/>
    <cellStyle name="20% - Accent1 2 6 3" xfId="191"/>
    <cellStyle name="20% - Accent1 2 6 3 2" xfId="192"/>
    <cellStyle name="20% - Accent1 2 6 3 2 2" xfId="193"/>
    <cellStyle name="20% - Accent1 2 6 3 2 2 2" xfId="194"/>
    <cellStyle name="20% - Accent1 2 6 3 2 3" xfId="195"/>
    <cellStyle name="20% - Accent1 2 6 3 2 3 2" xfId="196"/>
    <cellStyle name="20% - Accent1 2 6 3 2 4" xfId="197"/>
    <cellStyle name="20% - Accent1 2 6 3 2 5" xfId="198"/>
    <cellStyle name="20% - Accent1 2 6 3 3" xfId="199"/>
    <cellStyle name="20% - Accent1 2 6 3 3 2" xfId="200"/>
    <cellStyle name="20% - Accent1 2 6 3 3 2 2" xfId="201"/>
    <cellStyle name="20% - Accent1 2 6 3 3 3" xfId="202"/>
    <cellStyle name="20% - Accent1 2 6 3 4" xfId="203"/>
    <cellStyle name="20% - Accent1 2 6 3 4 2" xfId="204"/>
    <cellStyle name="20% - Accent1 2 6 3 5" xfId="205"/>
    <cellStyle name="20% - Accent1 2 6 3 5 2" xfId="206"/>
    <cellStyle name="20% - Accent1 2 6 3 6" xfId="207"/>
    <cellStyle name="20% - Accent1 2 6 4" xfId="208"/>
    <cellStyle name="20% - Accent1 2 6 4 2" xfId="209"/>
    <cellStyle name="20% - Accent1 2 6 4 2 2" xfId="210"/>
    <cellStyle name="20% - Accent1 2 6 4 2 2 2" xfId="211"/>
    <cellStyle name="20% - Accent1 2 6 4 2 3" xfId="212"/>
    <cellStyle name="20% - Accent1 2 6 4 3" xfId="213"/>
    <cellStyle name="20% - Accent1 2 6 4 3 2" xfId="214"/>
    <cellStyle name="20% - Accent1 2 6 4 4" xfId="215"/>
    <cellStyle name="20% - Accent1 2 6 4 4 2" xfId="216"/>
    <cellStyle name="20% - Accent1 2 6 4 5" xfId="217"/>
    <cellStyle name="20% - Accent1 2 6 5" xfId="218"/>
    <cellStyle name="20% - Accent1 2 6 5 2" xfId="219"/>
    <cellStyle name="20% - Accent1 2 6 5 2 2" xfId="220"/>
    <cellStyle name="20% - Accent1 2 6 5 3" xfId="221"/>
    <cellStyle name="20% - Accent1 2 6 5 3 2" xfId="222"/>
    <cellStyle name="20% - Accent1 2 6 5 4" xfId="223"/>
    <cellStyle name="20% - Accent1 2 6 6" xfId="224"/>
    <cellStyle name="20% - Accent1 2 6 6 2" xfId="225"/>
    <cellStyle name="20% - Accent1 2 6 6 2 2" xfId="226"/>
    <cellStyle name="20% - Accent1 2 6 6 3" xfId="227"/>
    <cellStyle name="20% - Accent1 2 6 7" xfId="228"/>
    <cellStyle name="20% - Accent1 2 6 7 2" xfId="229"/>
    <cellStyle name="20% - Accent1 2 6 7 3" xfId="230"/>
    <cellStyle name="20% - Accent1 2 6 8" xfId="231"/>
    <cellStyle name="20% - Accent1 2 6 8 2" xfId="232"/>
    <cellStyle name="20% - Accent1 2 6 9" xfId="233"/>
    <cellStyle name="20% - Accent1 2 7" xfId="234"/>
    <cellStyle name="20% - Accent1 2 7 2" xfId="235"/>
    <cellStyle name="20% - Accent1 2 7 2 2" xfId="236"/>
    <cellStyle name="20% - Accent1 2 7 3" xfId="237"/>
    <cellStyle name="20% - Accent1 2 7 4" xfId="238"/>
    <cellStyle name="20% - Accent1 2 8" xfId="239"/>
    <cellStyle name="20% - Accent1 2 8 2" xfId="240"/>
    <cellStyle name="20% - Accent1 2 9" xfId="241"/>
    <cellStyle name="20% - Accent1 2 9 2" xfId="242"/>
    <cellStyle name="20% - Accent1 20" xfId="243"/>
    <cellStyle name="20% - Accent1 3" xfId="244"/>
    <cellStyle name="20% - Accent1 3 10" xfId="245"/>
    <cellStyle name="20% - Accent1 3 2" xfId="246"/>
    <cellStyle name="20% - Accent1 3 2 2" xfId="247"/>
    <cellStyle name="20% - Accent1 3 2 2 2" xfId="248"/>
    <cellStyle name="20% - Accent1 3 2 2 2 2" xfId="249"/>
    <cellStyle name="20% - Accent1 3 2 2 3" xfId="250"/>
    <cellStyle name="20% - Accent1 3 2 2 4" xfId="251"/>
    <cellStyle name="20% - Accent1 3 2 2 5" xfId="252"/>
    <cellStyle name="20% - Accent1 3 2 3" xfId="253"/>
    <cellStyle name="20% - Accent1 3 2 3 2" xfId="254"/>
    <cellStyle name="20% - Accent1 3 2 3 2 2" xfId="255"/>
    <cellStyle name="20% - Accent1 3 2 3 3" xfId="256"/>
    <cellStyle name="20% - Accent1 3 2 3 4" xfId="257"/>
    <cellStyle name="20% - Accent1 3 2 4" xfId="258"/>
    <cellStyle name="20% - Accent1 3 2 4 2" xfId="259"/>
    <cellStyle name="20% - Accent1 3 2 5" xfId="260"/>
    <cellStyle name="20% - Accent1 3 2 5 2" xfId="261"/>
    <cellStyle name="20% - Accent1 3 2 6" xfId="262"/>
    <cellStyle name="20% - Accent1 3 2 7" xfId="263"/>
    <cellStyle name="20% - Accent1 3 2 8" xfId="264"/>
    <cellStyle name="20% - Accent1 3 3" xfId="265"/>
    <cellStyle name="20% - Accent1 3 3 2" xfId="266"/>
    <cellStyle name="20% - Accent1 3 3 2 2" xfId="267"/>
    <cellStyle name="20% - Accent1 3 3 2 2 2" xfId="268"/>
    <cellStyle name="20% - Accent1 3 3 2 3" xfId="269"/>
    <cellStyle name="20% - Accent1 3 3 2 4" xfId="270"/>
    <cellStyle name="20% - Accent1 3 3 3" xfId="271"/>
    <cellStyle name="20% - Accent1 3 3 3 2" xfId="272"/>
    <cellStyle name="20% - Accent1 3 3 4" xfId="273"/>
    <cellStyle name="20% - Accent1 3 3 4 2" xfId="274"/>
    <cellStyle name="20% - Accent1 3 3 5" xfId="275"/>
    <cellStyle name="20% - Accent1 3 3 6" xfId="276"/>
    <cellStyle name="20% - Accent1 3 3 7" xfId="277"/>
    <cellStyle name="20% - Accent1 3 4" xfId="278"/>
    <cellStyle name="20% - Accent1 3 4 2" xfId="279"/>
    <cellStyle name="20% - Accent1 3 4 2 2" xfId="280"/>
    <cellStyle name="20% - Accent1 3 4 3" xfId="281"/>
    <cellStyle name="20% - Accent1 3 4 4" xfId="282"/>
    <cellStyle name="20% - Accent1 3 5" xfId="283"/>
    <cellStyle name="20% - Accent1 3 5 2" xfId="284"/>
    <cellStyle name="20% - Accent1 3 6" xfId="285"/>
    <cellStyle name="20% - Accent1 3 7" xfId="286"/>
    <cellStyle name="20% - Accent1 3 7 2" xfId="287"/>
    <cellStyle name="20% - Accent1 3 8" xfId="288"/>
    <cellStyle name="20% - Accent1 3 9" xfId="289"/>
    <cellStyle name="20% - Accent1 3 9 2" xfId="290"/>
    <cellStyle name="20% - Accent1 4" xfId="291"/>
    <cellStyle name="20% - Accent1 4 2" xfId="292"/>
    <cellStyle name="20% - Accent1 4 2 2" xfId="293"/>
    <cellStyle name="20% - Accent1 4 2 2 2" xfId="294"/>
    <cellStyle name="20% - Accent1 4 2 2 2 2" xfId="295"/>
    <cellStyle name="20% - Accent1 4 2 2 3" xfId="296"/>
    <cellStyle name="20% - Accent1 4 2 2 4" xfId="297"/>
    <cellStyle name="20% - Accent1 4 2 3" xfId="298"/>
    <cellStyle name="20% - Accent1 4 2 3 2" xfId="299"/>
    <cellStyle name="20% - Accent1 4 2 4" xfId="300"/>
    <cellStyle name="20% - Accent1 4 2 4 2" xfId="301"/>
    <cellStyle name="20% - Accent1 4 2 5" xfId="302"/>
    <cellStyle name="20% - Accent1 4 2 6" xfId="303"/>
    <cellStyle name="20% - Accent1 4 3" xfId="304"/>
    <cellStyle name="20% - Accent1 4 3 2" xfId="305"/>
    <cellStyle name="20% - Accent1 4 3 3" xfId="306"/>
    <cellStyle name="20% - Accent1 4 3 3 2" xfId="307"/>
    <cellStyle name="20% - Accent1 4 3 4" xfId="308"/>
    <cellStyle name="20% - Accent1 4 4" xfId="309"/>
    <cellStyle name="20% - Accent1 4 4 2" xfId="310"/>
    <cellStyle name="20% - Accent1 4 4 2 2" xfId="311"/>
    <cellStyle name="20% - Accent1 4 4 3" xfId="312"/>
    <cellStyle name="20% - Accent1 4 4 4" xfId="313"/>
    <cellStyle name="20% - Accent1 4 5" xfId="314"/>
    <cellStyle name="20% - Accent1 4 5 2" xfId="315"/>
    <cellStyle name="20% - Accent1 4 6" xfId="316"/>
    <cellStyle name="20% - Accent1 4 6 2" xfId="317"/>
    <cellStyle name="20% - Accent1 4 7" xfId="318"/>
    <cellStyle name="20% - Accent1 4 7 2" xfId="319"/>
    <cellStyle name="20% - Accent1 4 8" xfId="320"/>
    <cellStyle name="20% - Accent1 4 9" xfId="321"/>
    <cellStyle name="20% - Accent1 5" xfId="322"/>
    <cellStyle name="20% - Accent1 5 10" xfId="323"/>
    <cellStyle name="20% - Accent1 5 11" xfId="324"/>
    <cellStyle name="20% - Accent1 5 2" xfId="325"/>
    <cellStyle name="20% - Accent1 5 2 2" xfId="326"/>
    <cellStyle name="20% - Accent1 5 2 2 2" xfId="327"/>
    <cellStyle name="20% - Accent1 5 2 2 2 2" xfId="328"/>
    <cellStyle name="20% - Accent1 5 2 2 2 2 2" xfId="329"/>
    <cellStyle name="20% - Accent1 5 2 2 2 3" xfId="330"/>
    <cellStyle name="20% - Accent1 5 2 2 2 3 2" xfId="331"/>
    <cellStyle name="20% - Accent1 5 2 2 2 4" xfId="332"/>
    <cellStyle name="20% - Accent1 5 2 2 2 4 2" xfId="333"/>
    <cellStyle name="20% - Accent1 5 2 2 2 5" xfId="334"/>
    <cellStyle name="20% - Accent1 5 2 2 3" xfId="335"/>
    <cellStyle name="20% - Accent1 5 2 2 3 2" xfId="336"/>
    <cellStyle name="20% - Accent1 5 2 2 3 2 2" xfId="337"/>
    <cellStyle name="20% - Accent1 5 2 2 3 3" xfId="338"/>
    <cellStyle name="20% - Accent1 5 2 2 3 3 2" xfId="339"/>
    <cellStyle name="20% - Accent1 5 2 2 3 4" xfId="340"/>
    <cellStyle name="20% - Accent1 5 2 2 4" xfId="341"/>
    <cellStyle name="20% - Accent1 5 2 2 4 2" xfId="342"/>
    <cellStyle name="20% - Accent1 5 2 2 4 2 2" xfId="343"/>
    <cellStyle name="20% - Accent1 5 2 2 4 3" xfId="344"/>
    <cellStyle name="20% - Accent1 5 2 2 4 3 2" xfId="345"/>
    <cellStyle name="20% - Accent1 5 2 2 4 4" xfId="346"/>
    <cellStyle name="20% - Accent1 5 2 2 5" xfId="347"/>
    <cellStyle name="20% - Accent1 5 2 2 5 2" xfId="348"/>
    <cellStyle name="20% - Accent1 5 2 2 5 2 2" xfId="349"/>
    <cellStyle name="20% - Accent1 5 2 2 5 3" xfId="350"/>
    <cellStyle name="20% - Accent1 5 2 2 5 3 2" xfId="351"/>
    <cellStyle name="20% - Accent1 5 2 2 5 4" xfId="352"/>
    <cellStyle name="20% - Accent1 5 2 2 6" xfId="353"/>
    <cellStyle name="20% - Accent1 5 2 2 7" xfId="354"/>
    <cellStyle name="20% - Accent1 5 2 3" xfId="355"/>
    <cellStyle name="20% - Accent1 5 2 4" xfId="356"/>
    <cellStyle name="20% - Accent1 5 2 5" xfId="357"/>
    <cellStyle name="20% - Accent1 5 2 5 2" xfId="358"/>
    <cellStyle name="20% - Accent1 5 2 6" xfId="359"/>
    <cellStyle name="20% - Accent1 5 3" xfId="360"/>
    <cellStyle name="20% - Accent1 5 3 2" xfId="361"/>
    <cellStyle name="20% - Accent1 5 3 2 2" xfId="362"/>
    <cellStyle name="20% - Accent1 5 3 3" xfId="363"/>
    <cellStyle name="20% - Accent1 5 3 4" xfId="364"/>
    <cellStyle name="20% - Accent1 5 3 5" xfId="365"/>
    <cellStyle name="20% - Accent1 5 3 5 2" xfId="366"/>
    <cellStyle name="20% - Accent1 5 3 6" xfId="367"/>
    <cellStyle name="20% - Accent1 5 4" xfId="368"/>
    <cellStyle name="20% - Accent1 5 4 2" xfId="369"/>
    <cellStyle name="20% - Accent1 5 5" xfId="370"/>
    <cellStyle name="20% - Accent1 5 5 2" xfId="371"/>
    <cellStyle name="20% - Accent1 5 5 2 2" xfId="372"/>
    <cellStyle name="20% - Accent1 5 5 2 2 2" xfId="373"/>
    <cellStyle name="20% - Accent1 5 5 2 3" xfId="374"/>
    <cellStyle name="20% - Accent1 5 5 2 3 2" xfId="375"/>
    <cellStyle name="20% - Accent1 5 5 2 4" xfId="376"/>
    <cellStyle name="20% - Accent1 5 5 2 4 2" xfId="377"/>
    <cellStyle name="20% - Accent1 5 5 2 5" xfId="378"/>
    <cellStyle name="20% - Accent1 5 5 3" xfId="379"/>
    <cellStyle name="20% - Accent1 5 5 3 2" xfId="380"/>
    <cellStyle name="20% - Accent1 5 5 3 2 2" xfId="381"/>
    <cellStyle name="20% - Accent1 5 5 3 3" xfId="382"/>
    <cellStyle name="20% - Accent1 5 5 3 3 2" xfId="383"/>
    <cellStyle name="20% - Accent1 5 5 3 4" xfId="384"/>
    <cellStyle name="20% - Accent1 5 5 4" xfId="385"/>
    <cellStyle name="20% - Accent1 5 5 4 2" xfId="386"/>
    <cellStyle name="20% - Accent1 5 5 4 2 2" xfId="387"/>
    <cellStyle name="20% - Accent1 5 5 4 3" xfId="388"/>
    <cellStyle name="20% - Accent1 5 5 4 3 2" xfId="389"/>
    <cellStyle name="20% - Accent1 5 5 4 4" xfId="390"/>
    <cellStyle name="20% - Accent1 5 5 5" xfId="391"/>
    <cellStyle name="20% - Accent1 5 5 5 2" xfId="392"/>
    <cellStyle name="20% - Accent1 5 5 5 2 2" xfId="393"/>
    <cellStyle name="20% - Accent1 5 5 5 3" xfId="394"/>
    <cellStyle name="20% - Accent1 5 5 5 3 2" xfId="395"/>
    <cellStyle name="20% - Accent1 5 5 5 4" xfId="396"/>
    <cellStyle name="20% - Accent1 5 5 6" xfId="397"/>
    <cellStyle name="20% - Accent1 5 6" xfId="398"/>
    <cellStyle name="20% - Accent1 5 6 2" xfId="399"/>
    <cellStyle name="20% - Accent1 5 6 2 2" xfId="400"/>
    <cellStyle name="20% - Accent1 5 6 2 2 2" xfId="401"/>
    <cellStyle name="20% - Accent1 5 6 2 2 2 2" xfId="402"/>
    <cellStyle name="20% - Accent1 5 6 2 2 3" xfId="403"/>
    <cellStyle name="20% - Accent1 5 6 2 2 3 2" xfId="404"/>
    <cellStyle name="20% - Accent1 5 6 2 2 4" xfId="405"/>
    <cellStyle name="20% - Accent1 5 6 2 2 5" xfId="406"/>
    <cellStyle name="20% - Accent1 5 6 2 3" xfId="407"/>
    <cellStyle name="20% - Accent1 5 6 2 3 2" xfId="408"/>
    <cellStyle name="20% - Accent1 5 6 2 3 2 2" xfId="409"/>
    <cellStyle name="20% - Accent1 5 6 2 3 3" xfId="410"/>
    <cellStyle name="20% - Accent1 5 6 2 4" xfId="411"/>
    <cellStyle name="20% - Accent1 5 6 2 4 2" xfId="412"/>
    <cellStyle name="20% - Accent1 5 6 2 5" xfId="413"/>
    <cellStyle name="20% - Accent1 5 6 2 5 2" xfId="414"/>
    <cellStyle name="20% - Accent1 5 6 2 6" xfId="415"/>
    <cellStyle name="20% - Accent1 5 6 3" xfId="416"/>
    <cellStyle name="20% - Accent1 5 6 3 2" xfId="417"/>
    <cellStyle name="20% - Accent1 5 6 3 2 2" xfId="418"/>
    <cellStyle name="20% - Accent1 5 6 3 2 2 2" xfId="419"/>
    <cellStyle name="20% - Accent1 5 6 3 2 3" xfId="420"/>
    <cellStyle name="20% - Accent1 5 6 3 2 3 2" xfId="421"/>
    <cellStyle name="20% - Accent1 5 6 3 2 4" xfId="422"/>
    <cellStyle name="20% - Accent1 5 6 3 2 5" xfId="423"/>
    <cellStyle name="20% - Accent1 5 6 3 3" xfId="424"/>
    <cellStyle name="20% - Accent1 5 6 3 3 2" xfId="425"/>
    <cellStyle name="20% - Accent1 5 6 3 3 2 2" xfId="426"/>
    <cellStyle name="20% - Accent1 5 6 3 3 3" xfId="427"/>
    <cellStyle name="20% - Accent1 5 6 3 4" xfId="428"/>
    <cellStyle name="20% - Accent1 5 6 3 4 2" xfId="429"/>
    <cellStyle name="20% - Accent1 5 6 3 5" xfId="430"/>
    <cellStyle name="20% - Accent1 5 6 3 5 2" xfId="431"/>
    <cellStyle name="20% - Accent1 5 6 3 6" xfId="432"/>
    <cellStyle name="20% - Accent1 5 6 4" xfId="433"/>
    <cellStyle name="20% - Accent1 5 6 4 2" xfId="434"/>
    <cellStyle name="20% - Accent1 5 6 4 2 2" xfId="435"/>
    <cellStyle name="20% - Accent1 5 6 4 3" xfId="436"/>
    <cellStyle name="20% - Accent1 5 6 4 3 2" xfId="437"/>
    <cellStyle name="20% - Accent1 5 6 4 4" xfId="438"/>
    <cellStyle name="20% - Accent1 5 6 5" xfId="439"/>
    <cellStyle name="20% - Accent1 5 6 5 2" xfId="440"/>
    <cellStyle name="20% - Accent1 5 6 5 3" xfId="441"/>
    <cellStyle name="20% - Accent1 5 6 6" xfId="442"/>
    <cellStyle name="20% - Accent1 5 6 6 2" xfId="443"/>
    <cellStyle name="20% - Accent1 5 6 6 3" xfId="444"/>
    <cellStyle name="20% - Accent1 5 6 7" xfId="445"/>
    <cellStyle name="20% - Accent1 5 6 7 2" xfId="446"/>
    <cellStyle name="20% - Accent1 5 6 7 3" xfId="447"/>
    <cellStyle name="20% - Accent1 5 6 8" xfId="448"/>
    <cellStyle name="20% - Accent1 5 7" xfId="449"/>
    <cellStyle name="20% - Accent1 5 7 2" xfId="450"/>
    <cellStyle name="20% - Accent1 5 7 2 2" xfId="451"/>
    <cellStyle name="20% - Accent1 5 7 2 2 2" xfId="452"/>
    <cellStyle name="20% - Accent1 5 7 2 3" xfId="453"/>
    <cellStyle name="20% - Accent1 5 7 2 3 2" xfId="454"/>
    <cellStyle name="20% - Accent1 5 7 2 4" xfId="455"/>
    <cellStyle name="20% - Accent1 5 7 2 4 2" xfId="456"/>
    <cellStyle name="20% - Accent1 5 7 2 5" xfId="457"/>
    <cellStyle name="20% - Accent1 5 7 3" xfId="458"/>
    <cellStyle name="20% - Accent1 5 7 3 2" xfId="459"/>
    <cellStyle name="20% - Accent1 5 7 3 2 2" xfId="460"/>
    <cellStyle name="20% - Accent1 5 7 3 3" xfId="461"/>
    <cellStyle name="20% - Accent1 5 7 3 3 2" xfId="462"/>
    <cellStyle name="20% - Accent1 5 7 3 4" xfId="463"/>
    <cellStyle name="20% - Accent1 5 7 4" xfId="464"/>
    <cellStyle name="20% - Accent1 5 7 4 2" xfId="465"/>
    <cellStyle name="20% - Accent1 5 7 5" xfId="466"/>
    <cellStyle name="20% - Accent1 5 7 5 2" xfId="467"/>
    <cellStyle name="20% - Accent1 5 7 6" xfId="468"/>
    <cellStyle name="20% - Accent1 5 7 7" xfId="469"/>
    <cellStyle name="20% - Accent1 5 8" xfId="470"/>
    <cellStyle name="20% - Accent1 5 8 2" xfId="471"/>
    <cellStyle name="20% - Accent1 5 8 2 2" xfId="472"/>
    <cellStyle name="20% - Accent1 5 8 2 2 2" xfId="473"/>
    <cellStyle name="20% - Accent1 5 8 2 3" xfId="474"/>
    <cellStyle name="20% - Accent1 5 8 2 3 2" xfId="475"/>
    <cellStyle name="20% - Accent1 5 8 2 4" xfId="476"/>
    <cellStyle name="20% - Accent1 5 8 3" xfId="477"/>
    <cellStyle name="20% - Accent1 5 8 3 2" xfId="478"/>
    <cellStyle name="20% - Accent1 5 8 4" xfId="479"/>
    <cellStyle name="20% - Accent1 5 9" xfId="480"/>
    <cellStyle name="20% - Accent1 5 9 2" xfId="481"/>
    <cellStyle name="20% - Accent1 6" xfId="482"/>
    <cellStyle name="20% - Accent1 6 10" xfId="483"/>
    <cellStyle name="20% - Accent1 6 2" xfId="484"/>
    <cellStyle name="20% - Accent1 6 2 2" xfId="485"/>
    <cellStyle name="20% - Accent1 6 2 2 2" xfId="486"/>
    <cellStyle name="20% - Accent1 6 2 3" xfId="487"/>
    <cellStyle name="20% - Accent1 6 2 4" xfId="488"/>
    <cellStyle name="20% - Accent1 6 2 5" xfId="489"/>
    <cellStyle name="20% - Accent1 6 2 5 2" xfId="490"/>
    <cellStyle name="20% - Accent1 6 2 5 2 2" xfId="491"/>
    <cellStyle name="20% - Accent1 6 2 5 3" xfId="492"/>
    <cellStyle name="20% - Accent1 6 2 5 3 2" xfId="493"/>
    <cellStyle name="20% - Accent1 6 2 5 4" xfId="494"/>
    <cellStyle name="20% - Accent1 6 2 5 5" xfId="495"/>
    <cellStyle name="20% - Accent1 6 2 6" xfId="496"/>
    <cellStyle name="20% - Accent1 6 2 6 2" xfId="497"/>
    <cellStyle name="20% - Accent1 6 2 7" xfId="498"/>
    <cellStyle name="20% - Accent1 6 2 7 2" xfId="499"/>
    <cellStyle name="20% - Accent1 6 2 8" xfId="500"/>
    <cellStyle name="20% - Accent1 6 2 8 2" xfId="501"/>
    <cellStyle name="20% - Accent1 6 2 9" xfId="502"/>
    <cellStyle name="20% - Accent1 6 3" xfId="503"/>
    <cellStyle name="20% - Accent1 6 3 2" xfId="504"/>
    <cellStyle name="20% - Accent1 6 3 3" xfId="505"/>
    <cellStyle name="20% - Accent1 6 3 4" xfId="506"/>
    <cellStyle name="20% - Accent1 6 3 4 2" xfId="507"/>
    <cellStyle name="20% - Accent1 6 3 5" xfId="508"/>
    <cellStyle name="20% - Accent1 6 3 5 2" xfId="509"/>
    <cellStyle name="20% - Accent1 6 4" xfId="510"/>
    <cellStyle name="20% - Accent1 6 4 2" xfId="511"/>
    <cellStyle name="20% - Accent1 6 4 2 2" xfId="512"/>
    <cellStyle name="20% - Accent1 6 4 2 2 2" xfId="513"/>
    <cellStyle name="20% - Accent1 6 4 2 2 2 2" xfId="514"/>
    <cellStyle name="20% - Accent1 6 4 2 2 3" xfId="515"/>
    <cellStyle name="20% - Accent1 6 4 2 2 3 2" xfId="516"/>
    <cellStyle name="20% - Accent1 6 4 2 2 4" xfId="517"/>
    <cellStyle name="20% - Accent1 6 4 2 2 5" xfId="518"/>
    <cellStyle name="20% - Accent1 6 4 2 3" xfId="519"/>
    <cellStyle name="20% - Accent1 6 4 2 3 2" xfId="520"/>
    <cellStyle name="20% - Accent1 6 4 2 3 2 2" xfId="521"/>
    <cellStyle name="20% - Accent1 6 4 2 3 3" xfId="522"/>
    <cellStyle name="20% - Accent1 6 4 2 4" xfId="523"/>
    <cellStyle name="20% - Accent1 6 4 2 4 2" xfId="524"/>
    <cellStyle name="20% - Accent1 6 4 2 5" xfId="525"/>
    <cellStyle name="20% - Accent1 6 4 2 5 2" xfId="526"/>
    <cellStyle name="20% - Accent1 6 4 2 6" xfId="527"/>
    <cellStyle name="20% - Accent1 6 4 3" xfId="528"/>
    <cellStyle name="20% - Accent1 6 4 3 2" xfId="529"/>
    <cellStyle name="20% - Accent1 6 4 3 2 2" xfId="530"/>
    <cellStyle name="20% - Accent1 6 4 3 3" xfId="531"/>
    <cellStyle name="20% - Accent1 6 4 3 3 2" xfId="532"/>
    <cellStyle name="20% - Accent1 6 4 3 4" xfId="533"/>
    <cellStyle name="20% - Accent1 6 4 4" xfId="534"/>
    <cellStyle name="20% - Accent1 6 4 4 2" xfId="535"/>
    <cellStyle name="20% - Accent1 6 4 4 3" xfId="536"/>
    <cellStyle name="20% - Accent1 6 4 5" xfId="537"/>
    <cellStyle name="20% - Accent1 6 4 5 2" xfId="538"/>
    <cellStyle name="20% - Accent1 6 4 5 3" xfId="539"/>
    <cellStyle name="20% - Accent1 6 4 6" xfId="540"/>
    <cellStyle name="20% - Accent1 6 4 6 2" xfId="541"/>
    <cellStyle name="20% - Accent1 6 4 6 3" xfId="542"/>
    <cellStyle name="20% - Accent1 6 4 7" xfId="543"/>
    <cellStyle name="20% - Accent1 6 4 8" xfId="544"/>
    <cellStyle name="20% - Accent1 6 5" xfId="545"/>
    <cellStyle name="20% - Accent1 6 5 2" xfId="546"/>
    <cellStyle name="20% - Accent1 6 5 2 2" xfId="547"/>
    <cellStyle name="20% - Accent1 6 5 2 2 2" xfId="548"/>
    <cellStyle name="20% - Accent1 6 5 2 3" xfId="549"/>
    <cellStyle name="20% - Accent1 6 5 2 3 2" xfId="550"/>
    <cellStyle name="20% - Accent1 6 5 2 4" xfId="551"/>
    <cellStyle name="20% - Accent1 6 5 3" xfId="552"/>
    <cellStyle name="20% - Accent1 6 5 3 2" xfId="553"/>
    <cellStyle name="20% - Accent1 6 5 3 3" xfId="554"/>
    <cellStyle name="20% - Accent1 6 5 4" xfId="555"/>
    <cellStyle name="20% - Accent1 6 5 4 2" xfId="556"/>
    <cellStyle name="20% - Accent1 6 5 4 3" xfId="557"/>
    <cellStyle name="20% - Accent1 6 5 5" xfId="558"/>
    <cellStyle name="20% - Accent1 6 5 5 2" xfId="559"/>
    <cellStyle name="20% - Accent1 6 5 5 3" xfId="560"/>
    <cellStyle name="20% - Accent1 6 5 6" xfId="561"/>
    <cellStyle name="20% - Accent1 6 6" xfId="562"/>
    <cellStyle name="20% - Accent1 6 7" xfId="563"/>
    <cellStyle name="20% - Accent1 6 7 2" xfId="564"/>
    <cellStyle name="20% - Accent1 6 7 2 2" xfId="565"/>
    <cellStyle name="20% - Accent1 6 7 3" xfId="566"/>
    <cellStyle name="20% - Accent1 6 7 3 2" xfId="567"/>
    <cellStyle name="20% - Accent1 6 7 4" xfId="568"/>
    <cellStyle name="20% - Accent1 6 7 5" xfId="569"/>
    <cellStyle name="20% - Accent1 6 8" xfId="570"/>
    <cellStyle name="20% - Accent1 6 8 2" xfId="571"/>
    <cellStyle name="20% - Accent1 6 8 2 2" xfId="572"/>
    <cellStyle name="20% - Accent1 6 8 3" xfId="573"/>
    <cellStyle name="20% - Accent1 6 9" xfId="574"/>
    <cellStyle name="20% - Accent1 6 9 2" xfId="575"/>
    <cellStyle name="20% - Accent1 7" xfId="576"/>
    <cellStyle name="20% - Accent1 7 2" xfId="577"/>
    <cellStyle name="20% - Accent1 7 2 2" xfId="578"/>
    <cellStyle name="20% - Accent1 7 2 2 2" xfId="579"/>
    <cellStyle name="20% - Accent1 7 2 2 2 2" xfId="580"/>
    <cellStyle name="20% - Accent1 7 2 2 3" xfId="581"/>
    <cellStyle name="20% - Accent1 7 2 2 3 2" xfId="582"/>
    <cellStyle name="20% - Accent1 7 2 2 4" xfId="583"/>
    <cellStyle name="20% - Accent1 7 2 3" xfId="584"/>
    <cellStyle name="20% - Accent1 7 2 3 2" xfId="585"/>
    <cellStyle name="20% - Accent1 7 2 3 2 2" xfId="586"/>
    <cellStyle name="20% - Accent1 7 2 3 3" xfId="587"/>
    <cellStyle name="20% - Accent1 7 2 4" xfId="588"/>
    <cellStyle name="20% - Accent1 7 2 4 2" xfId="589"/>
    <cellStyle name="20% - Accent1 7 2 4 2 2" xfId="590"/>
    <cellStyle name="20% - Accent1 7 2 4 3" xfId="591"/>
    <cellStyle name="20% - Accent1 7 2 4 3 2" xfId="592"/>
    <cellStyle name="20% - Accent1 7 2 4 4" xfId="593"/>
    <cellStyle name="20% - Accent1 7 2 5" xfId="594"/>
    <cellStyle name="20% - Accent1 7 2 5 2" xfId="595"/>
    <cellStyle name="20% - Accent1 7 2 5 2 2" xfId="596"/>
    <cellStyle name="20% - Accent1 7 2 6" xfId="597"/>
    <cellStyle name="20% - Accent1 7 3" xfId="598"/>
    <cellStyle name="20% - Accent1 7 3 2" xfId="599"/>
    <cellStyle name="20% - Accent1 7 3 2 2" xfId="600"/>
    <cellStyle name="20% - Accent1 7 3 2 2 2" xfId="601"/>
    <cellStyle name="20% - Accent1 7 3 2 3" xfId="602"/>
    <cellStyle name="20% - Accent1 7 3 2 3 2" xfId="603"/>
    <cellStyle name="20% - Accent1 7 3 2 4" xfId="604"/>
    <cellStyle name="20% - Accent1 7 3 3" xfId="605"/>
    <cellStyle name="20% - Accent1 7 3 3 2" xfId="606"/>
    <cellStyle name="20% - Accent1 7 3 3 2 2" xfId="607"/>
    <cellStyle name="20% - Accent1 7 3 3 3" xfId="608"/>
    <cellStyle name="20% - Accent1 7 3 3 3 2" xfId="609"/>
    <cellStyle name="20% - Accent1 7 3 3 4" xfId="610"/>
    <cellStyle name="20% - Accent1 7 3 4" xfId="611"/>
    <cellStyle name="20% - Accent1 7 4" xfId="612"/>
    <cellStyle name="20% - Accent1 7 4 2" xfId="613"/>
    <cellStyle name="20% - Accent1 7 4 2 2" xfId="614"/>
    <cellStyle name="20% - Accent1 7 4 3" xfId="615"/>
    <cellStyle name="20% - Accent1 7 4 3 2" xfId="616"/>
    <cellStyle name="20% - Accent1 7 4 4" xfId="617"/>
    <cellStyle name="20% - Accent1 7 4 4 2" xfId="618"/>
    <cellStyle name="20% - Accent1 7 4 5" xfId="619"/>
    <cellStyle name="20% - Accent1 7 5" xfId="620"/>
    <cellStyle name="20% - Accent1 7 5 2" xfId="621"/>
    <cellStyle name="20% - Accent1 7 5 2 2" xfId="622"/>
    <cellStyle name="20% - Accent1 7 5 2 2 2" xfId="623"/>
    <cellStyle name="20% - Accent1 7 5 3" xfId="624"/>
    <cellStyle name="20% - Accent1 7 5 3 2" xfId="625"/>
    <cellStyle name="20% - Accent1 7 5 4" xfId="626"/>
    <cellStyle name="20% - Accent1 7 6" xfId="627"/>
    <cellStyle name="20% - Accent1 7 6 2" xfId="628"/>
    <cellStyle name="20% - Accent1 7 7" xfId="629"/>
    <cellStyle name="20% - Accent1 7 7 2" xfId="630"/>
    <cellStyle name="20% - Accent1 7 8" xfId="631"/>
    <cellStyle name="20% - Accent1 7 8 2" xfId="632"/>
    <cellStyle name="20% - Accent1 7 9" xfId="633"/>
    <cellStyle name="20% - Accent1 8" xfId="634"/>
    <cellStyle name="20% - Accent1 8 2" xfId="635"/>
    <cellStyle name="20% - Accent1 8 2 2" xfId="636"/>
    <cellStyle name="20% - Accent1 8 2 2 2" xfId="637"/>
    <cellStyle name="20% - Accent1 8 2 2 2 2" xfId="638"/>
    <cellStyle name="20% - Accent1 8 2 2 3" xfId="639"/>
    <cellStyle name="20% - Accent1 8 2 2 3 2" xfId="640"/>
    <cellStyle name="20% - Accent1 8 2 2 4" xfId="641"/>
    <cellStyle name="20% - Accent1 8 2 3" xfId="642"/>
    <cellStyle name="20% - Accent1 8 2 3 2" xfId="643"/>
    <cellStyle name="20% - Accent1 8 2 3 2 2" xfId="644"/>
    <cellStyle name="20% - Accent1 8 2 3 3" xfId="645"/>
    <cellStyle name="20% - Accent1 8 2 4" xfId="646"/>
    <cellStyle name="20% - Accent1 8 2 4 2" xfId="647"/>
    <cellStyle name="20% - Accent1 8 2 4 2 2" xfId="648"/>
    <cellStyle name="20% - Accent1 8 2 4 3" xfId="649"/>
    <cellStyle name="20% - Accent1 8 2 4 3 2" xfId="650"/>
    <cellStyle name="20% - Accent1 8 2 4 4" xfId="651"/>
    <cellStyle name="20% - Accent1 8 2 5" xfId="652"/>
    <cellStyle name="20% - Accent1 8 2 5 2" xfId="653"/>
    <cellStyle name="20% - Accent1 8 2 6" xfId="654"/>
    <cellStyle name="20% - Accent1 8 3" xfId="655"/>
    <cellStyle name="20% - Accent1 8 3 2" xfId="656"/>
    <cellStyle name="20% - Accent1 8 3 2 2" xfId="657"/>
    <cellStyle name="20% - Accent1 8 3 2 2 2" xfId="658"/>
    <cellStyle name="20% - Accent1 8 3 2 3" xfId="659"/>
    <cellStyle name="20% - Accent1 8 3 2 3 2" xfId="660"/>
    <cellStyle name="20% - Accent1 8 3 2 4" xfId="661"/>
    <cellStyle name="20% - Accent1 8 3 3" xfId="662"/>
    <cellStyle name="20% - Accent1 8 3 3 2" xfId="663"/>
    <cellStyle name="20% - Accent1 8 3 3 2 2" xfId="664"/>
    <cellStyle name="20% - Accent1 8 3 3 3" xfId="665"/>
    <cellStyle name="20% - Accent1 8 3 3 3 2" xfId="666"/>
    <cellStyle name="20% - Accent1 8 3 3 4" xfId="667"/>
    <cellStyle name="20% - Accent1 8 3 4" xfId="668"/>
    <cellStyle name="20% - Accent1 8 3 4 2" xfId="669"/>
    <cellStyle name="20% - Accent1 8 3 5" xfId="670"/>
    <cellStyle name="20% - Accent1 8 3 5 2" xfId="671"/>
    <cellStyle name="20% - Accent1 8 3 6" xfId="672"/>
    <cellStyle name="20% - Accent1 8 4" xfId="673"/>
    <cellStyle name="20% - Accent1 8 4 2" xfId="674"/>
    <cellStyle name="20% - Accent1 8 4 2 2" xfId="675"/>
    <cellStyle name="20% - Accent1 8 4 3" xfId="676"/>
    <cellStyle name="20% - Accent1 8 5" xfId="677"/>
    <cellStyle name="20% - Accent1 8 5 2" xfId="678"/>
    <cellStyle name="20% - Accent1 8 6" xfId="679"/>
    <cellStyle name="20% - Accent1 8 6 2" xfId="680"/>
    <cellStyle name="20% - Accent1 8 7" xfId="681"/>
    <cellStyle name="20% - Accent1 9" xfId="682"/>
    <cellStyle name="20% - Accent1 9 2" xfId="683"/>
    <cellStyle name="20% - Accent1 9 2 2" xfId="684"/>
    <cellStyle name="20% - Accent1 9 2 2 2" xfId="685"/>
    <cellStyle name="20% - Accent1 9 2 3" xfId="686"/>
    <cellStyle name="20% - Accent1 9 2 3 2" xfId="687"/>
    <cellStyle name="20% - Accent1 9 2 4" xfId="688"/>
    <cellStyle name="20% - Accent1 9 2 4 2" xfId="689"/>
    <cellStyle name="20% - Accent1 9 2 5" xfId="690"/>
    <cellStyle name="20% - Accent1 9 3" xfId="691"/>
    <cellStyle name="20% - Accent1 9 3 2" xfId="692"/>
    <cellStyle name="20% - Accent1 9 3 2 2" xfId="693"/>
    <cellStyle name="20% - Accent1 9 3 3" xfId="694"/>
    <cellStyle name="20% - Accent1 9 3 3 2" xfId="695"/>
    <cellStyle name="20% - Accent1 9 3 4" xfId="696"/>
    <cellStyle name="20% - Accent1 9 4" xfId="697"/>
    <cellStyle name="20% - Accent1 9 4 2" xfId="698"/>
    <cellStyle name="20% - Accent1 9 4 2 2" xfId="699"/>
    <cellStyle name="20% - Accent1 9 4 3" xfId="700"/>
    <cellStyle name="20% - Accent1 9 5" xfId="701"/>
    <cellStyle name="20% - Accent1 9 5 2" xfId="702"/>
    <cellStyle name="20% - Accent1 9 6" xfId="703"/>
    <cellStyle name="20% - Accent1 9 7" xfId="704"/>
    <cellStyle name="20% - Accent2 10" xfId="705"/>
    <cellStyle name="20% - Accent2 10 2" xfId="706"/>
    <cellStyle name="20% - Accent2 10 2 2" xfId="707"/>
    <cellStyle name="20% - Accent2 10 2 2 2" xfId="708"/>
    <cellStyle name="20% - Accent2 10 2 3" xfId="709"/>
    <cellStyle name="20% - Accent2 10 2 3 2" xfId="710"/>
    <cellStyle name="20% - Accent2 10 2 4" xfId="711"/>
    <cellStyle name="20% - Accent2 10 2 4 2" xfId="712"/>
    <cellStyle name="20% - Accent2 10 2 5" xfId="713"/>
    <cellStyle name="20% - Accent2 10 3" xfId="714"/>
    <cellStyle name="20% - Accent2 10 3 2" xfId="715"/>
    <cellStyle name="20% - Accent2 10 3 2 2" xfId="716"/>
    <cellStyle name="20% - Accent2 10 3 3" xfId="717"/>
    <cellStyle name="20% - Accent2 10 4" xfId="718"/>
    <cellStyle name="20% - Accent2 10 4 2" xfId="719"/>
    <cellStyle name="20% - Accent2 10 5" xfId="720"/>
    <cellStyle name="20% - Accent2 10 5 2" xfId="721"/>
    <cellStyle name="20% - Accent2 10 6" xfId="722"/>
    <cellStyle name="20% - Accent2 10 7" xfId="723"/>
    <cellStyle name="20% - Accent2 11" xfId="724"/>
    <cellStyle name="20% - Accent2 11 2" xfId="725"/>
    <cellStyle name="20% - Accent2 11 2 2" xfId="726"/>
    <cellStyle name="20% - Accent2 11 3" xfId="727"/>
    <cellStyle name="20% - Accent2 12" xfId="728"/>
    <cellStyle name="20% - Accent2 12 2" xfId="729"/>
    <cellStyle name="20% - Accent2 13" xfId="730"/>
    <cellStyle name="20% - Accent2 13 2" xfId="731"/>
    <cellStyle name="20% - Accent2 14" xfId="732"/>
    <cellStyle name="20% - Accent2 14 2" xfId="733"/>
    <cellStyle name="20% - Accent2 14 3" xfId="734"/>
    <cellStyle name="20% - Accent2 15" xfId="735"/>
    <cellStyle name="20% - Accent2 15 2" xfId="736"/>
    <cellStyle name="20% - Accent2 16" xfId="737"/>
    <cellStyle name="20% - Accent2 16 2" xfId="738"/>
    <cellStyle name="20% - Accent2 17" xfId="739"/>
    <cellStyle name="20% - Accent2 17 2" xfId="740"/>
    <cellStyle name="20% - Accent2 18" xfId="741"/>
    <cellStyle name="20% - Accent2 19" xfId="742"/>
    <cellStyle name="20% - Accent2 2" xfId="743"/>
    <cellStyle name="20% - Accent2 2 10" xfId="744"/>
    <cellStyle name="20% - Accent2 2 10 2" xfId="745"/>
    <cellStyle name="20% - Accent2 2 11" xfId="746"/>
    <cellStyle name="20% - Accent2 2 12" xfId="747"/>
    <cellStyle name="20% - Accent2 2 12 2" xfId="748"/>
    <cellStyle name="20% - Accent2 2 12 2 2" xfId="749"/>
    <cellStyle name="20% - Accent2 2 12 3" xfId="750"/>
    <cellStyle name="20% - Accent2 2 12 4" xfId="751"/>
    <cellStyle name="20% - Accent2 2 12 4 2" xfId="752"/>
    <cellStyle name="20% - Accent2 2 12 5" xfId="753"/>
    <cellStyle name="20% - Accent2 2 13" xfId="754"/>
    <cellStyle name="20% - Accent2 2 13 2" xfId="755"/>
    <cellStyle name="20% - Accent2 2 13 2 2" xfId="756"/>
    <cellStyle name="20% - Accent2 2 13 3" xfId="757"/>
    <cellStyle name="20% - Accent2 2 14" xfId="758"/>
    <cellStyle name="20% - Accent2 2 15" xfId="759"/>
    <cellStyle name="20% - Accent2 2 2" xfId="760"/>
    <cellStyle name="20% - Accent2 2 2 10" xfId="761"/>
    <cellStyle name="20% - Accent2 2 2 10 2" xfId="762"/>
    <cellStyle name="20% - Accent2 2 2 11" xfId="763"/>
    <cellStyle name="20% - Accent2 2 2 2" xfId="764"/>
    <cellStyle name="20% - Accent2 2 2 2 2" xfId="765"/>
    <cellStyle name="20% - Accent2 2 2 2 2 2" xfId="766"/>
    <cellStyle name="20% - Accent2 2 2 2 2 3" xfId="767"/>
    <cellStyle name="20% - Accent2 2 2 2 3" xfId="768"/>
    <cellStyle name="20% - Accent2 2 2 2 3 2" xfId="769"/>
    <cellStyle name="20% - Accent2 2 2 2 4" xfId="770"/>
    <cellStyle name="20% - Accent2 2 2 2 5" xfId="771"/>
    <cellStyle name="20% - Accent2 2 2 3" xfId="772"/>
    <cellStyle name="20% - Accent2 2 2 3 2" xfId="773"/>
    <cellStyle name="20% - Accent2 2 2 3 2 2" xfId="774"/>
    <cellStyle name="20% - Accent2 2 2 3 2 3" xfId="775"/>
    <cellStyle name="20% - Accent2 2 2 3 3" xfId="776"/>
    <cellStyle name="20% - Accent2 2 2 3 3 2" xfId="777"/>
    <cellStyle name="20% - Accent2 2 2 3 4" xfId="778"/>
    <cellStyle name="20% - Accent2 2 2 3 5" xfId="779"/>
    <cellStyle name="20% - Accent2 2 2 4" xfId="780"/>
    <cellStyle name="20% - Accent2 2 2 4 2" xfId="781"/>
    <cellStyle name="20% - Accent2 2 2 4 2 2" xfId="782"/>
    <cellStyle name="20% - Accent2 2 2 4 3" xfId="783"/>
    <cellStyle name="20% - Accent2 2 2 4 4" xfId="784"/>
    <cellStyle name="20% - Accent2 2 2 5" xfId="785"/>
    <cellStyle name="20% - Accent2 2 2 5 2" xfId="786"/>
    <cellStyle name="20% - Accent2 2 2 6" xfId="787"/>
    <cellStyle name="20% - Accent2 2 2 6 2" xfId="788"/>
    <cellStyle name="20% - Accent2 2 2 7" xfId="789"/>
    <cellStyle name="20% - Accent2 2 2 8" xfId="790"/>
    <cellStyle name="20% - Accent2 2 2 9" xfId="791"/>
    <cellStyle name="20% - Accent2 2 2 9 2" xfId="792"/>
    <cellStyle name="20% - Accent2 2 3" xfId="793"/>
    <cellStyle name="20% - Accent2 2 3 2" xfId="794"/>
    <cellStyle name="20% - Accent2 2 3 2 2" xfId="795"/>
    <cellStyle name="20% - Accent2 2 3 2 2 2" xfId="796"/>
    <cellStyle name="20% - Accent2 2 3 2 2 3" xfId="797"/>
    <cellStyle name="20% - Accent2 2 3 2 3" xfId="798"/>
    <cellStyle name="20% - Accent2 2 3 2 3 2" xfId="799"/>
    <cellStyle name="20% - Accent2 2 3 2 4" xfId="800"/>
    <cellStyle name="20% - Accent2 2 3 2 5" xfId="801"/>
    <cellStyle name="20% - Accent2 2 3 3" xfId="802"/>
    <cellStyle name="20% - Accent2 2 3 3 2" xfId="803"/>
    <cellStyle name="20% - Accent2 2 3 3 2 2" xfId="804"/>
    <cellStyle name="20% - Accent2 2 3 3 3" xfId="805"/>
    <cellStyle name="20% - Accent2 2 3 3 4" xfId="806"/>
    <cellStyle name="20% - Accent2 2 3 4" xfId="807"/>
    <cellStyle name="20% - Accent2 2 3 5" xfId="808"/>
    <cellStyle name="20% - Accent2 2 3 5 2" xfId="809"/>
    <cellStyle name="20% - Accent2 2 3 6" xfId="810"/>
    <cellStyle name="20% - Accent2 2 3 7" xfId="811"/>
    <cellStyle name="20% - Accent2 2 3 8" xfId="812"/>
    <cellStyle name="20% - Accent2 2 4" xfId="813"/>
    <cellStyle name="20% - Accent2 2 4 2" xfId="814"/>
    <cellStyle name="20% - Accent2 2 4 2 2" xfId="815"/>
    <cellStyle name="20% - Accent2 2 4 2 2 2" xfId="816"/>
    <cellStyle name="20% - Accent2 2 4 2 3" xfId="817"/>
    <cellStyle name="20% - Accent2 2 4 2 4" xfId="818"/>
    <cellStyle name="20% - Accent2 2 4 3" xfId="819"/>
    <cellStyle name="20% - Accent2 2 4 3 2" xfId="820"/>
    <cellStyle name="20% - Accent2 2 4 4" xfId="821"/>
    <cellStyle name="20% - Accent2 2 4 4 2" xfId="822"/>
    <cellStyle name="20% - Accent2 2 4 5" xfId="823"/>
    <cellStyle name="20% - Accent2 2 4 6" xfId="824"/>
    <cellStyle name="20% - Accent2 2 5" xfId="825"/>
    <cellStyle name="20% - Accent2 2 5 2" xfId="826"/>
    <cellStyle name="20% - Accent2 2 5 2 2" xfId="827"/>
    <cellStyle name="20% - Accent2 2 5 3" xfId="828"/>
    <cellStyle name="20% - Accent2 2 5 4" xfId="829"/>
    <cellStyle name="20% - Accent2 2 6" xfId="830"/>
    <cellStyle name="20% - Accent2 2 6 10" xfId="831"/>
    <cellStyle name="20% - Accent2 2 6 2" xfId="832"/>
    <cellStyle name="20% - Accent2 2 6 2 2" xfId="833"/>
    <cellStyle name="20% - Accent2 2 6 2 2 2" xfId="834"/>
    <cellStyle name="20% - Accent2 2 6 2 2 2 2" xfId="835"/>
    <cellStyle name="20% - Accent2 2 6 2 2 3" xfId="836"/>
    <cellStyle name="20% - Accent2 2 6 2 2 3 2" xfId="837"/>
    <cellStyle name="20% - Accent2 2 6 2 2 4" xfId="838"/>
    <cellStyle name="20% - Accent2 2 6 2 2 5" xfId="839"/>
    <cellStyle name="20% - Accent2 2 6 2 3" xfId="840"/>
    <cellStyle name="20% - Accent2 2 6 2 3 2" xfId="841"/>
    <cellStyle name="20% - Accent2 2 6 2 3 2 2" xfId="842"/>
    <cellStyle name="20% - Accent2 2 6 2 3 3" xfId="843"/>
    <cellStyle name="20% - Accent2 2 6 2 4" xfId="844"/>
    <cellStyle name="20% - Accent2 2 6 2 4 2" xfId="845"/>
    <cellStyle name="20% - Accent2 2 6 2 5" xfId="846"/>
    <cellStyle name="20% - Accent2 2 6 2 5 2" xfId="847"/>
    <cellStyle name="20% - Accent2 2 6 2 6" xfId="848"/>
    <cellStyle name="20% - Accent2 2 6 3" xfId="849"/>
    <cellStyle name="20% - Accent2 2 6 3 2" xfId="850"/>
    <cellStyle name="20% - Accent2 2 6 3 2 2" xfId="851"/>
    <cellStyle name="20% - Accent2 2 6 3 2 2 2" xfId="852"/>
    <cellStyle name="20% - Accent2 2 6 3 2 3" xfId="853"/>
    <cellStyle name="20% - Accent2 2 6 3 2 3 2" xfId="854"/>
    <cellStyle name="20% - Accent2 2 6 3 2 4" xfId="855"/>
    <cellStyle name="20% - Accent2 2 6 3 2 5" xfId="856"/>
    <cellStyle name="20% - Accent2 2 6 3 3" xfId="857"/>
    <cellStyle name="20% - Accent2 2 6 3 3 2" xfId="858"/>
    <cellStyle name="20% - Accent2 2 6 3 3 2 2" xfId="859"/>
    <cellStyle name="20% - Accent2 2 6 3 3 3" xfId="860"/>
    <cellStyle name="20% - Accent2 2 6 3 4" xfId="861"/>
    <cellStyle name="20% - Accent2 2 6 3 4 2" xfId="862"/>
    <cellStyle name="20% - Accent2 2 6 3 5" xfId="863"/>
    <cellStyle name="20% - Accent2 2 6 3 5 2" xfId="864"/>
    <cellStyle name="20% - Accent2 2 6 3 6" xfId="865"/>
    <cellStyle name="20% - Accent2 2 6 4" xfId="866"/>
    <cellStyle name="20% - Accent2 2 6 4 2" xfId="867"/>
    <cellStyle name="20% - Accent2 2 6 4 2 2" xfId="868"/>
    <cellStyle name="20% - Accent2 2 6 4 2 2 2" xfId="869"/>
    <cellStyle name="20% - Accent2 2 6 4 2 3" xfId="870"/>
    <cellStyle name="20% - Accent2 2 6 4 3" xfId="871"/>
    <cellStyle name="20% - Accent2 2 6 4 3 2" xfId="872"/>
    <cellStyle name="20% - Accent2 2 6 4 4" xfId="873"/>
    <cellStyle name="20% - Accent2 2 6 4 4 2" xfId="874"/>
    <cellStyle name="20% - Accent2 2 6 4 5" xfId="875"/>
    <cellStyle name="20% - Accent2 2 6 5" xfId="876"/>
    <cellStyle name="20% - Accent2 2 6 5 2" xfId="877"/>
    <cellStyle name="20% - Accent2 2 6 5 2 2" xfId="878"/>
    <cellStyle name="20% - Accent2 2 6 5 3" xfId="879"/>
    <cellStyle name="20% - Accent2 2 6 5 3 2" xfId="880"/>
    <cellStyle name="20% - Accent2 2 6 5 4" xfId="881"/>
    <cellStyle name="20% - Accent2 2 6 6" xfId="882"/>
    <cellStyle name="20% - Accent2 2 6 6 2" xfId="883"/>
    <cellStyle name="20% - Accent2 2 6 6 2 2" xfId="884"/>
    <cellStyle name="20% - Accent2 2 6 6 3" xfId="885"/>
    <cellStyle name="20% - Accent2 2 6 7" xfId="886"/>
    <cellStyle name="20% - Accent2 2 6 7 2" xfId="887"/>
    <cellStyle name="20% - Accent2 2 6 7 3" xfId="888"/>
    <cellStyle name="20% - Accent2 2 6 8" xfId="889"/>
    <cellStyle name="20% - Accent2 2 6 8 2" xfId="890"/>
    <cellStyle name="20% - Accent2 2 6 9" xfId="891"/>
    <cellStyle name="20% - Accent2 2 7" xfId="892"/>
    <cellStyle name="20% - Accent2 2 7 2" xfId="893"/>
    <cellStyle name="20% - Accent2 2 7 2 2" xfId="894"/>
    <cellStyle name="20% - Accent2 2 7 3" xfId="895"/>
    <cellStyle name="20% - Accent2 2 7 4" xfId="896"/>
    <cellStyle name="20% - Accent2 2 8" xfId="897"/>
    <cellStyle name="20% - Accent2 2 8 2" xfId="898"/>
    <cellStyle name="20% - Accent2 2 9" xfId="899"/>
    <cellStyle name="20% - Accent2 2 9 2" xfId="900"/>
    <cellStyle name="20% - Accent2 20" xfId="901"/>
    <cellStyle name="20% - Accent2 3" xfId="902"/>
    <cellStyle name="20% - Accent2 3 10" xfId="903"/>
    <cellStyle name="20% - Accent2 3 2" xfId="904"/>
    <cellStyle name="20% - Accent2 3 2 2" xfId="905"/>
    <cellStyle name="20% - Accent2 3 2 2 2" xfId="906"/>
    <cellStyle name="20% - Accent2 3 2 2 2 2" xfId="907"/>
    <cellStyle name="20% - Accent2 3 2 2 3" xfId="908"/>
    <cellStyle name="20% - Accent2 3 2 2 4" xfId="909"/>
    <cellStyle name="20% - Accent2 3 2 2 5" xfId="910"/>
    <cellStyle name="20% - Accent2 3 2 3" xfId="911"/>
    <cellStyle name="20% - Accent2 3 2 3 2" xfId="912"/>
    <cellStyle name="20% - Accent2 3 2 3 2 2" xfId="913"/>
    <cellStyle name="20% - Accent2 3 2 3 3" xfId="914"/>
    <cellStyle name="20% - Accent2 3 2 3 4" xfId="915"/>
    <cellStyle name="20% - Accent2 3 2 4" xfId="916"/>
    <cellStyle name="20% - Accent2 3 2 4 2" xfId="917"/>
    <cellStyle name="20% - Accent2 3 2 5" xfId="918"/>
    <cellStyle name="20% - Accent2 3 2 5 2" xfId="919"/>
    <cellStyle name="20% - Accent2 3 2 6" xfId="920"/>
    <cellStyle name="20% - Accent2 3 2 7" xfId="921"/>
    <cellStyle name="20% - Accent2 3 2 8" xfId="922"/>
    <cellStyle name="20% - Accent2 3 3" xfId="923"/>
    <cellStyle name="20% - Accent2 3 3 2" xfId="924"/>
    <cellStyle name="20% - Accent2 3 3 2 2" xfId="925"/>
    <cellStyle name="20% - Accent2 3 3 2 2 2" xfId="926"/>
    <cellStyle name="20% - Accent2 3 3 2 3" xfId="927"/>
    <cellStyle name="20% - Accent2 3 3 2 4" xfId="928"/>
    <cellStyle name="20% - Accent2 3 3 3" xfId="929"/>
    <cellStyle name="20% - Accent2 3 3 3 2" xfId="930"/>
    <cellStyle name="20% - Accent2 3 3 4" xfId="931"/>
    <cellStyle name="20% - Accent2 3 3 4 2" xfId="932"/>
    <cellStyle name="20% - Accent2 3 3 5" xfId="933"/>
    <cellStyle name="20% - Accent2 3 3 6" xfId="934"/>
    <cellStyle name="20% - Accent2 3 3 7" xfId="935"/>
    <cellStyle name="20% - Accent2 3 4" xfId="936"/>
    <cellStyle name="20% - Accent2 3 4 2" xfId="937"/>
    <cellStyle name="20% - Accent2 3 4 2 2" xfId="938"/>
    <cellStyle name="20% - Accent2 3 4 3" xfId="939"/>
    <cellStyle name="20% - Accent2 3 4 4" xfId="940"/>
    <cellStyle name="20% - Accent2 3 5" xfId="941"/>
    <cellStyle name="20% - Accent2 3 5 2" xfId="942"/>
    <cellStyle name="20% - Accent2 3 6" xfId="943"/>
    <cellStyle name="20% - Accent2 3 7" xfId="944"/>
    <cellStyle name="20% - Accent2 3 7 2" xfId="945"/>
    <cellStyle name="20% - Accent2 3 8" xfId="946"/>
    <cellStyle name="20% - Accent2 3 9" xfId="947"/>
    <cellStyle name="20% - Accent2 3 9 2" xfId="948"/>
    <cellStyle name="20% - Accent2 4" xfId="949"/>
    <cellStyle name="20% - Accent2 4 2" xfId="950"/>
    <cellStyle name="20% - Accent2 4 2 2" xfId="951"/>
    <cellStyle name="20% - Accent2 4 2 2 2" xfId="952"/>
    <cellStyle name="20% - Accent2 4 2 2 2 2" xfId="953"/>
    <cellStyle name="20% - Accent2 4 2 2 3" xfId="954"/>
    <cellStyle name="20% - Accent2 4 2 2 4" xfId="955"/>
    <cellStyle name="20% - Accent2 4 2 3" xfId="956"/>
    <cellStyle name="20% - Accent2 4 2 3 2" xfId="957"/>
    <cellStyle name="20% - Accent2 4 2 4" xfId="958"/>
    <cellStyle name="20% - Accent2 4 2 4 2" xfId="959"/>
    <cellStyle name="20% - Accent2 4 2 5" xfId="960"/>
    <cellStyle name="20% - Accent2 4 2 6" xfId="961"/>
    <cellStyle name="20% - Accent2 4 3" xfId="962"/>
    <cellStyle name="20% - Accent2 4 3 2" xfId="963"/>
    <cellStyle name="20% - Accent2 4 3 3" xfId="964"/>
    <cellStyle name="20% - Accent2 4 3 3 2" xfId="965"/>
    <cellStyle name="20% - Accent2 4 3 4" xfId="966"/>
    <cellStyle name="20% - Accent2 4 4" xfId="967"/>
    <cellStyle name="20% - Accent2 4 4 2" xfId="968"/>
    <cellStyle name="20% - Accent2 4 4 2 2" xfId="969"/>
    <cellStyle name="20% - Accent2 4 4 3" xfId="970"/>
    <cellStyle name="20% - Accent2 4 4 4" xfId="971"/>
    <cellStyle name="20% - Accent2 4 5" xfId="972"/>
    <cellStyle name="20% - Accent2 4 5 2" xfId="973"/>
    <cellStyle name="20% - Accent2 4 6" xfId="974"/>
    <cellStyle name="20% - Accent2 4 6 2" xfId="975"/>
    <cellStyle name="20% - Accent2 4 7" xfId="976"/>
    <cellStyle name="20% - Accent2 4 7 2" xfId="977"/>
    <cellStyle name="20% - Accent2 4 8" xfId="978"/>
    <cellStyle name="20% - Accent2 4 9" xfId="979"/>
    <cellStyle name="20% - Accent2 5" xfId="980"/>
    <cellStyle name="20% - Accent2 5 10" xfId="981"/>
    <cellStyle name="20% - Accent2 5 11" xfId="982"/>
    <cellStyle name="20% - Accent2 5 2" xfId="983"/>
    <cellStyle name="20% - Accent2 5 2 2" xfId="984"/>
    <cellStyle name="20% - Accent2 5 2 2 2" xfId="985"/>
    <cellStyle name="20% - Accent2 5 2 2 2 2" xfId="986"/>
    <cellStyle name="20% - Accent2 5 2 2 2 2 2" xfId="987"/>
    <cellStyle name="20% - Accent2 5 2 2 2 3" xfId="988"/>
    <cellStyle name="20% - Accent2 5 2 2 2 3 2" xfId="989"/>
    <cellStyle name="20% - Accent2 5 2 2 2 4" xfId="990"/>
    <cellStyle name="20% - Accent2 5 2 2 2 4 2" xfId="991"/>
    <cellStyle name="20% - Accent2 5 2 2 2 5" xfId="992"/>
    <cellStyle name="20% - Accent2 5 2 2 3" xfId="993"/>
    <cellStyle name="20% - Accent2 5 2 2 3 2" xfId="994"/>
    <cellStyle name="20% - Accent2 5 2 2 3 2 2" xfId="995"/>
    <cellStyle name="20% - Accent2 5 2 2 3 3" xfId="996"/>
    <cellStyle name="20% - Accent2 5 2 2 3 3 2" xfId="997"/>
    <cellStyle name="20% - Accent2 5 2 2 3 4" xfId="998"/>
    <cellStyle name="20% - Accent2 5 2 2 4" xfId="999"/>
    <cellStyle name="20% - Accent2 5 2 2 4 2" xfId="1000"/>
    <cellStyle name="20% - Accent2 5 2 2 4 2 2" xfId="1001"/>
    <cellStyle name="20% - Accent2 5 2 2 4 3" xfId="1002"/>
    <cellStyle name="20% - Accent2 5 2 2 4 3 2" xfId="1003"/>
    <cellStyle name="20% - Accent2 5 2 2 4 4" xfId="1004"/>
    <cellStyle name="20% - Accent2 5 2 2 5" xfId="1005"/>
    <cellStyle name="20% - Accent2 5 2 2 5 2" xfId="1006"/>
    <cellStyle name="20% - Accent2 5 2 2 5 2 2" xfId="1007"/>
    <cellStyle name="20% - Accent2 5 2 2 5 3" xfId="1008"/>
    <cellStyle name="20% - Accent2 5 2 2 5 3 2" xfId="1009"/>
    <cellStyle name="20% - Accent2 5 2 2 5 4" xfId="1010"/>
    <cellStyle name="20% - Accent2 5 2 2 6" xfId="1011"/>
    <cellStyle name="20% - Accent2 5 2 2 7" xfId="1012"/>
    <cellStyle name="20% - Accent2 5 2 3" xfId="1013"/>
    <cellStyle name="20% - Accent2 5 2 4" xfId="1014"/>
    <cellStyle name="20% - Accent2 5 2 5" xfId="1015"/>
    <cellStyle name="20% - Accent2 5 2 5 2" xfId="1016"/>
    <cellStyle name="20% - Accent2 5 2 6" xfId="1017"/>
    <cellStyle name="20% - Accent2 5 3" xfId="1018"/>
    <cellStyle name="20% - Accent2 5 3 2" xfId="1019"/>
    <cellStyle name="20% - Accent2 5 3 2 2" xfId="1020"/>
    <cellStyle name="20% - Accent2 5 3 3" xfId="1021"/>
    <cellStyle name="20% - Accent2 5 3 4" xfId="1022"/>
    <cellStyle name="20% - Accent2 5 3 5" xfId="1023"/>
    <cellStyle name="20% - Accent2 5 3 5 2" xfId="1024"/>
    <cellStyle name="20% - Accent2 5 3 6" xfId="1025"/>
    <cellStyle name="20% - Accent2 5 4" xfId="1026"/>
    <cellStyle name="20% - Accent2 5 4 2" xfId="1027"/>
    <cellStyle name="20% - Accent2 5 5" xfId="1028"/>
    <cellStyle name="20% - Accent2 5 5 2" xfId="1029"/>
    <cellStyle name="20% - Accent2 5 5 2 2" xfId="1030"/>
    <cellStyle name="20% - Accent2 5 5 2 2 2" xfId="1031"/>
    <cellStyle name="20% - Accent2 5 5 2 3" xfId="1032"/>
    <cellStyle name="20% - Accent2 5 5 2 3 2" xfId="1033"/>
    <cellStyle name="20% - Accent2 5 5 2 4" xfId="1034"/>
    <cellStyle name="20% - Accent2 5 5 2 4 2" xfId="1035"/>
    <cellStyle name="20% - Accent2 5 5 2 5" xfId="1036"/>
    <cellStyle name="20% - Accent2 5 5 3" xfId="1037"/>
    <cellStyle name="20% - Accent2 5 5 3 2" xfId="1038"/>
    <cellStyle name="20% - Accent2 5 5 3 2 2" xfId="1039"/>
    <cellStyle name="20% - Accent2 5 5 3 3" xfId="1040"/>
    <cellStyle name="20% - Accent2 5 5 3 3 2" xfId="1041"/>
    <cellStyle name="20% - Accent2 5 5 3 4" xfId="1042"/>
    <cellStyle name="20% - Accent2 5 5 4" xfId="1043"/>
    <cellStyle name="20% - Accent2 5 5 4 2" xfId="1044"/>
    <cellStyle name="20% - Accent2 5 5 4 2 2" xfId="1045"/>
    <cellStyle name="20% - Accent2 5 5 4 3" xfId="1046"/>
    <cellStyle name="20% - Accent2 5 5 4 3 2" xfId="1047"/>
    <cellStyle name="20% - Accent2 5 5 4 4" xfId="1048"/>
    <cellStyle name="20% - Accent2 5 5 5" xfId="1049"/>
    <cellStyle name="20% - Accent2 5 5 5 2" xfId="1050"/>
    <cellStyle name="20% - Accent2 5 5 5 2 2" xfId="1051"/>
    <cellStyle name="20% - Accent2 5 5 5 3" xfId="1052"/>
    <cellStyle name="20% - Accent2 5 5 5 3 2" xfId="1053"/>
    <cellStyle name="20% - Accent2 5 5 5 4" xfId="1054"/>
    <cellStyle name="20% - Accent2 5 5 6" xfId="1055"/>
    <cellStyle name="20% - Accent2 5 6" xfId="1056"/>
    <cellStyle name="20% - Accent2 5 6 2" xfId="1057"/>
    <cellStyle name="20% - Accent2 5 6 2 2" xfId="1058"/>
    <cellStyle name="20% - Accent2 5 6 2 2 2" xfId="1059"/>
    <cellStyle name="20% - Accent2 5 6 2 2 2 2" xfId="1060"/>
    <cellStyle name="20% - Accent2 5 6 2 2 3" xfId="1061"/>
    <cellStyle name="20% - Accent2 5 6 2 2 3 2" xfId="1062"/>
    <cellStyle name="20% - Accent2 5 6 2 2 4" xfId="1063"/>
    <cellStyle name="20% - Accent2 5 6 2 2 5" xfId="1064"/>
    <cellStyle name="20% - Accent2 5 6 2 3" xfId="1065"/>
    <cellStyle name="20% - Accent2 5 6 2 3 2" xfId="1066"/>
    <cellStyle name="20% - Accent2 5 6 2 3 2 2" xfId="1067"/>
    <cellStyle name="20% - Accent2 5 6 2 3 3" xfId="1068"/>
    <cellStyle name="20% - Accent2 5 6 2 4" xfId="1069"/>
    <cellStyle name="20% - Accent2 5 6 2 4 2" xfId="1070"/>
    <cellStyle name="20% - Accent2 5 6 2 5" xfId="1071"/>
    <cellStyle name="20% - Accent2 5 6 2 5 2" xfId="1072"/>
    <cellStyle name="20% - Accent2 5 6 2 6" xfId="1073"/>
    <cellStyle name="20% - Accent2 5 6 3" xfId="1074"/>
    <cellStyle name="20% - Accent2 5 6 3 2" xfId="1075"/>
    <cellStyle name="20% - Accent2 5 6 3 2 2" xfId="1076"/>
    <cellStyle name="20% - Accent2 5 6 3 2 2 2" xfId="1077"/>
    <cellStyle name="20% - Accent2 5 6 3 2 3" xfId="1078"/>
    <cellStyle name="20% - Accent2 5 6 3 2 3 2" xfId="1079"/>
    <cellStyle name="20% - Accent2 5 6 3 2 4" xfId="1080"/>
    <cellStyle name="20% - Accent2 5 6 3 2 5" xfId="1081"/>
    <cellStyle name="20% - Accent2 5 6 3 3" xfId="1082"/>
    <cellStyle name="20% - Accent2 5 6 3 3 2" xfId="1083"/>
    <cellStyle name="20% - Accent2 5 6 3 3 2 2" xfId="1084"/>
    <cellStyle name="20% - Accent2 5 6 3 3 3" xfId="1085"/>
    <cellStyle name="20% - Accent2 5 6 3 4" xfId="1086"/>
    <cellStyle name="20% - Accent2 5 6 3 4 2" xfId="1087"/>
    <cellStyle name="20% - Accent2 5 6 3 5" xfId="1088"/>
    <cellStyle name="20% - Accent2 5 6 3 5 2" xfId="1089"/>
    <cellStyle name="20% - Accent2 5 6 3 6" xfId="1090"/>
    <cellStyle name="20% - Accent2 5 6 4" xfId="1091"/>
    <cellStyle name="20% - Accent2 5 6 4 2" xfId="1092"/>
    <cellStyle name="20% - Accent2 5 6 4 2 2" xfId="1093"/>
    <cellStyle name="20% - Accent2 5 6 4 3" xfId="1094"/>
    <cellStyle name="20% - Accent2 5 6 4 3 2" xfId="1095"/>
    <cellStyle name="20% - Accent2 5 6 4 4" xfId="1096"/>
    <cellStyle name="20% - Accent2 5 6 5" xfId="1097"/>
    <cellStyle name="20% - Accent2 5 6 5 2" xfId="1098"/>
    <cellStyle name="20% - Accent2 5 6 5 3" xfId="1099"/>
    <cellStyle name="20% - Accent2 5 6 6" xfId="1100"/>
    <cellStyle name="20% - Accent2 5 6 6 2" xfId="1101"/>
    <cellStyle name="20% - Accent2 5 6 6 3" xfId="1102"/>
    <cellStyle name="20% - Accent2 5 6 7" xfId="1103"/>
    <cellStyle name="20% - Accent2 5 6 7 2" xfId="1104"/>
    <cellStyle name="20% - Accent2 5 6 7 3" xfId="1105"/>
    <cellStyle name="20% - Accent2 5 6 8" xfId="1106"/>
    <cellStyle name="20% - Accent2 5 7" xfId="1107"/>
    <cellStyle name="20% - Accent2 5 7 2" xfId="1108"/>
    <cellStyle name="20% - Accent2 5 7 2 2" xfId="1109"/>
    <cellStyle name="20% - Accent2 5 7 2 2 2" xfId="1110"/>
    <cellStyle name="20% - Accent2 5 7 2 3" xfId="1111"/>
    <cellStyle name="20% - Accent2 5 7 2 3 2" xfId="1112"/>
    <cellStyle name="20% - Accent2 5 7 2 4" xfId="1113"/>
    <cellStyle name="20% - Accent2 5 7 2 4 2" xfId="1114"/>
    <cellStyle name="20% - Accent2 5 7 2 5" xfId="1115"/>
    <cellStyle name="20% - Accent2 5 7 3" xfId="1116"/>
    <cellStyle name="20% - Accent2 5 7 3 2" xfId="1117"/>
    <cellStyle name="20% - Accent2 5 7 3 2 2" xfId="1118"/>
    <cellStyle name="20% - Accent2 5 7 3 3" xfId="1119"/>
    <cellStyle name="20% - Accent2 5 7 3 3 2" xfId="1120"/>
    <cellStyle name="20% - Accent2 5 7 3 4" xfId="1121"/>
    <cellStyle name="20% - Accent2 5 7 4" xfId="1122"/>
    <cellStyle name="20% - Accent2 5 7 4 2" xfId="1123"/>
    <cellStyle name="20% - Accent2 5 7 5" xfId="1124"/>
    <cellStyle name="20% - Accent2 5 7 5 2" xfId="1125"/>
    <cellStyle name="20% - Accent2 5 7 6" xfId="1126"/>
    <cellStyle name="20% - Accent2 5 7 7" xfId="1127"/>
    <cellStyle name="20% - Accent2 5 8" xfId="1128"/>
    <cellStyle name="20% - Accent2 5 8 2" xfId="1129"/>
    <cellStyle name="20% - Accent2 5 8 2 2" xfId="1130"/>
    <cellStyle name="20% - Accent2 5 8 2 2 2" xfId="1131"/>
    <cellStyle name="20% - Accent2 5 8 2 3" xfId="1132"/>
    <cellStyle name="20% - Accent2 5 8 2 3 2" xfId="1133"/>
    <cellStyle name="20% - Accent2 5 8 2 4" xfId="1134"/>
    <cellStyle name="20% - Accent2 5 8 3" xfId="1135"/>
    <cellStyle name="20% - Accent2 5 8 3 2" xfId="1136"/>
    <cellStyle name="20% - Accent2 5 8 4" xfId="1137"/>
    <cellStyle name="20% - Accent2 5 9" xfId="1138"/>
    <cellStyle name="20% - Accent2 5 9 2" xfId="1139"/>
    <cellStyle name="20% - Accent2 6" xfId="1140"/>
    <cellStyle name="20% - Accent2 6 10" xfId="1141"/>
    <cellStyle name="20% - Accent2 6 2" xfId="1142"/>
    <cellStyle name="20% - Accent2 6 2 2" xfId="1143"/>
    <cellStyle name="20% - Accent2 6 2 2 2" xfId="1144"/>
    <cellStyle name="20% - Accent2 6 2 3" xfId="1145"/>
    <cellStyle name="20% - Accent2 6 2 4" xfId="1146"/>
    <cellStyle name="20% - Accent2 6 2 5" xfId="1147"/>
    <cellStyle name="20% - Accent2 6 2 5 2" xfId="1148"/>
    <cellStyle name="20% - Accent2 6 2 5 2 2" xfId="1149"/>
    <cellStyle name="20% - Accent2 6 2 5 3" xfId="1150"/>
    <cellStyle name="20% - Accent2 6 2 5 3 2" xfId="1151"/>
    <cellStyle name="20% - Accent2 6 2 5 4" xfId="1152"/>
    <cellStyle name="20% - Accent2 6 2 5 5" xfId="1153"/>
    <cellStyle name="20% - Accent2 6 2 6" xfId="1154"/>
    <cellStyle name="20% - Accent2 6 2 6 2" xfId="1155"/>
    <cellStyle name="20% - Accent2 6 2 7" xfId="1156"/>
    <cellStyle name="20% - Accent2 6 2 7 2" xfId="1157"/>
    <cellStyle name="20% - Accent2 6 2 8" xfId="1158"/>
    <cellStyle name="20% - Accent2 6 2 8 2" xfId="1159"/>
    <cellStyle name="20% - Accent2 6 2 9" xfId="1160"/>
    <cellStyle name="20% - Accent2 6 3" xfId="1161"/>
    <cellStyle name="20% - Accent2 6 3 2" xfId="1162"/>
    <cellStyle name="20% - Accent2 6 3 3" xfId="1163"/>
    <cellStyle name="20% - Accent2 6 3 4" xfId="1164"/>
    <cellStyle name="20% - Accent2 6 3 4 2" xfId="1165"/>
    <cellStyle name="20% - Accent2 6 3 5" xfId="1166"/>
    <cellStyle name="20% - Accent2 6 3 5 2" xfId="1167"/>
    <cellStyle name="20% - Accent2 6 4" xfId="1168"/>
    <cellStyle name="20% - Accent2 6 4 2" xfId="1169"/>
    <cellStyle name="20% - Accent2 6 4 2 2" xfId="1170"/>
    <cellStyle name="20% - Accent2 6 4 2 2 2" xfId="1171"/>
    <cellStyle name="20% - Accent2 6 4 2 2 2 2" xfId="1172"/>
    <cellStyle name="20% - Accent2 6 4 2 2 3" xfId="1173"/>
    <cellStyle name="20% - Accent2 6 4 2 2 3 2" xfId="1174"/>
    <cellStyle name="20% - Accent2 6 4 2 2 4" xfId="1175"/>
    <cellStyle name="20% - Accent2 6 4 2 2 5" xfId="1176"/>
    <cellStyle name="20% - Accent2 6 4 2 3" xfId="1177"/>
    <cellStyle name="20% - Accent2 6 4 2 3 2" xfId="1178"/>
    <cellStyle name="20% - Accent2 6 4 2 3 2 2" xfId="1179"/>
    <cellStyle name="20% - Accent2 6 4 2 3 3" xfId="1180"/>
    <cellStyle name="20% - Accent2 6 4 2 4" xfId="1181"/>
    <cellStyle name="20% - Accent2 6 4 2 4 2" xfId="1182"/>
    <cellStyle name="20% - Accent2 6 4 2 5" xfId="1183"/>
    <cellStyle name="20% - Accent2 6 4 2 5 2" xfId="1184"/>
    <cellStyle name="20% - Accent2 6 4 2 6" xfId="1185"/>
    <cellStyle name="20% - Accent2 6 4 3" xfId="1186"/>
    <cellStyle name="20% - Accent2 6 4 3 2" xfId="1187"/>
    <cellStyle name="20% - Accent2 6 4 3 2 2" xfId="1188"/>
    <cellStyle name="20% - Accent2 6 4 3 3" xfId="1189"/>
    <cellStyle name="20% - Accent2 6 4 3 3 2" xfId="1190"/>
    <cellStyle name="20% - Accent2 6 4 3 4" xfId="1191"/>
    <cellStyle name="20% - Accent2 6 4 4" xfId="1192"/>
    <cellStyle name="20% - Accent2 6 4 4 2" xfId="1193"/>
    <cellStyle name="20% - Accent2 6 4 4 3" xfId="1194"/>
    <cellStyle name="20% - Accent2 6 4 5" xfId="1195"/>
    <cellStyle name="20% - Accent2 6 4 5 2" xfId="1196"/>
    <cellStyle name="20% - Accent2 6 4 5 3" xfId="1197"/>
    <cellStyle name="20% - Accent2 6 4 6" xfId="1198"/>
    <cellStyle name="20% - Accent2 6 4 6 2" xfId="1199"/>
    <cellStyle name="20% - Accent2 6 4 6 3" xfId="1200"/>
    <cellStyle name="20% - Accent2 6 4 7" xfId="1201"/>
    <cellStyle name="20% - Accent2 6 4 8" xfId="1202"/>
    <cellStyle name="20% - Accent2 6 5" xfId="1203"/>
    <cellStyle name="20% - Accent2 6 5 2" xfId="1204"/>
    <cellStyle name="20% - Accent2 6 5 2 2" xfId="1205"/>
    <cellStyle name="20% - Accent2 6 5 2 2 2" xfId="1206"/>
    <cellStyle name="20% - Accent2 6 5 2 3" xfId="1207"/>
    <cellStyle name="20% - Accent2 6 5 2 3 2" xfId="1208"/>
    <cellStyle name="20% - Accent2 6 5 2 4" xfId="1209"/>
    <cellStyle name="20% - Accent2 6 5 3" xfId="1210"/>
    <cellStyle name="20% - Accent2 6 5 3 2" xfId="1211"/>
    <cellStyle name="20% - Accent2 6 5 3 3" xfId="1212"/>
    <cellStyle name="20% - Accent2 6 5 4" xfId="1213"/>
    <cellStyle name="20% - Accent2 6 5 4 2" xfId="1214"/>
    <cellStyle name="20% - Accent2 6 5 4 3" xfId="1215"/>
    <cellStyle name="20% - Accent2 6 5 5" xfId="1216"/>
    <cellStyle name="20% - Accent2 6 5 5 2" xfId="1217"/>
    <cellStyle name="20% - Accent2 6 5 5 3" xfId="1218"/>
    <cellStyle name="20% - Accent2 6 5 6" xfId="1219"/>
    <cellStyle name="20% - Accent2 6 6" xfId="1220"/>
    <cellStyle name="20% - Accent2 6 7" xfId="1221"/>
    <cellStyle name="20% - Accent2 6 7 2" xfId="1222"/>
    <cellStyle name="20% - Accent2 6 7 2 2" xfId="1223"/>
    <cellStyle name="20% - Accent2 6 7 3" xfId="1224"/>
    <cellStyle name="20% - Accent2 6 7 3 2" xfId="1225"/>
    <cellStyle name="20% - Accent2 6 7 4" xfId="1226"/>
    <cellStyle name="20% - Accent2 6 7 5" xfId="1227"/>
    <cellStyle name="20% - Accent2 6 8" xfId="1228"/>
    <cellStyle name="20% - Accent2 6 8 2" xfId="1229"/>
    <cellStyle name="20% - Accent2 6 8 2 2" xfId="1230"/>
    <cellStyle name="20% - Accent2 6 8 3" xfId="1231"/>
    <cellStyle name="20% - Accent2 6 9" xfId="1232"/>
    <cellStyle name="20% - Accent2 6 9 2" xfId="1233"/>
    <cellStyle name="20% - Accent2 7" xfId="1234"/>
    <cellStyle name="20% - Accent2 7 2" xfId="1235"/>
    <cellStyle name="20% - Accent2 7 2 2" xfId="1236"/>
    <cellStyle name="20% - Accent2 7 2 2 2" xfId="1237"/>
    <cellStyle name="20% - Accent2 7 2 2 2 2" xfId="1238"/>
    <cellStyle name="20% - Accent2 7 2 2 3" xfId="1239"/>
    <cellStyle name="20% - Accent2 7 2 2 3 2" xfId="1240"/>
    <cellStyle name="20% - Accent2 7 2 2 4" xfId="1241"/>
    <cellStyle name="20% - Accent2 7 2 3" xfId="1242"/>
    <cellStyle name="20% - Accent2 7 2 3 2" xfId="1243"/>
    <cellStyle name="20% - Accent2 7 2 3 2 2" xfId="1244"/>
    <cellStyle name="20% - Accent2 7 2 3 3" xfId="1245"/>
    <cellStyle name="20% - Accent2 7 2 4" xfId="1246"/>
    <cellStyle name="20% - Accent2 7 2 4 2" xfId="1247"/>
    <cellStyle name="20% - Accent2 7 2 4 2 2" xfId="1248"/>
    <cellStyle name="20% - Accent2 7 2 4 3" xfId="1249"/>
    <cellStyle name="20% - Accent2 7 2 4 3 2" xfId="1250"/>
    <cellStyle name="20% - Accent2 7 2 4 4" xfId="1251"/>
    <cellStyle name="20% - Accent2 7 2 5" xfId="1252"/>
    <cellStyle name="20% - Accent2 7 2 5 2" xfId="1253"/>
    <cellStyle name="20% - Accent2 7 2 5 2 2" xfId="1254"/>
    <cellStyle name="20% - Accent2 7 2 6" xfId="1255"/>
    <cellStyle name="20% - Accent2 7 3" xfId="1256"/>
    <cellStyle name="20% - Accent2 7 3 2" xfId="1257"/>
    <cellStyle name="20% - Accent2 7 3 2 2" xfId="1258"/>
    <cellStyle name="20% - Accent2 7 3 2 2 2" xfId="1259"/>
    <cellStyle name="20% - Accent2 7 3 2 3" xfId="1260"/>
    <cellStyle name="20% - Accent2 7 3 2 3 2" xfId="1261"/>
    <cellStyle name="20% - Accent2 7 3 2 4" xfId="1262"/>
    <cellStyle name="20% - Accent2 7 3 3" xfId="1263"/>
    <cellStyle name="20% - Accent2 7 3 3 2" xfId="1264"/>
    <cellStyle name="20% - Accent2 7 3 3 2 2" xfId="1265"/>
    <cellStyle name="20% - Accent2 7 3 3 3" xfId="1266"/>
    <cellStyle name="20% - Accent2 7 3 3 3 2" xfId="1267"/>
    <cellStyle name="20% - Accent2 7 3 3 4" xfId="1268"/>
    <cellStyle name="20% - Accent2 7 3 4" xfId="1269"/>
    <cellStyle name="20% - Accent2 7 4" xfId="1270"/>
    <cellStyle name="20% - Accent2 7 4 2" xfId="1271"/>
    <cellStyle name="20% - Accent2 7 4 2 2" xfId="1272"/>
    <cellStyle name="20% - Accent2 7 4 3" xfId="1273"/>
    <cellStyle name="20% - Accent2 7 4 3 2" xfId="1274"/>
    <cellStyle name="20% - Accent2 7 4 4" xfId="1275"/>
    <cellStyle name="20% - Accent2 7 4 4 2" xfId="1276"/>
    <cellStyle name="20% - Accent2 7 4 5" xfId="1277"/>
    <cellStyle name="20% - Accent2 7 5" xfId="1278"/>
    <cellStyle name="20% - Accent2 7 5 2" xfId="1279"/>
    <cellStyle name="20% - Accent2 7 5 2 2" xfId="1280"/>
    <cellStyle name="20% - Accent2 7 5 2 2 2" xfId="1281"/>
    <cellStyle name="20% - Accent2 7 5 3" xfId="1282"/>
    <cellStyle name="20% - Accent2 7 5 3 2" xfId="1283"/>
    <cellStyle name="20% - Accent2 7 5 4" xfId="1284"/>
    <cellStyle name="20% - Accent2 7 6" xfId="1285"/>
    <cellStyle name="20% - Accent2 7 6 2" xfId="1286"/>
    <cellStyle name="20% - Accent2 7 7" xfId="1287"/>
    <cellStyle name="20% - Accent2 7 7 2" xfId="1288"/>
    <cellStyle name="20% - Accent2 7 8" xfId="1289"/>
    <cellStyle name="20% - Accent2 7 8 2" xfId="1290"/>
    <cellStyle name="20% - Accent2 7 9" xfId="1291"/>
    <cellStyle name="20% - Accent2 8" xfId="1292"/>
    <cellStyle name="20% - Accent2 8 2" xfId="1293"/>
    <cellStyle name="20% - Accent2 8 2 2" xfId="1294"/>
    <cellStyle name="20% - Accent2 8 2 2 2" xfId="1295"/>
    <cellStyle name="20% - Accent2 8 2 2 2 2" xfId="1296"/>
    <cellStyle name="20% - Accent2 8 2 2 3" xfId="1297"/>
    <cellStyle name="20% - Accent2 8 2 2 3 2" xfId="1298"/>
    <cellStyle name="20% - Accent2 8 2 2 4" xfId="1299"/>
    <cellStyle name="20% - Accent2 8 2 3" xfId="1300"/>
    <cellStyle name="20% - Accent2 8 2 3 2" xfId="1301"/>
    <cellStyle name="20% - Accent2 8 2 3 2 2" xfId="1302"/>
    <cellStyle name="20% - Accent2 8 2 3 3" xfId="1303"/>
    <cellStyle name="20% - Accent2 8 2 4" xfId="1304"/>
    <cellStyle name="20% - Accent2 8 2 4 2" xfId="1305"/>
    <cellStyle name="20% - Accent2 8 2 4 2 2" xfId="1306"/>
    <cellStyle name="20% - Accent2 8 2 4 3" xfId="1307"/>
    <cellStyle name="20% - Accent2 8 2 4 3 2" xfId="1308"/>
    <cellStyle name="20% - Accent2 8 2 4 4" xfId="1309"/>
    <cellStyle name="20% - Accent2 8 2 5" xfId="1310"/>
    <cellStyle name="20% - Accent2 8 2 5 2" xfId="1311"/>
    <cellStyle name="20% - Accent2 8 2 6" xfId="1312"/>
    <cellStyle name="20% - Accent2 8 3" xfId="1313"/>
    <cellStyle name="20% - Accent2 8 3 2" xfId="1314"/>
    <cellStyle name="20% - Accent2 8 3 2 2" xfId="1315"/>
    <cellStyle name="20% - Accent2 8 3 2 2 2" xfId="1316"/>
    <cellStyle name="20% - Accent2 8 3 2 3" xfId="1317"/>
    <cellStyle name="20% - Accent2 8 3 2 3 2" xfId="1318"/>
    <cellStyle name="20% - Accent2 8 3 2 4" xfId="1319"/>
    <cellStyle name="20% - Accent2 8 3 3" xfId="1320"/>
    <cellStyle name="20% - Accent2 8 3 3 2" xfId="1321"/>
    <cellStyle name="20% - Accent2 8 3 3 2 2" xfId="1322"/>
    <cellStyle name="20% - Accent2 8 3 3 3" xfId="1323"/>
    <cellStyle name="20% - Accent2 8 3 3 3 2" xfId="1324"/>
    <cellStyle name="20% - Accent2 8 3 3 4" xfId="1325"/>
    <cellStyle name="20% - Accent2 8 3 4" xfId="1326"/>
    <cellStyle name="20% - Accent2 8 3 4 2" xfId="1327"/>
    <cellStyle name="20% - Accent2 8 3 5" xfId="1328"/>
    <cellStyle name="20% - Accent2 8 3 5 2" xfId="1329"/>
    <cellStyle name="20% - Accent2 8 3 6" xfId="1330"/>
    <cellStyle name="20% - Accent2 8 4" xfId="1331"/>
    <cellStyle name="20% - Accent2 8 4 2" xfId="1332"/>
    <cellStyle name="20% - Accent2 8 4 2 2" xfId="1333"/>
    <cellStyle name="20% - Accent2 8 4 3" xfId="1334"/>
    <cellStyle name="20% - Accent2 8 5" xfId="1335"/>
    <cellStyle name="20% - Accent2 8 5 2" xfId="1336"/>
    <cellStyle name="20% - Accent2 8 6" xfId="1337"/>
    <cellStyle name="20% - Accent2 8 6 2" xfId="1338"/>
    <cellStyle name="20% - Accent2 8 7" xfId="1339"/>
    <cellStyle name="20% - Accent2 9" xfId="1340"/>
    <cellStyle name="20% - Accent2 9 2" xfId="1341"/>
    <cellStyle name="20% - Accent2 9 2 2" xfId="1342"/>
    <cellStyle name="20% - Accent2 9 2 2 2" xfId="1343"/>
    <cellStyle name="20% - Accent2 9 2 3" xfId="1344"/>
    <cellStyle name="20% - Accent2 9 2 3 2" xfId="1345"/>
    <cellStyle name="20% - Accent2 9 2 4" xfId="1346"/>
    <cellStyle name="20% - Accent2 9 2 4 2" xfId="1347"/>
    <cellStyle name="20% - Accent2 9 2 5" xfId="1348"/>
    <cellStyle name="20% - Accent2 9 3" xfId="1349"/>
    <cellStyle name="20% - Accent2 9 3 2" xfId="1350"/>
    <cellStyle name="20% - Accent2 9 3 2 2" xfId="1351"/>
    <cellStyle name="20% - Accent2 9 3 3" xfId="1352"/>
    <cellStyle name="20% - Accent2 9 3 3 2" xfId="1353"/>
    <cellStyle name="20% - Accent2 9 3 4" xfId="1354"/>
    <cellStyle name="20% - Accent2 9 4" xfId="1355"/>
    <cellStyle name="20% - Accent2 9 4 2" xfId="1356"/>
    <cellStyle name="20% - Accent2 9 4 2 2" xfId="1357"/>
    <cellStyle name="20% - Accent2 9 4 3" xfId="1358"/>
    <cellStyle name="20% - Accent2 9 5" xfId="1359"/>
    <cellStyle name="20% - Accent2 9 5 2" xfId="1360"/>
    <cellStyle name="20% - Accent2 9 6" xfId="1361"/>
    <cellStyle name="20% - Accent2 9 7" xfId="1362"/>
    <cellStyle name="20% - Accent3 10" xfId="1363"/>
    <cellStyle name="20% - Accent3 10 2" xfId="1364"/>
    <cellStyle name="20% - Accent3 10 2 2" xfId="1365"/>
    <cellStyle name="20% - Accent3 10 2 2 2" xfId="1366"/>
    <cellStyle name="20% - Accent3 10 2 3" xfId="1367"/>
    <cellStyle name="20% - Accent3 10 2 3 2" xfId="1368"/>
    <cellStyle name="20% - Accent3 10 2 4" xfId="1369"/>
    <cellStyle name="20% - Accent3 10 2 4 2" xfId="1370"/>
    <cellStyle name="20% - Accent3 10 2 5" xfId="1371"/>
    <cellStyle name="20% - Accent3 10 3" xfId="1372"/>
    <cellStyle name="20% - Accent3 10 3 2" xfId="1373"/>
    <cellStyle name="20% - Accent3 10 3 2 2" xfId="1374"/>
    <cellStyle name="20% - Accent3 10 3 3" xfId="1375"/>
    <cellStyle name="20% - Accent3 10 4" xfId="1376"/>
    <cellStyle name="20% - Accent3 10 4 2" xfId="1377"/>
    <cellStyle name="20% - Accent3 10 5" xfId="1378"/>
    <cellStyle name="20% - Accent3 10 5 2" xfId="1379"/>
    <cellStyle name="20% - Accent3 10 6" xfId="1380"/>
    <cellStyle name="20% - Accent3 10 7" xfId="1381"/>
    <cellStyle name="20% - Accent3 11" xfId="1382"/>
    <cellStyle name="20% - Accent3 11 2" xfId="1383"/>
    <cellStyle name="20% - Accent3 11 2 2" xfId="1384"/>
    <cellStyle name="20% - Accent3 11 3" xfId="1385"/>
    <cellStyle name="20% - Accent3 12" xfId="1386"/>
    <cellStyle name="20% - Accent3 12 2" xfId="1387"/>
    <cellStyle name="20% - Accent3 13" xfId="1388"/>
    <cellStyle name="20% - Accent3 13 2" xfId="1389"/>
    <cellStyle name="20% - Accent3 14" xfId="1390"/>
    <cellStyle name="20% - Accent3 14 2" xfId="1391"/>
    <cellStyle name="20% - Accent3 14 3" xfId="1392"/>
    <cellStyle name="20% - Accent3 15" xfId="1393"/>
    <cellStyle name="20% - Accent3 15 2" xfId="1394"/>
    <cellStyle name="20% - Accent3 16" xfId="1395"/>
    <cellStyle name="20% - Accent3 16 2" xfId="1396"/>
    <cellStyle name="20% - Accent3 17" xfId="1397"/>
    <cellStyle name="20% - Accent3 17 2" xfId="1398"/>
    <cellStyle name="20% - Accent3 18" xfId="1399"/>
    <cellStyle name="20% - Accent3 19" xfId="1400"/>
    <cellStyle name="20% - Accent3 2" xfId="1401"/>
    <cellStyle name="20% - Accent3 2 10" xfId="1402"/>
    <cellStyle name="20% - Accent3 2 10 2" xfId="1403"/>
    <cellStyle name="20% - Accent3 2 11" xfId="1404"/>
    <cellStyle name="20% - Accent3 2 12" xfId="1405"/>
    <cellStyle name="20% - Accent3 2 12 2" xfId="1406"/>
    <cellStyle name="20% - Accent3 2 12 2 2" xfId="1407"/>
    <cellStyle name="20% - Accent3 2 12 3" xfId="1408"/>
    <cellStyle name="20% - Accent3 2 12 4" xfId="1409"/>
    <cellStyle name="20% - Accent3 2 12 4 2" xfId="1410"/>
    <cellStyle name="20% - Accent3 2 12 5" xfId="1411"/>
    <cellStyle name="20% - Accent3 2 13" xfId="1412"/>
    <cellStyle name="20% - Accent3 2 13 2" xfId="1413"/>
    <cellStyle name="20% - Accent3 2 13 2 2" xfId="1414"/>
    <cellStyle name="20% - Accent3 2 13 3" xfId="1415"/>
    <cellStyle name="20% - Accent3 2 14" xfId="1416"/>
    <cellStyle name="20% - Accent3 2 15" xfId="1417"/>
    <cellStyle name="20% - Accent3 2 2" xfId="1418"/>
    <cellStyle name="20% - Accent3 2 2 10" xfId="1419"/>
    <cellStyle name="20% - Accent3 2 2 10 2" xfId="1420"/>
    <cellStyle name="20% - Accent3 2 2 11" xfId="1421"/>
    <cellStyle name="20% - Accent3 2 2 2" xfId="1422"/>
    <cellStyle name="20% - Accent3 2 2 2 2" xfId="1423"/>
    <cellStyle name="20% - Accent3 2 2 2 2 2" xfId="1424"/>
    <cellStyle name="20% - Accent3 2 2 2 2 3" xfId="1425"/>
    <cellStyle name="20% - Accent3 2 2 2 3" xfId="1426"/>
    <cellStyle name="20% - Accent3 2 2 2 3 2" xfId="1427"/>
    <cellStyle name="20% - Accent3 2 2 2 4" xfId="1428"/>
    <cellStyle name="20% - Accent3 2 2 2 5" xfId="1429"/>
    <cellStyle name="20% - Accent3 2 2 3" xfId="1430"/>
    <cellStyle name="20% - Accent3 2 2 3 2" xfId="1431"/>
    <cellStyle name="20% - Accent3 2 2 3 2 2" xfId="1432"/>
    <cellStyle name="20% - Accent3 2 2 3 2 3" xfId="1433"/>
    <cellStyle name="20% - Accent3 2 2 3 3" xfId="1434"/>
    <cellStyle name="20% - Accent3 2 2 3 3 2" xfId="1435"/>
    <cellStyle name="20% - Accent3 2 2 3 4" xfId="1436"/>
    <cellStyle name="20% - Accent3 2 2 3 5" xfId="1437"/>
    <cellStyle name="20% - Accent3 2 2 4" xfId="1438"/>
    <cellStyle name="20% - Accent3 2 2 4 2" xfId="1439"/>
    <cellStyle name="20% - Accent3 2 2 4 2 2" xfId="1440"/>
    <cellStyle name="20% - Accent3 2 2 4 3" xfId="1441"/>
    <cellStyle name="20% - Accent3 2 2 4 4" xfId="1442"/>
    <cellStyle name="20% - Accent3 2 2 5" xfId="1443"/>
    <cellStyle name="20% - Accent3 2 2 5 2" xfId="1444"/>
    <cellStyle name="20% - Accent3 2 2 6" xfId="1445"/>
    <cellStyle name="20% - Accent3 2 2 6 2" xfId="1446"/>
    <cellStyle name="20% - Accent3 2 2 7" xfId="1447"/>
    <cellStyle name="20% - Accent3 2 2 8" xfId="1448"/>
    <cellStyle name="20% - Accent3 2 2 9" xfId="1449"/>
    <cellStyle name="20% - Accent3 2 2 9 2" xfId="1450"/>
    <cellStyle name="20% - Accent3 2 3" xfId="1451"/>
    <cellStyle name="20% - Accent3 2 3 2" xfId="1452"/>
    <cellStyle name="20% - Accent3 2 3 2 2" xfId="1453"/>
    <cellStyle name="20% - Accent3 2 3 2 2 2" xfId="1454"/>
    <cellStyle name="20% - Accent3 2 3 2 2 3" xfId="1455"/>
    <cellStyle name="20% - Accent3 2 3 2 3" xfId="1456"/>
    <cellStyle name="20% - Accent3 2 3 2 3 2" xfId="1457"/>
    <cellStyle name="20% - Accent3 2 3 2 4" xfId="1458"/>
    <cellStyle name="20% - Accent3 2 3 2 5" xfId="1459"/>
    <cellStyle name="20% - Accent3 2 3 3" xfId="1460"/>
    <cellStyle name="20% - Accent3 2 3 3 2" xfId="1461"/>
    <cellStyle name="20% - Accent3 2 3 3 2 2" xfId="1462"/>
    <cellStyle name="20% - Accent3 2 3 3 3" xfId="1463"/>
    <cellStyle name="20% - Accent3 2 3 3 4" xfId="1464"/>
    <cellStyle name="20% - Accent3 2 3 4" xfId="1465"/>
    <cellStyle name="20% - Accent3 2 3 5" xfId="1466"/>
    <cellStyle name="20% - Accent3 2 3 5 2" xfId="1467"/>
    <cellStyle name="20% - Accent3 2 3 6" xfId="1468"/>
    <cellStyle name="20% - Accent3 2 3 7" xfId="1469"/>
    <cellStyle name="20% - Accent3 2 3 8" xfId="1470"/>
    <cellStyle name="20% - Accent3 2 4" xfId="1471"/>
    <cellStyle name="20% - Accent3 2 4 2" xfId="1472"/>
    <cellStyle name="20% - Accent3 2 4 2 2" xfId="1473"/>
    <cellStyle name="20% - Accent3 2 4 2 2 2" xfId="1474"/>
    <cellStyle name="20% - Accent3 2 4 2 3" xfId="1475"/>
    <cellStyle name="20% - Accent3 2 4 2 4" xfId="1476"/>
    <cellStyle name="20% - Accent3 2 4 3" xfId="1477"/>
    <cellStyle name="20% - Accent3 2 4 3 2" xfId="1478"/>
    <cellStyle name="20% - Accent3 2 4 4" xfId="1479"/>
    <cellStyle name="20% - Accent3 2 4 4 2" xfId="1480"/>
    <cellStyle name="20% - Accent3 2 4 5" xfId="1481"/>
    <cellStyle name="20% - Accent3 2 4 6" xfId="1482"/>
    <cellStyle name="20% - Accent3 2 5" xfId="1483"/>
    <cellStyle name="20% - Accent3 2 5 2" xfId="1484"/>
    <cellStyle name="20% - Accent3 2 5 2 2" xfId="1485"/>
    <cellStyle name="20% - Accent3 2 5 3" xfId="1486"/>
    <cellStyle name="20% - Accent3 2 5 4" xfId="1487"/>
    <cellStyle name="20% - Accent3 2 6" xfId="1488"/>
    <cellStyle name="20% - Accent3 2 6 10" xfId="1489"/>
    <cellStyle name="20% - Accent3 2 6 2" xfId="1490"/>
    <cellStyle name="20% - Accent3 2 6 2 2" xfId="1491"/>
    <cellStyle name="20% - Accent3 2 6 2 2 2" xfId="1492"/>
    <cellStyle name="20% - Accent3 2 6 2 2 2 2" xfId="1493"/>
    <cellStyle name="20% - Accent3 2 6 2 2 3" xfId="1494"/>
    <cellStyle name="20% - Accent3 2 6 2 2 3 2" xfId="1495"/>
    <cellStyle name="20% - Accent3 2 6 2 2 4" xfId="1496"/>
    <cellStyle name="20% - Accent3 2 6 2 2 5" xfId="1497"/>
    <cellStyle name="20% - Accent3 2 6 2 3" xfId="1498"/>
    <cellStyle name="20% - Accent3 2 6 2 3 2" xfId="1499"/>
    <cellStyle name="20% - Accent3 2 6 2 3 2 2" xfId="1500"/>
    <cellStyle name="20% - Accent3 2 6 2 3 3" xfId="1501"/>
    <cellStyle name="20% - Accent3 2 6 2 4" xfId="1502"/>
    <cellStyle name="20% - Accent3 2 6 2 4 2" xfId="1503"/>
    <cellStyle name="20% - Accent3 2 6 2 5" xfId="1504"/>
    <cellStyle name="20% - Accent3 2 6 2 5 2" xfId="1505"/>
    <cellStyle name="20% - Accent3 2 6 2 6" xfId="1506"/>
    <cellStyle name="20% - Accent3 2 6 3" xfId="1507"/>
    <cellStyle name="20% - Accent3 2 6 3 2" xfId="1508"/>
    <cellStyle name="20% - Accent3 2 6 3 2 2" xfId="1509"/>
    <cellStyle name="20% - Accent3 2 6 3 2 2 2" xfId="1510"/>
    <cellStyle name="20% - Accent3 2 6 3 2 3" xfId="1511"/>
    <cellStyle name="20% - Accent3 2 6 3 2 3 2" xfId="1512"/>
    <cellStyle name="20% - Accent3 2 6 3 2 4" xfId="1513"/>
    <cellStyle name="20% - Accent3 2 6 3 2 5" xfId="1514"/>
    <cellStyle name="20% - Accent3 2 6 3 3" xfId="1515"/>
    <cellStyle name="20% - Accent3 2 6 3 3 2" xfId="1516"/>
    <cellStyle name="20% - Accent3 2 6 3 3 2 2" xfId="1517"/>
    <cellStyle name="20% - Accent3 2 6 3 3 3" xfId="1518"/>
    <cellStyle name="20% - Accent3 2 6 3 4" xfId="1519"/>
    <cellStyle name="20% - Accent3 2 6 3 4 2" xfId="1520"/>
    <cellStyle name="20% - Accent3 2 6 3 5" xfId="1521"/>
    <cellStyle name="20% - Accent3 2 6 3 5 2" xfId="1522"/>
    <cellStyle name="20% - Accent3 2 6 3 6" xfId="1523"/>
    <cellStyle name="20% - Accent3 2 6 4" xfId="1524"/>
    <cellStyle name="20% - Accent3 2 6 4 2" xfId="1525"/>
    <cellStyle name="20% - Accent3 2 6 4 2 2" xfId="1526"/>
    <cellStyle name="20% - Accent3 2 6 4 2 2 2" xfId="1527"/>
    <cellStyle name="20% - Accent3 2 6 4 2 3" xfId="1528"/>
    <cellStyle name="20% - Accent3 2 6 4 3" xfId="1529"/>
    <cellStyle name="20% - Accent3 2 6 4 3 2" xfId="1530"/>
    <cellStyle name="20% - Accent3 2 6 4 4" xfId="1531"/>
    <cellStyle name="20% - Accent3 2 6 4 4 2" xfId="1532"/>
    <cellStyle name="20% - Accent3 2 6 4 5" xfId="1533"/>
    <cellStyle name="20% - Accent3 2 6 5" xfId="1534"/>
    <cellStyle name="20% - Accent3 2 6 5 2" xfId="1535"/>
    <cellStyle name="20% - Accent3 2 6 5 2 2" xfId="1536"/>
    <cellStyle name="20% - Accent3 2 6 5 3" xfId="1537"/>
    <cellStyle name="20% - Accent3 2 6 5 3 2" xfId="1538"/>
    <cellStyle name="20% - Accent3 2 6 5 4" xfId="1539"/>
    <cellStyle name="20% - Accent3 2 6 6" xfId="1540"/>
    <cellStyle name="20% - Accent3 2 6 6 2" xfId="1541"/>
    <cellStyle name="20% - Accent3 2 6 6 2 2" xfId="1542"/>
    <cellStyle name="20% - Accent3 2 6 6 3" xfId="1543"/>
    <cellStyle name="20% - Accent3 2 6 7" xfId="1544"/>
    <cellStyle name="20% - Accent3 2 6 7 2" xfId="1545"/>
    <cellStyle name="20% - Accent3 2 6 7 3" xfId="1546"/>
    <cellStyle name="20% - Accent3 2 6 8" xfId="1547"/>
    <cellStyle name="20% - Accent3 2 6 8 2" xfId="1548"/>
    <cellStyle name="20% - Accent3 2 6 9" xfId="1549"/>
    <cellStyle name="20% - Accent3 2 7" xfId="1550"/>
    <cellStyle name="20% - Accent3 2 7 2" xfId="1551"/>
    <cellStyle name="20% - Accent3 2 7 2 2" xfId="1552"/>
    <cellStyle name="20% - Accent3 2 7 3" xfId="1553"/>
    <cellStyle name="20% - Accent3 2 7 4" xfId="1554"/>
    <cellStyle name="20% - Accent3 2 8" xfId="1555"/>
    <cellStyle name="20% - Accent3 2 8 2" xfId="1556"/>
    <cellStyle name="20% - Accent3 2 9" xfId="1557"/>
    <cellStyle name="20% - Accent3 2 9 2" xfId="1558"/>
    <cellStyle name="20% - Accent3 20" xfId="1559"/>
    <cellStyle name="20% - Accent3 3" xfId="1560"/>
    <cellStyle name="20% - Accent3 3 10" xfId="1561"/>
    <cellStyle name="20% - Accent3 3 2" xfId="1562"/>
    <cellStyle name="20% - Accent3 3 2 2" xfId="1563"/>
    <cellStyle name="20% - Accent3 3 2 2 2" xfId="1564"/>
    <cellStyle name="20% - Accent3 3 2 2 2 2" xfId="1565"/>
    <cellStyle name="20% - Accent3 3 2 2 3" xfId="1566"/>
    <cellStyle name="20% - Accent3 3 2 2 4" xfId="1567"/>
    <cellStyle name="20% - Accent3 3 2 2 5" xfId="1568"/>
    <cellStyle name="20% - Accent3 3 2 3" xfId="1569"/>
    <cellStyle name="20% - Accent3 3 2 3 2" xfId="1570"/>
    <cellStyle name="20% - Accent3 3 2 3 2 2" xfId="1571"/>
    <cellStyle name="20% - Accent3 3 2 3 3" xfId="1572"/>
    <cellStyle name="20% - Accent3 3 2 3 4" xfId="1573"/>
    <cellStyle name="20% - Accent3 3 2 4" xfId="1574"/>
    <cellStyle name="20% - Accent3 3 2 4 2" xfId="1575"/>
    <cellStyle name="20% - Accent3 3 2 5" xfId="1576"/>
    <cellStyle name="20% - Accent3 3 2 5 2" xfId="1577"/>
    <cellStyle name="20% - Accent3 3 2 6" xfId="1578"/>
    <cellStyle name="20% - Accent3 3 2 7" xfId="1579"/>
    <cellStyle name="20% - Accent3 3 2 8" xfId="1580"/>
    <cellStyle name="20% - Accent3 3 3" xfId="1581"/>
    <cellStyle name="20% - Accent3 3 3 2" xfId="1582"/>
    <cellStyle name="20% - Accent3 3 3 2 2" xfId="1583"/>
    <cellStyle name="20% - Accent3 3 3 2 2 2" xfId="1584"/>
    <cellStyle name="20% - Accent3 3 3 2 3" xfId="1585"/>
    <cellStyle name="20% - Accent3 3 3 2 4" xfId="1586"/>
    <cellStyle name="20% - Accent3 3 3 3" xfId="1587"/>
    <cellStyle name="20% - Accent3 3 3 3 2" xfId="1588"/>
    <cellStyle name="20% - Accent3 3 3 4" xfId="1589"/>
    <cellStyle name="20% - Accent3 3 3 4 2" xfId="1590"/>
    <cellStyle name="20% - Accent3 3 3 5" xfId="1591"/>
    <cellStyle name="20% - Accent3 3 3 6" xfId="1592"/>
    <cellStyle name="20% - Accent3 3 3 7" xfId="1593"/>
    <cellStyle name="20% - Accent3 3 4" xfId="1594"/>
    <cellStyle name="20% - Accent3 3 4 2" xfId="1595"/>
    <cellStyle name="20% - Accent3 3 4 2 2" xfId="1596"/>
    <cellStyle name="20% - Accent3 3 4 3" xfId="1597"/>
    <cellStyle name="20% - Accent3 3 4 4" xfId="1598"/>
    <cellStyle name="20% - Accent3 3 5" xfId="1599"/>
    <cellStyle name="20% - Accent3 3 5 2" xfId="1600"/>
    <cellStyle name="20% - Accent3 3 6" xfId="1601"/>
    <cellStyle name="20% - Accent3 3 7" xfId="1602"/>
    <cellStyle name="20% - Accent3 3 7 2" xfId="1603"/>
    <cellStyle name="20% - Accent3 3 8" xfId="1604"/>
    <cellStyle name="20% - Accent3 3 9" xfId="1605"/>
    <cellStyle name="20% - Accent3 3 9 2" xfId="1606"/>
    <cellStyle name="20% - Accent3 4" xfId="1607"/>
    <cellStyle name="20% - Accent3 4 2" xfId="1608"/>
    <cellStyle name="20% - Accent3 4 2 2" xfId="1609"/>
    <cellStyle name="20% - Accent3 4 2 2 2" xfId="1610"/>
    <cellStyle name="20% - Accent3 4 2 2 2 2" xfId="1611"/>
    <cellStyle name="20% - Accent3 4 2 2 3" xfId="1612"/>
    <cellStyle name="20% - Accent3 4 2 2 4" xfId="1613"/>
    <cellStyle name="20% - Accent3 4 2 3" xfId="1614"/>
    <cellStyle name="20% - Accent3 4 2 3 2" xfId="1615"/>
    <cellStyle name="20% - Accent3 4 2 4" xfId="1616"/>
    <cellStyle name="20% - Accent3 4 2 4 2" xfId="1617"/>
    <cellStyle name="20% - Accent3 4 2 5" xfId="1618"/>
    <cellStyle name="20% - Accent3 4 2 6" xfId="1619"/>
    <cellStyle name="20% - Accent3 4 3" xfId="1620"/>
    <cellStyle name="20% - Accent3 4 3 2" xfId="1621"/>
    <cellStyle name="20% - Accent3 4 3 3" xfId="1622"/>
    <cellStyle name="20% - Accent3 4 3 3 2" xfId="1623"/>
    <cellStyle name="20% - Accent3 4 3 4" xfId="1624"/>
    <cellStyle name="20% - Accent3 4 4" xfId="1625"/>
    <cellStyle name="20% - Accent3 4 4 2" xfId="1626"/>
    <cellStyle name="20% - Accent3 4 4 2 2" xfId="1627"/>
    <cellStyle name="20% - Accent3 4 4 3" xfId="1628"/>
    <cellStyle name="20% - Accent3 4 4 4" xfId="1629"/>
    <cellStyle name="20% - Accent3 4 5" xfId="1630"/>
    <cellStyle name="20% - Accent3 4 5 2" xfId="1631"/>
    <cellStyle name="20% - Accent3 4 6" xfId="1632"/>
    <cellStyle name="20% - Accent3 4 6 2" xfId="1633"/>
    <cellStyle name="20% - Accent3 4 7" xfId="1634"/>
    <cellStyle name="20% - Accent3 4 7 2" xfId="1635"/>
    <cellStyle name="20% - Accent3 4 8" xfId="1636"/>
    <cellStyle name="20% - Accent3 4 9" xfId="1637"/>
    <cellStyle name="20% - Accent3 5" xfId="1638"/>
    <cellStyle name="20% - Accent3 5 10" xfId="1639"/>
    <cellStyle name="20% - Accent3 5 11" xfId="1640"/>
    <cellStyle name="20% - Accent3 5 2" xfId="1641"/>
    <cellStyle name="20% - Accent3 5 2 2" xfId="1642"/>
    <cellStyle name="20% - Accent3 5 2 2 2" xfId="1643"/>
    <cellStyle name="20% - Accent3 5 2 2 2 2" xfId="1644"/>
    <cellStyle name="20% - Accent3 5 2 2 2 2 2" xfId="1645"/>
    <cellStyle name="20% - Accent3 5 2 2 2 3" xfId="1646"/>
    <cellStyle name="20% - Accent3 5 2 2 2 3 2" xfId="1647"/>
    <cellStyle name="20% - Accent3 5 2 2 2 4" xfId="1648"/>
    <cellStyle name="20% - Accent3 5 2 2 2 4 2" xfId="1649"/>
    <cellStyle name="20% - Accent3 5 2 2 2 5" xfId="1650"/>
    <cellStyle name="20% - Accent3 5 2 2 3" xfId="1651"/>
    <cellStyle name="20% - Accent3 5 2 2 3 2" xfId="1652"/>
    <cellStyle name="20% - Accent3 5 2 2 3 2 2" xfId="1653"/>
    <cellStyle name="20% - Accent3 5 2 2 3 3" xfId="1654"/>
    <cellStyle name="20% - Accent3 5 2 2 3 3 2" xfId="1655"/>
    <cellStyle name="20% - Accent3 5 2 2 3 4" xfId="1656"/>
    <cellStyle name="20% - Accent3 5 2 2 4" xfId="1657"/>
    <cellStyle name="20% - Accent3 5 2 2 4 2" xfId="1658"/>
    <cellStyle name="20% - Accent3 5 2 2 4 2 2" xfId="1659"/>
    <cellStyle name="20% - Accent3 5 2 2 4 3" xfId="1660"/>
    <cellStyle name="20% - Accent3 5 2 2 4 3 2" xfId="1661"/>
    <cellStyle name="20% - Accent3 5 2 2 4 4" xfId="1662"/>
    <cellStyle name="20% - Accent3 5 2 2 5" xfId="1663"/>
    <cellStyle name="20% - Accent3 5 2 2 5 2" xfId="1664"/>
    <cellStyle name="20% - Accent3 5 2 2 5 2 2" xfId="1665"/>
    <cellStyle name="20% - Accent3 5 2 2 5 3" xfId="1666"/>
    <cellStyle name="20% - Accent3 5 2 2 5 3 2" xfId="1667"/>
    <cellStyle name="20% - Accent3 5 2 2 5 4" xfId="1668"/>
    <cellStyle name="20% - Accent3 5 2 2 6" xfId="1669"/>
    <cellStyle name="20% - Accent3 5 2 2 7" xfId="1670"/>
    <cellStyle name="20% - Accent3 5 2 3" xfId="1671"/>
    <cellStyle name="20% - Accent3 5 2 4" xfId="1672"/>
    <cellStyle name="20% - Accent3 5 2 5" xfId="1673"/>
    <cellStyle name="20% - Accent3 5 2 5 2" xfId="1674"/>
    <cellStyle name="20% - Accent3 5 2 6" xfId="1675"/>
    <cellStyle name="20% - Accent3 5 3" xfId="1676"/>
    <cellStyle name="20% - Accent3 5 3 2" xfId="1677"/>
    <cellStyle name="20% - Accent3 5 3 2 2" xfId="1678"/>
    <cellStyle name="20% - Accent3 5 3 3" xfId="1679"/>
    <cellStyle name="20% - Accent3 5 3 4" xfId="1680"/>
    <cellStyle name="20% - Accent3 5 3 5" xfId="1681"/>
    <cellStyle name="20% - Accent3 5 3 5 2" xfId="1682"/>
    <cellStyle name="20% - Accent3 5 3 6" xfId="1683"/>
    <cellStyle name="20% - Accent3 5 4" xfId="1684"/>
    <cellStyle name="20% - Accent3 5 4 2" xfId="1685"/>
    <cellStyle name="20% - Accent3 5 5" xfId="1686"/>
    <cellStyle name="20% - Accent3 5 5 2" xfId="1687"/>
    <cellStyle name="20% - Accent3 5 5 2 2" xfId="1688"/>
    <cellStyle name="20% - Accent3 5 5 2 2 2" xfId="1689"/>
    <cellStyle name="20% - Accent3 5 5 2 3" xfId="1690"/>
    <cellStyle name="20% - Accent3 5 5 2 3 2" xfId="1691"/>
    <cellStyle name="20% - Accent3 5 5 2 4" xfId="1692"/>
    <cellStyle name="20% - Accent3 5 5 2 4 2" xfId="1693"/>
    <cellStyle name="20% - Accent3 5 5 2 5" xfId="1694"/>
    <cellStyle name="20% - Accent3 5 5 3" xfId="1695"/>
    <cellStyle name="20% - Accent3 5 5 3 2" xfId="1696"/>
    <cellStyle name="20% - Accent3 5 5 3 2 2" xfId="1697"/>
    <cellStyle name="20% - Accent3 5 5 3 3" xfId="1698"/>
    <cellStyle name="20% - Accent3 5 5 3 3 2" xfId="1699"/>
    <cellStyle name="20% - Accent3 5 5 3 4" xfId="1700"/>
    <cellStyle name="20% - Accent3 5 5 4" xfId="1701"/>
    <cellStyle name="20% - Accent3 5 5 4 2" xfId="1702"/>
    <cellStyle name="20% - Accent3 5 5 4 2 2" xfId="1703"/>
    <cellStyle name="20% - Accent3 5 5 4 3" xfId="1704"/>
    <cellStyle name="20% - Accent3 5 5 4 3 2" xfId="1705"/>
    <cellStyle name="20% - Accent3 5 5 4 4" xfId="1706"/>
    <cellStyle name="20% - Accent3 5 5 5" xfId="1707"/>
    <cellStyle name="20% - Accent3 5 5 5 2" xfId="1708"/>
    <cellStyle name="20% - Accent3 5 5 5 2 2" xfId="1709"/>
    <cellStyle name="20% - Accent3 5 5 5 3" xfId="1710"/>
    <cellStyle name="20% - Accent3 5 5 5 3 2" xfId="1711"/>
    <cellStyle name="20% - Accent3 5 5 5 4" xfId="1712"/>
    <cellStyle name="20% - Accent3 5 5 6" xfId="1713"/>
    <cellStyle name="20% - Accent3 5 6" xfId="1714"/>
    <cellStyle name="20% - Accent3 5 6 2" xfId="1715"/>
    <cellStyle name="20% - Accent3 5 6 2 2" xfId="1716"/>
    <cellStyle name="20% - Accent3 5 6 2 2 2" xfId="1717"/>
    <cellStyle name="20% - Accent3 5 6 2 2 2 2" xfId="1718"/>
    <cellStyle name="20% - Accent3 5 6 2 2 3" xfId="1719"/>
    <cellStyle name="20% - Accent3 5 6 2 2 3 2" xfId="1720"/>
    <cellStyle name="20% - Accent3 5 6 2 2 4" xfId="1721"/>
    <cellStyle name="20% - Accent3 5 6 2 2 5" xfId="1722"/>
    <cellStyle name="20% - Accent3 5 6 2 3" xfId="1723"/>
    <cellStyle name="20% - Accent3 5 6 2 3 2" xfId="1724"/>
    <cellStyle name="20% - Accent3 5 6 2 3 2 2" xfId="1725"/>
    <cellStyle name="20% - Accent3 5 6 2 3 3" xfId="1726"/>
    <cellStyle name="20% - Accent3 5 6 2 4" xfId="1727"/>
    <cellStyle name="20% - Accent3 5 6 2 4 2" xfId="1728"/>
    <cellStyle name="20% - Accent3 5 6 2 5" xfId="1729"/>
    <cellStyle name="20% - Accent3 5 6 2 5 2" xfId="1730"/>
    <cellStyle name="20% - Accent3 5 6 2 6" xfId="1731"/>
    <cellStyle name="20% - Accent3 5 6 3" xfId="1732"/>
    <cellStyle name="20% - Accent3 5 6 3 2" xfId="1733"/>
    <cellStyle name="20% - Accent3 5 6 3 2 2" xfId="1734"/>
    <cellStyle name="20% - Accent3 5 6 3 2 2 2" xfId="1735"/>
    <cellStyle name="20% - Accent3 5 6 3 2 3" xfId="1736"/>
    <cellStyle name="20% - Accent3 5 6 3 2 3 2" xfId="1737"/>
    <cellStyle name="20% - Accent3 5 6 3 2 4" xfId="1738"/>
    <cellStyle name="20% - Accent3 5 6 3 2 5" xfId="1739"/>
    <cellStyle name="20% - Accent3 5 6 3 3" xfId="1740"/>
    <cellStyle name="20% - Accent3 5 6 3 3 2" xfId="1741"/>
    <cellStyle name="20% - Accent3 5 6 3 3 2 2" xfId="1742"/>
    <cellStyle name="20% - Accent3 5 6 3 3 3" xfId="1743"/>
    <cellStyle name="20% - Accent3 5 6 3 4" xfId="1744"/>
    <cellStyle name="20% - Accent3 5 6 3 4 2" xfId="1745"/>
    <cellStyle name="20% - Accent3 5 6 3 5" xfId="1746"/>
    <cellStyle name="20% - Accent3 5 6 3 5 2" xfId="1747"/>
    <cellStyle name="20% - Accent3 5 6 3 6" xfId="1748"/>
    <cellStyle name="20% - Accent3 5 6 4" xfId="1749"/>
    <cellStyle name="20% - Accent3 5 6 4 2" xfId="1750"/>
    <cellStyle name="20% - Accent3 5 6 4 2 2" xfId="1751"/>
    <cellStyle name="20% - Accent3 5 6 4 3" xfId="1752"/>
    <cellStyle name="20% - Accent3 5 6 4 3 2" xfId="1753"/>
    <cellStyle name="20% - Accent3 5 6 4 4" xfId="1754"/>
    <cellStyle name="20% - Accent3 5 6 5" xfId="1755"/>
    <cellStyle name="20% - Accent3 5 6 5 2" xfId="1756"/>
    <cellStyle name="20% - Accent3 5 6 5 3" xfId="1757"/>
    <cellStyle name="20% - Accent3 5 6 6" xfId="1758"/>
    <cellStyle name="20% - Accent3 5 6 6 2" xfId="1759"/>
    <cellStyle name="20% - Accent3 5 6 6 3" xfId="1760"/>
    <cellStyle name="20% - Accent3 5 6 7" xfId="1761"/>
    <cellStyle name="20% - Accent3 5 6 7 2" xfId="1762"/>
    <cellStyle name="20% - Accent3 5 6 7 3" xfId="1763"/>
    <cellStyle name="20% - Accent3 5 6 8" xfId="1764"/>
    <cellStyle name="20% - Accent3 5 7" xfId="1765"/>
    <cellStyle name="20% - Accent3 5 7 2" xfId="1766"/>
    <cellStyle name="20% - Accent3 5 7 2 2" xfId="1767"/>
    <cellStyle name="20% - Accent3 5 7 2 2 2" xfId="1768"/>
    <cellStyle name="20% - Accent3 5 7 2 3" xfId="1769"/>
    <cellStyle name="20% - Accent3 5 7 2 3 2" xfId="1770"/>
    <cellStyle name="20% - Accent3 5 7 2 4" xfId="1771"/>
    <cellStyle name="20% - Accent3 5 7 2 4 2" xfId="1772"/>
    <cellStyle name="20% - Accent3 5 7 2 5" xfId="1773"/>
    <cellStyle name="20% - Accent3 5 7 3" xfId="1774"/>
    <cellStyle name="20% - Accent3 5 7 3 2" xfId="1775"/>
    <cellStyle name="20% - Accent3 5 7 3 2 2" xfId="1776"/>
    <cellStyle name="20% - Accent3 5 7 3 3" xfId="1777"/>
    <cellStyle name="20% - Accent3 5 7 3 3 2" xfId="1778"/>
    <cellStyle name="20% - Accent3 5 7 3 4" xfId="1779"/>
    <cellStyle name="20% - Accent3 5 7 4" xfId="1780"/>
    <cellStyle name="20% - Accent3 5 7 4 2" xfId="1781"/>
    <cellStyle name="20% - Accent3 5 7 5" xfId="1782"/>
    <cellStyle name="20% - Accent3 5 7 5 2" xfId="1783"/>
    <cellStyle name="20% - Accent3 5 7 6" xfId="1784"/>
    <cellStyle name="20% - Accent3 5 7 7" xfId="1785"/>
    <cellStyle name="20% - Accent3 5 8" xfId="1786"/>
    <cellStyle name="20% - Accent3 5 8 2" xfId="1787"/>
    <cellStyle name="20% - Accent3 5 8 2 2" xfId="1788"/>
    <cellStyle name="20% - Accent3 5 8 2 2 2" xfId="1789"/>
    <cellStyle name="20% - Accent3 5 8 2 3" xfId="1790"/>
    <cellStyle name="20% - Accent3 5 8 2 3 2" xfId="1791"/>
    <cellStyle name="20% - Accent3 5 8 2 4" xfId="1792"/>
    <cellStyle name="20% - Accent3 5 8 3" xfId="1793"/>
    <cellStyle name="20% - Accent3 5 8 3 2" xfId="1794"/>
    <cellStyle name="20% - Accent3 5 8 4" xfId="1795"/>
    <cellStyle name="20% - Accent3 5 9" xfId="1796"/>
    <cellStyle name="20% - Accent3 5 9 2" xfId="1797"/>
    <cellStyle name="20% - Accent3 6" xfId="1798"/>
    <cellStyle name="20% - Accent3 6 10" xfId="1799"/>
    <cellStyle name="20% - Accent3 6 2" xfId="1800"/>
    <cellStyle name="20% - Accent3 6 2 2" xfId="1801"/>
    <cellStyle name="20% - Accent3 6 2 2 2" xfId="1802"/>
    <cellStyle name="20% - Accent3 6 2 3" xfId="1803"/>
    <cellStyle name="20% - Accent3 6 2 4" xfId="1804"/>
    <cellStyle name="20% - Accent3 6 2 5" xfId="1805"/>
    <cellStyle name="20% - Accent3 6 2 5 2" xfId="1806"/>
    <cellStyle name="20% - Accent3 6 2 5 2 2" xfId="1807"/>
    <cellStyle name="20% - Accent3 6 2 5 3" xfId="1808"/>
    <cellStyle name="20% - Accent3 6 2 5 3 2" xfId="1809"/>
    <cellStyle name="20% - Accent3 6 2 5 4" xfId="1810"/>
    <cellStyle name="20% - Accent3 6 2 5 5" xfId="1811"/>
    <cellStyle name="20% - Accent3 6 2 6" xfId="1812"/>
    <cellStyle name="20% - Accent3 6 2 6 2" xfId="1813"/>
    <cellStyle name="20% - Accent3 6 2 7" xfId="1814"/>
    <cellStyle name="20% - Accent3 6 2 7 2" xfId="1815"/>
    <cellStyle name="20% - Accent3 6 2 8" xfId="1816"/>
    <cellStyle name="20% - Accent3 6 2 8 2" xfId="1817"/>
    <cellStyle name="20% - Accent3 6 2 9" xfId="1818"/>
    <cellStyle name="20% - Accent3 6 3" xfId="1819"/>
    <cellStyle name="20% - Accent3 6 3 2" xfId="1820"/>
    <cellStyle name="20% - Accent3 6 3 3" xfId="1821"/>
    <cellStyle name="20% - Accent3 6 3 4" xfId="1822"/>
    <cellStyle name="20% - Accent3 6 3 4 2" xfId="1823"/>
    <cellStyle name="20% - Accent3 6 3 5" xfId="1824"/>
    <cellStyle name="20% - Accent3 6 3 5 2" xfId="1825"/>
    <cellStyle name="20% - Accent3 6 4" xfId="1826"/>
    <cellStyle name="20% - Accent3 6 4 2" xfId="1827"/>
    <cellStyle name="20% - Accent3 6 4 2 2" xfId="1828"/>
    <cellStyle name="20% - Accent3 6 4 2 2 2" xfId="1829"/>
    <cellStyle name="20% - Accent3 6 4 2 2 2 2" xfId="1830"/>
    <cellStyle name="20% - Accent3 6 4 2 2 3" xfId="1831"/>
    <cellStyle name="20% - Accent3 6 4 2 2 3 2" xfId="1832"/>
    <cellStyle name="20% - Accent3 6 4 2 2 4" xfId="1833"/>
    <cellStyle name="20% - Accent3 6 4 2 2 5" xfId="1834"/>
    <cellStyle name="20% - Accent3 6 4 2 3" xfId="1835"/>
    <cellStyle name="20% - Accent3 6 4 2 3 2" xfId="1836"/>
    <cellStyle name="20% - Accent3 6 4 2 3 2 2" xfId="1837"/>
    <cellStyle name="20% - Accent3 6 4 2 3 3" xfId="1838"/>
    <cellStyle name="20% - Accent3 6 4 2 4" xfId="1839"/>
    <cellStyle name="20% - Accent3 6 4 2 4 2" xfId="1840"/>
    <cellStyle name="20% - Accent3 6 4 2 5" xfId="1841"/>
    <cellStyle name="20% - Accent3 6 4 2 5 2" xfId="1842"/>
    <cellStyle name="20% - Accent3 6 4 2 6" xfId="1843"/>
    <cellStyle name="20% - Accent3 6 4 3" xfId="1844"/>
    <cellStyle name="20% - Accent3 6 4 3 2" xfId="1845"/>
    <cellStyle name="20% - Accent3 6 4 3 2 2" xfId="1846"/>
    <cellStyle name="20% - Accent3 6 4 3 3" xfId="1847"/>
    <cellStyle name="20% - Accent3 6 4 3 3 2" xfId="1848"/>
    <cellStyle name="20% - Accent3 6 4 3 4" xfId="1849"/>
    <cellStyle name="20% - Accent3 6 4 4" xfId="1850"/>
    <cellStyle name="20% - Accent3 6 4 4 2" xfId="1851"/>
    <cellStyle name="20% - Accent3 6 4 4 3" xfId="1852"/>
    <cellStyle name="20% - Accent3 6 4 5" xfId="1853"/>
    <cellStyle name="20% - Accent3 6 4 5 2" xfId="1854"/>
    <cellStyle name="20% - Accent3 6 4 5 3" xfId="1855"/>
    <cellStyle name="20% - Accent3 6 4 6" xfId="1856"/>
    <cellStyle name="20% - Accent3 6 4 6 2" xfId="1857"/>
    <cellStyle name="20% - Accent3 6 4 6 3" xfId="1858"/>
    <cellStyle name="20% - Accent3 6 4 7" xfId="1859"/>
    <cellStyle name="20% - Accent3 6 4 8" xfId="1860"/>
    <cellStyle name="20% - Accent3 6 5" xfId="1861"/>
    <cellStyle name="20% - Accent3 6 5 2" xfId="1862"/>
    <cellStyle name="20% - Accent3 6 5 2 2" xfId="1863"/>
    <cellStyle name="20% - Accent3 6 5 2 2 2" xfId="1864"/>
    <cellStyle name="20% - Accent3 6 5 2 3" xfId="1865"/>
    <cellStyle name="20% - Accent3 6 5 2 3 2" xfId="1866"/>
    <cellStyle name="20% - Accent3 6 5 2 4" xfId="1867"/>
    <cellStyle name="20% - Accent3 6 5 3" xfId="1868"/>
    <cellStyle name="20% - Accent3 6 5 3 2" xfId="1869"/>
    <cellStyle name="20% - Accent3 6 5 3 3" xfId="1870"/>
    <cellStyle name="20% - Accent3 6 5 4" xfId="1871"/>
    <cellStyle name="20% - Accent3 6 5 4 2" xfId="1872"/>
    <cellStyle name="20% - Accent3 6 5 4 3" xfId="1873"/>
    <cellStyle name="20% - Accent3 6 5 5" xfId="1874"/>
    <cellStyle name="20% - Accent3 6 5 5 2" xfId="1875"/>
    <cellStyle name="20% - Accent3 6 5 5 3" xfId="1876"/>
    <cellStyle name="20% - Accent3 6 5 6" xfId="1877"/>
    <cellStyle name="20% - Accent3 6 6" xfId="1878"/>
    <cellStyle name="20% - Accent3 6 7" xfId="1879"/>
    <cellStyle name="20% - Accent3 6 7 2" xfId="1880"/>
    <cellStyle name="20% - Accent3 6 7 2 2" xfId="1881"/>
    <cellStyle name="20% - Accent3 6 7 3" xfId="1882"/>
    <cellStyle name="20% - Accent3 6 7 3 2" xfId="1883"/>
    <cellStyle name="20% - Accent3 6 7 4" xfId="1884"/>
    <cellStyle name="20% - Accent3 6 7 5" xfId="1885"/>
    <cellStyle name="20% - Accent3 6 8" xfId="1886"/>
    <cellStyle name="20% - Accent3 6 8 2" xfId="1887"/>
    <cellStyle name="20% - Accent3 6 8 2 2" xfId="1888"/>
    <cellStyle name="20% - Accent3 6 8 3" xfId="1889"/>
    <cellStyle name="20% - Accent3 6 9" xfId="1890"/>
    <cellStyle name="20% - Accent3 6 9 2" xfId="1891"/>
    <cellStyle name="20% - Accent3 7" xfId="1892"/>
    <cellStyle name="20% - Accent3 7 2" xfId="1893"/>
    <cellStyle name="20% - Accent3 7 2 2" xfId="1894"/>
    <cellStyle name="20% - Accent3 7 2 2 2" xfId="1895"/>
    <cellStyle name="20% - Accent3 7 2 2 2 2" xfId="1896"/>
    <cellStyle name="20% - Accent3 7 2 2 3" xfId="1897"/>
    <cellStyle name="20% - Accent3 7 2 2 3 2" xfId="1898"/>
    <cellStyle name="20% - Accent3 7 2 2 4" xfId="1899"/>
    <cellStyle name="20% - Accent3 7 2 3" xfId="1900"/>
    <cellStyle name="20% - Accent3 7 2 3 2" xfId="1901"/>
    <cellStyle name="20% - Accent3 7 2 3 2 2" xfId="1902"/>
    <cellStyle name="20% - Accent3 7 2 3 3" xfId="1903"/>
    <cellStyle name="20% - Accent3 7 2 4" xfId="1904"/>
    <cellStyle name="20% - Accent3 7 2 4 2" xfId="1905"/>
    <cellStyle name="20% - Accent3 7 2 4 2 2" xfId="1906"/>
    <cellStyle name="20% - Accent3 7 2 4 3" xfId="1907"/>
    <cellStyle name="20% - Accent3 7 2 4 3 2" xfId="1908"/>
    <cellStyle name="20% - Accent3 7 2 4 4" xfId="1909"/>
    <cellStyle name="20% - Accent3 7 2 5" xfId="1910"/>
    <cellStyle name="20% - Accent3 7 2 5 2" xfId="1911"/>
    <cellStyle name="20% - Accent3 7 2 5 2 2" xfId="1912"/>
    <cellStyle name="20% - Accent3 7 2 6" xfId="1913"/>
    <cellStyle name="20% - Accent3 7 3" xfId="1914"/>
    <cellStyle name="20% - Accent3 7 3 2" xfId="1915"/>
    <cellStyle name="20% - Accent3 7 3 2 2" xfId="1916"/>
    <cellStyle name="20% - Accent3 7 3 2 2 2" xfId="1917"/>
    <cellStyle name="20% - Accent3 7 3 2 3" xfId="1918"/>
    <cellStyle name="20% - Accent3 7 3 2 3 2" xfId="1919"/>
    <cellStyle name="20% - Accent3 7 3 2 4" xfId="1920"/>
    <cellStyle name="20% - Accent3 7 3 3" xfId="1921"/>
    <cellStyle name="20% - Accent3 7 3 3 2" xfId="1922"/>
    <cellStyle name="20% - Accent3 7 3 3 2 2" xfId="1923"/>
    <cellStyle name="20% - Accent3 7 3 3 3" xfId="1924"/>
    <cellStyle name="20% - Accent3 7 3 3 3 2" xfId="1925"/>
    <cellStyle name="20% - Accent3 7 3 3 4" xfId="1926"/>
    <cellStyle name="20% - Accent3 7 3 4" xfId="1927"/>
    <cellStyle name="20% - Accent3 7 4" xfId="1928"/>
    <cellStyle name="20% - Accent3 7 4 2" xfId="1929"/>
    <cellStyle name="20% - Accent3 7 4 2 2" xfId="1930"/>
    <cellStyle name="20% - Accent3 7 4 3" xfId="1931"/>
    <cellStyle name="20% - Accent3 7 4 3 2" xfId="1932"/>
    <cellStyle name="20% - Accent3 7 4 4" xfId="1933"/>
    <cellStyle name="20% - Accent3 7 4 4 2" xfId="1934"/>
    <cellStyle name="20% - Accent3 7 4 5" xfId="1935"/>
    <cellStyle name="20% - Accent3 7 5" xfId="1936"/>
    <cellStyle name="20% - Accent3 7 5 2" xfId="1937"/>
    <cellStyle name="20% - Accent3 7 5 2 2" xfId="1938"/>
    <cellStyle name="20% - Accent3 7 5 2 2 2" xfId="1939"/>
    <cellStyle name="20% - Accent3 7 5 3" xfId="1940"/>
    <cellStyle name="20% - Accent3 7 5 3 2" xfId="1941"/>
    <cellStyle name="20% - Accent3 7 5 4" xfId="1942"/>
    <cellStyle name="20% - Accent3 7 6" xfId="1943"/>
    <cellStyle name="20% - Accent3 7 6 2" xfId="1944"/>
    <cellStyle name="20% - Accent3 7 7" xfId="1945"/>
    <cellStyle name="20% - Accent3 7 7 2" xfId="1946"/>
    <cellStyle name="20% - Accent3 7 8" xfId="1947"/>
    <cellStyle name="20% - Accent3 7 8 2" xfId="1948"/>
    <cellStyle name="20% - Accent3 7 9" xfId="1949"/>
    <cellStyle name="20% - Accent3 8" xfId="1950"/>
    <cellStyle name="20% - Accent3 8 2" xfId="1951"/>
    <cellStyle name="20% - Accent3 8 2 2" xfId="1952"/>
    <cellStyle name="20% - Accent3 8 2 2 2" xfId="1953"/>
    <cellStyle name="20% - Accent3 8 2 2 2 2" xfId="1954"/>
    <cellStyle name="20% - Accent3 8 2 2 3" xfId="1955"/>
    <cellStyle name="20% - Accent3 8 2 2 3 2" xfId="1956"/>
    <cellStyle name="20% - Accent3 8 2 2 4" xfId="1957"/>
    <cellStyle name="20% - Accent3 8 2 3" xfId="1958"/>
    <cellStyle name="20% - Accent3 8 2 3 2" xfId="1959"/>
    <cellStyle name="20% - Accent3 8 2 3 2 2" xfId="1960"/>
    <cellStyle name="20% - Accent3 8 2 3 3" xfId="1961"/>
    <cellStyle name="20% - Accent3 8 2 4" xfId="1962"/>
    <cellStyle name="20% - Accent3 8 2 4 2" xfId="1963"/>
    <cellStyle name="20% - Accent3 8 2 4 2 2" xfId="1964"/>
    <cellStyle name="20% - Accent3 8 2 4 3" xfId="1965"/>
    <cellStyle name="20% - Accent3 8 2 4 3 2" xfId="1966"/>
    <cellStyle name="20% - Accent3 8 2 4 4" xfId="1967"/>
    <cellStyle name="20% - Accent3 8 2 5" xfId="1968"/>
    <cellStyle name="20% - Accent3 8 2 5 2" xfId="1969"/>
    <cellStyle name="20% - Accent3 8 2 6" xfId="1970"/>
    <cellStyle name="20% - Accent3 8 3" xfId="1971"/>
    <cellStyle name="20% - Accent3 8 3 2" xfId="1972"/>
    <cellStyle name="20% - Accent3 8 3 2 2" xfId="1973"/>
    <cellStyle name="20% - Accent3 8 3 2 2 2" xfId="1974"/>
    <cellStyle name="20% - Accent3 8 3 2 3" xfId="1975"/>
    <cellStyle name="20% - Accent3 8 3 2 3 2" xfId="1976"/>
    <cellStyle name="20% - Accent3 8 3 2 4" xfId="1977"/>
    <cellStyle name="20% - Accent3 8 3 3" xfId="1978"/>
    <cellStyle name="20% - Accent3 8 3 3 2" xfId="1979"/>
    <cellStyle name="20% - Accent3 8 3 3 2 2" xfId="1980"/>
    <cellStyle name="20% - Accent3 8 3 3 3" xfId="1981"/>
    <cellStyle name="20% - Accent3 8 3 3 3 2" xfId="1982"/>
    <cellStyle name="20% - Accent3 8 3 3 4" xfId="1983"/>
    <cellStyle name="20% - Accent3 8 3 4" xfId="1984"/>
    <cellStyle name="20% - Accent3 8 3 4 2" xfId="1985"/>
    <cellStyle name="20% - Accent3 8 3 5" xfId="1986"/>
    <cellStyle name="20% - Accent3 8 3 5 2" xfId="1987"/>
    <cellStyle name="20% - Accent3 8 3 6" xfId="1988"/>
    <cellStyle name="20% - Accent3 8 4" xfId="1989"/>
    <cellStyle name="20% - Accent3 8 4 2" xfId="1990"/>
    <cellStyle name="20% - Accent3 8 4 2 2" xfId="1991"/>
    <cellStyle name="20% - Accent3 8 4 3" xfId="1992"/>
    <cellStyle name="20% - Accent3 8 5" xfId="1993"/>
    <cellStyle name="20% - Accent3 8 5 2" xfId="1994"/>
    <cellStyle name="20% - Accent3 8 6" xfId="1995"/>
    <cellStyle name="20% - Accent3 8 6 2" xfId="1996"/>
    <cellStyle name="20% - Accent3 8 7" xfId="1997"/>
    <cellStyle name="20% - Accent3 9" xfId="1998"/>
    <cellStyle name="20% - Accent3 9 2" xfId="1999"/>
    <cellStyle name="20% - Accent3 9 2 2" xfId="2000"/>
    <cellStyle name="20% - Accent3 9 2 2 2" xfId="2001"/>
    <cellStyle name="20% - Accent3 9 2 3" xfId="2002"/>
    <cellStyle name="20% - Accent3 9 2 3 2" xfId="2003"/>
    <cellStyle name="20% - Accent3 9 2 4" xfId="2004"/>
    <cellStyle name="20% - Accent3 9 2 4 2" xfId="2005"/>
    <cellStyle name="20% - Accent3 9 2 5" xfId="2006"/>
    <cellStyle name="20% - Accent3 9 3" xfId="2007"/>
    <cellStyle name="20% - Accent3 9 3 2" xfId="2008"/>
    <cellStyle name="20% - Accent3 9 3 2 2" xfId="2009"/>
    <cellStyle name="20% - Accent3 9 3 3" xfId="2010"/>
    <cellStyle name="20% - Accent3 9 3 3 2" xfId="2011"/>
    <cellStyle name="20% - Accent3 9 3 4" xfId="2012"/>
    <cellStyle name="20% - Accent3 9 4" xfId="2013"/>
    <cellStyle name="20% - Accent3 9 4 2" xfId="2014"/>
    <cellStyle name="20% - Accent3 9 4 2 2" xfId="2015"/>
    <cellStyle name="20% - Accent3 9 4 3" xfId="2016"/>
    <cellStyle name="20% - Accent3 9 5" xfId="2017"/>
    <cellStyle name="20% - Accent3 9 5 2" xfId="2018"/>
    <cellStyle name="20% - Accent3 9 6" xfId="2019"/>
    <cellStyle name="20% - Accent3 9 7" xfId="2020"/>
    <cellStyle name="20% - Accent4 10" xfId="2021"/>
    <cellStyle name="20% - Accent4 10 2" xfId="2022"/>
    <cellStyle name="20% - Accent4 10 2 2" xfId="2023"/>
    <cellStyle name="20% - Accent4 10 2 2 2" xfId="2024"/>
    <cellStyle name="20% - Accent4 10 2 3" xfId="2025"/>
    <cellStyle name="20% - Accent4 10 2 3 2" xfId="2026"/>
    <cellStyle name="20% - Accent4 10 2 4" xfId="2027"/>
    <cellStyle name="20% - Accent4 10 2 4 2" xfId="2028"/>
    <cellStyle name="20% - Accent4 10 2 5" xfId="2029"/>
    <cellStyle name="20% - Accent4 10 3" xfId="2030"/>
    <cellStyle name="20% - Accent4 10 3 2" xfId="2031"/>
    <cellStyle name="20% - Accent4 10 3 2 2" xfId="2032"/>
    <cellStyle name="20% - Accent4 10 3 3" xfId="2033"/>
    <cellStyle name="20% - Accent4 10 4" xfId="2034"/>
    <cellStyle name="20% - Accent4 10 4 2" xfId="2035"/>
    <cellStyle name="20% - Accent4 10 5" xfId="2036"/>
    <cellStyle name="20% - Accent4 10 5 2" xfId="2037"/>
    <cellStyle name="20% - Accent4 10 6" xfId="2038"/>
    <cellStyle name="20% - Accent4 10 7" xfId="2039"/>
    <cellStyle name="20% - Accent4 11" xfId="2040"/>
    <cellStyle name="20% - Accent4 11 2" xfId="2041"/>
    <cellStyle name="20% - Accent4 11 2 2" xfId="2042"/>
    <cellStyle name="20% - Accent4 11 3" xfId="2043"/>
    <cellStyle name="20% - Accent4 12" xfId="2044"/>
    <cellStyle name="20% - Accent4 12 2" xfId="2045"/>
    <cellStyle name="20% - Accent4 13" xfId="2046"/>
    <cellStyle name="20% - Accent4 13 2" xfId="2047"/>
    <cellStyle name="20% - Accent4 14" xfId="2048"/>
    <cellStyle name="20% - Accent4 14 2" xfId="2049"/>
    <cellStyle name="20% - Accent4 14 3" xfId="2050"/>
    <cellStyle name="20% - Accent4 15" xfId="2051"/>
    <cellStyle name="20% - Accent4 15 2" xfId="2052"/>
    <cellStyle name="20% - Accent4 16" xfId="2053"/>
    <cellStyle name="20% - Accent4 16 2" xfId="2054"/>
    <cellStyle name="20% - Accent4 17" xfId="2055"/>
    <cellStyle name="20% - Accent4 17 2" xfId="2056"/>
    <cellStyle name="20% - Accent4 18" xfId="2057"/>
    <cellStyle name="20% - Accent4 19" xfId="2058"/>
    <cellStyle name="20% - Accent4 2" xfId="2059"/>
    <cellStyle name="20% - Accent4 2 10" xfId="2060"/>
    <cellStyle name="20% - Accent4 2 10 2" xfId="2061"/>
    <cellStyle name="20% - Accent4 2 11" xfId="2062"/>
    <cellStyle name="20% - Accent4 2 12" xfId="2063"/>
    <cellStyle name="20% - Accent4 2 12 2" xfId="2064"/>
    <cellStyle name="20% - Accent4 2 12 2 2" xfId="2065"/>
    <cellStyle name="20% - Accent4 2 12 3" xfId="2066"/>
    <cellStyle name="20% - Accent4 2 12 4" xfId="2067"/>
    <cellStyle name="20% - Accent4 2 12 4 2" xfId="2068"/>
    <cellStyle name="20% - Accent4 2 12 5" xfId="2069"/>
    <cellStyle name="20% - Accent4 2 13" xfId="2070"/>
    <cellStyle name="20% - Accent4 2 13 2" xfId="2071"/>
    <cellStyle name="20% - Accent4 2 13 2 2" xfId="2072"/>
    <cellStyle name="20% - Accent4 2 13 3" xfId="2073"/>
    <cellStyle name="20% - Accent4 2 14" xfId="2074"/>
    <cellStyle name="20% - Accent4 2 15" xfId="2075"/>
    <cellStyle name="20% - Accent4 2 2" xfId="2076"/>
    <cellStyle name="20% - Accent4 2 2 10" xfId="2077"/>
    <cellStyle name="20% - Accent4 2 2 10 2" xfId="2078"/>
    <cellStyle name="20% - Accent4 2 2 11" xfId="2079"/>
    <cellStyle name="20% - Accent4 2 2 2" xfId="2080"/>
    <cellStyle name="20% - Accent4 2 2 2 2" xfId="2081"/>
    <cellStyle name="20% - Accent4 2 2 2 2 2" xfId="2082"/>
    <cellStyle name="20% - Accent4 2 2 2 2 3" xfId="2083"/>
    <cellStyle name="20% - Accent4 2 2 2 3" xfId="2084"/>
    <cellStyle name="20% - Accent4 2 2 2 3 2" xfId="2085"/>
    <cellStyle name="20% - Accent4 2 2 2 4" xfId="2086"/>
    <cellStyle name="20% - Accent4 2 2 2 5" xfId="2087"/>
    <cellStyle name="20% - Accent4 2 2 3" xfId="2088"/>
    <cellStyle name="20% - Accent4 2 2 3 2" xfId="2089"/>
    <cellStyle name="20% - Accent4 2 2 3 2 2" xfId="2090"/>
    <cellStyle name="20% - Accent4 2 2 3 2 3" xfId="2091"/>
    <cellStyle name="20% - Accent4 2 2 3 3" xfId="2092"/>
    <cellStyle name="20% - Accent4 2 2 3 3 2" xfId="2093"/>
    <cellStyle name="20% - Accent4 2 2 3 4" xfId="2094"/>
    <cellStyle name="20% - Accent4 2 2 3 5" xfId="2095"/>
    <cellStyle name="20% - Accent4 2 2 4" xfId="2096"/>
    <cellStyle name="20% - Accent4 2 2 4 2" xfId="2097"/>
    <cellStyle name="20% - Accent4 2 2 4 2 2" xfId="2098"/>
    <cellStyle name="20% - Accent4 2 2 4 3" xfId="2099"/>
    <cellStyle name="20% - Accent4 2 2 4 4" xfId="2100"/>
    <cellStyle name="20% - Accent4 2 2 5" xfId="2101"/>
    <cellStyle name="20% - Accent4 2 2 5 2" xfId="2102"/>
    <cellStyle name="20% - Accent4 2 2 6" xfId="2103"/>
    <cellStyle name="20% - Accent4 2 2 6 2" xfId="2104"/>
    <cellStyle name="20% - Accent4 2 2 7" xfId="2105"/>
    <cellStyle name="20% - Accent4 2 2 8" xfId="2106"/>
    <cellStyle name="20% - Accent4 2 2 9" xfId="2107"/>
    <cellStyle name="20% - Accent4 2 2 9 2" xfId="2108"/>
    <cellStyle name="20% - Accent4 2 3" xfId="2109"/>
    <cellStyle name="20% - Accent4 2 3 2" xfId="2110"/>
    <cellStyle name="20% - Accent4 2 3 2 2" xfId="2111"/>
    <cellStyle name="20% - Accent4 2 3 2 2 2" xfId="2112"/>
    <cellStyle name="20% - Accent4 2 3 2 2 3" xfId="2113"/>
    <cellStyle name="20% - Accent4 2 3 2 3" xfId="2114"/>
    <cellStyle name="20% - Accent4 2 3 2 3 2" xfId="2115"/>
    <cellStyle name="20% - Accent4 2 3 2 4" xfId="2116"/>
    <cellStyle name="20% - Accent4 2 3 2 5" xfId="2117"/>
    <cellStyle name="20% - Accent4 2 3 3" xfId="2118"/>
    <cellStyle name="20% - Accent4 2 3 3 2" xfId="2119"/>
    <cellStyle name="20% - Accent4 2 3 3 2 2" xfId="2120"/>
    <cellStyle name="20% - Accent4 2 3 3 3" xfId="2121"/>
    <cellStyle name="20% - Accent4 2 3 3 4" xfId="2122"/>
    <cellStyle name="20% - Accent4 2 3 4" xfId="2123"/>
    <cellStyle name="20% - Accent4 2 3 5" xfId="2124"/>
    <cellStyle name="20% - Accent4 2 3 5 2" xfId="2125"/>
    <cellStyle name="20% - Accent4 2 3 6" xfId="2126"/>
    <cellStyle name="20% - Accent4 2 3 7" xfId="2127"/>
    <cellStyle name="20% - Accent4 2 3 8" xfId="2128"/>
    <cellStyle name="20% - Accent4 2 4" xfId="2129"/>
    <cellStyle name="20% - Accent4 2 4 2" xfId="2130"/>
    <cellStyle name="20% - Accent4 2 4 2 2" xfId="2131"/>
    <cellStyle name="20% - Accent4 2 4 2 2 2" xfId="2132"/>
    <cellStyle name="20% - Accent4 2 4 2 3" xfId="2133"/>
    <cellStyle name="20% - Accent4 2 4 2 4" xfId="2134"/>
    <cellStyle name="20% - Accent4 2 4 3" xfId="2135"/>
    <cellStyle name="20% - Accent4 2 4 3 2" xfId="2136"/>
    <cellStyle name="20% - Accent4 2 4 4" xfId="2137"/>
    <cellStyle name="20% - Accent4 2 4 4 2" xfId="2138"/>
    <cellStyle name="20% - Accent4 2 4 5" xfId="2139"/>
    <cellStyle name="20% - Accent4 2 4 6" xfId="2140"/>
    <cellStyle name="20% - Accent4 2 5" xfId="2141"/>
    <cellStyle name="20% - Accent4 2 5 2" xfId="2142"/>
    <cellStyle name="20% - Accent4 2 5 2 2" xfId="2143"/>
    <cellStyle name="20% - Accent4 2 5 3" xfId="2144"/>
    <cellStyle name="20% - Accent4 2 5 4" xfId="2145"/>
    <cellStyle name="20% - Accent4 2 6" xfId="2146"/>
    <cellStyle name="20% - Accent4 2 6 10" xfId="2147"/>
    <cellStyle name="20% - Accent4 2 6 2" xfId="2148"/>
    <cellStyle name="20% - Accent4 2 6 2 2" xfId="2149"/>
    <cellStyle name="20% - Accent4 2 6 2 2 2" xfId="2150"/>
    <cellStyle name="20% - Accent4 2 6 2 2 2 2" xfId="2151"/>
    <cellStyle name="20% - Accent4 2 6 2 2 3" xfId="2152"/>
    <cellStyle name="20% - Accent4 2 6 2 2 3 2" xfId="2153"/>
    <cellStyle name="20% - Accent4 2 6 2 2 4" xfId="2154"/>
    <cellStyle name="20% - Accent4 2 6 2 2 5" xfId="2155"/>
    <cellStyle name="20% - Accent4 2 6 2 3" xfId="2156"/>
    <cellStyle name="20% - Accent4 2 6 2 3 2" xfId="2157"/>
    <cellStyle name="20% - Accent4 2 6 2 3 2 2" xfId="2158"/>
    <cellStyle name="20% - Accent4 2 6 2 3 3" xfId="2159"/>
    <cellStyle name="20% - Accent4 2 6 2 4" xfId="2160"/>
    <cellStyle name="20% - Accent4 2 6 2 4 2" xfId="2161"/>
    <cellStyle name="20% - Accent4 2 6 2 5" xfId="2162"/>
    <cellStyle name="20% - Accent4 2 6 2 5 2" xfId="2163"/>
    <cellStyle name="20% - Accent4 2 6 2 6" xfId="2164"/>
    <cellStyle name="20% - Accent4 2 6 3" xfId="2165"/>
    <cellStyle name="20% - Accent4 2 6 3 2" xfId="2166"/>
    <cellStyle name="20% - Accent4 2 6 3 2 2" xfId="2167"/>
    <cellStyle name="20% - Accent4 2 6 3 2 2 2" xfId="2168"/>
    <cellStyle name="20% - Accent4 2 6 3 2 3" xfId="2169"/>
    <cellStyle name="20% - Accent4 2 6 3 2 3 2" xfId="2170"/>
    <cellStyle name="20% - Accent4 2 6 3 2 4" xfId="2171"/>
    <cellStyle name="20% - Accent4 2 6 3 2 5" xfId="2172"/>
    <cellStyle name="20% - Accent4 2 6 3 3" xfId="2173"/>
    <cellStyle name="20% - Accent4 2 6 3 3 2" xfId="2174"/>
    <cellStyle name="20% - Accent4 2 6 3 3 2 2" xfId="2175"/>
    <cellStyle name="20% - Accent4 2 6 3 3 3" xfId="2176"/>
    <cellStyle name="20% - Accent4 2 6 3 4" xfId="2177"/>
    <cellStyle name="20% - Accent4 2 6 3 4 2" xfId="2178"/>
    <cellStyle name="20% - Accent4 2 6 3 5" xfId="2179"/>
    <cellStyle name="20% - Accent4 2 6 3 5 2" xfId="2180"/>
    <cellStyle name="20% - Accent4 2 6 3 6" xfId="2181"/>
    <cellStyle name="20% - Accent4 2 6 4" xfId="2182"/>
    <cellStyle name="20% - Accent4 2 6 4 2" xfId="2183"/>
    <cellStyle name="20% - Accent4 2 6 4 2 2" xfId="2184"/>
    <cellStyle name="20% - Accent4 2 6 4 2 2 2" xfId="2185"/>
    <cellStyle name="20% - Accent4 2 6 4 2 3" xfId="2186"/>
    <cellStyle name="20% - Accent4 2 6 4 3" xfId="2187"/>
    <cellStyle name="20% - Accent4 2 6 4 3 2" xfId="2188"/>
    <cellStyle name="20% - Accent4 2 6 4 4" xfId="2189"/>
    <cellStyle name="20% - Accent4 2 6 4 4 2" xfId="2190"/>
    <cellStyle name="20% - Accent4 2 6 4 5" xfId="2191"/>
    <cellStyle name="20% - Accent4 2 6 5" xfId="2192"/>
    <cellStyle name="20% - Accent4 2 6 5 2" xfId="2193"/>
    <cellStyle name="20% - Accent4 2 6 5 2 2" xfId="2194"/>
    <cellStyle name="20% - Accent4 2 6 5 3" xfId="2195"/>
    <cellStyle name="20% - Accent4 2 6 5 3 2" xfId="2196"/>
    <cellStyle name="20% - Accent4 2 6 5 4" xfId="2197"/>
    <cellStyle name="20% - Accent4 2 6 6" xfId="2198"/>
    <cellStyle name="20% - Accent4 2 6 6 2" xfId="2199"/>
    <cellStyle name="20% - Accent4 2 6 6 2 2" xfId="2200"/>
    <cellStyle name="20% - Accent4 2 6 6 3" xfId="2201"/>
    <cellStyle name="20% - Accent4 2 6 7" xfId="2202"/>
    <cellStyle name="20% - Accent4 2 6 7 2" xfId="2203"/>
    <cellStyle name="20% - Accent4 2 6 7 3" xfId="2204"/>
    <cellStyle name="20% - Accent4 2 6 8" xfId="2205"/>
    <cellStyle name="20% - Accent4 2 6 8 2" xfId="2206"/>
    <cellStyle name="20% - Accent4 2 6 9" xfId="2207"/>
    <cellStyle name="20% - Accent4 2 7" xfId="2208"/>
    <cellStyle name="20% - Accent4 2 7 2" xfId="2209"/>
    <cellStyle name="20% - Accent4 2 7 2 2" xfId="2210"/>
    <cellStyle name="20% - Accent4 2 7 3" xfId="2211"/>
    <cellStyle name="20% - Accent4 2 7 4" xfId="2212"/>
    <cellStyle name="20% - Accent4 2 8" xfId="2213"/>
    <cellStyle name="20% - Accent4 2 8 2" xfId="2214"/>
    <cellStyle name="20% - Accent4 2 9" xfId="2215"/>
    <cellStyle name="20% - Accent4 2 9 2" xfId="2216"/>
    <cellStyle name="20% - Accent4 20" xfId="2217"/>
    <cellStyle name="20% - Accent4 3" xfId="2218"/>
    <cellStyle name="20% - Accent4 3 10" xfId="2219"/>
    <cellStyle name="20% - Accent4 3 2" xfId="2220"/>
    <cellStyle name="20% - Accent4 3 2 2" xfId="2221"/>
    <cellStyle name="20% - Accent4 3 2 2 2" xfId="2222"/>
    <cellStyle name="20% - Accent4 3 2 2 2 2" xfId="2223"/>
    <cellStyle name="20% - Accent4 3 2 2 3" xfId="2224"/>
    <cellStyle name="20% - Accent4 3 2 2 4" xfId="2225"/>
    <cellStyle name="20% - Accent4 3 2 2 5" xfId="2226"/>
    <cellStyle name="20% - Accent4 3 2 3" xfId="2227"/>
    <cellStyle name="20% - Accent4 3 2 3 2" xfId="2228"/>
    <cellStyle name="20% - Accent4 3 2 3 2 2" xfId="2229"/>
    <cellStyle name="20% - Accent4 3 2 3 3" xfId="2230"/>
    <cellStyle name="20% - Accent4 3 2 3 4" xfId="2231"/>
    <cellStyle name="20% - Accent4 3 2 4" xfId="2232"/>
    <cellStyle name="20% - Accent4 3 2 4 2" xfId="2233"/>
    <cellStyle name="20% - Accent4 3 2 5" xfId="2234"/>
    <cellStyle name="20% - Accent4 3 2 5 2" xfId="2235"/>
    <cellStyle name="20% - Accent4 3 2 6" xfId="2236"/>
    <cellStyle name="20% - Accent4 3 2 7" xfId="2237"/>
    <cellStyle name="20% - Accent4 3 2 8" xfId="2238"/>
    <cellStyle name="20% - Accent4 3 3" xfId="2239"/>
    <cellStyle name="20% - Accent4 3 3 2" xfId="2240"/>
    <cellStyle name="20% - Accent4 3 3 2 2" xfId="2241"/>
    <cellStyle name="20% - Accent4 3 3 2 2 2" xfId="2242"/>
    <cellStyle name="20% - Accent4 3 3 2 3" xfId="2243"/>
    <cellStyle name="20% - Accent4 3 3 2 4" xfId="2244"/>
    <cellStyle name="20% - Accent4 3 3 3" xfId="2245"/>
    <cellStyle name="20% - Accent4 3 3 3 2" xfId="2246"/>
    <cellStyle name="20% - Accent4 3 3 4" xfId="2247"/>
    <cellStyle name="20% - Accent4 3 3 4 2" xfId="2248"/>
    <cellStyle name="20% - Accent4 3 3 5" xfId="2249"/>
    <cellStyle name="20% - Accent4 3 3 6" xfId="2250"/>
    <cellStyle name="20% - Accent4 3 3 7" xfId="2251"/>
    <cellStyle name="20% - Accent4 3 4" xfId="2252"/>
    <cellStyle name="20% - Accent4 3 4 2" xfId="2253"/>
    <cellStyle name="20% - Accent4 3 4 2 2" xfId="2254"/>
    <cellStyle name="20% - Accent4 3 4 3" xfId="2255"/>
    <cellStyle name="20% - Accent4 3 4 4" xfId="2256"/>
    <cellStyle name="20% - Accent4 3 5" xfId="2257"/>
    <cellStyle name="20% - Accent4 3 5 2" xfId="2258"/>
    <cellStyle name="20% - Accent4 3 6" xfId="2259"/>
    <cellStyle name="20% - Accent4 3 7" xfId="2260"/>
    <cellStyle name="20% - Accent4 3 7 2" xfId="2261"/>
    <cellStyle name="20% - Accent4 3 8" xfId="2262"/>
    <cellStyle name="20% - Accent4 3 9" xfId="2263"/>
    <cellStyle name="20% - Accent4 3 9 2" xfId="2264"/>
    <cellStyle name="20% - Accent4 4" xfId="2265"/>
    <cellStyle name="20% - Accent4 4 2" xfId="2266"/>
    <cellStyle name="20% - Accent4 4 2 2" xfId="2267"/>
    <cellStyle name="20% - Accent4 4 2 2 2" xfId="2268"/>
    <cellStyle name="20% - Accent4 4 2 2 2 2" xfId="2269"/>
    <cellStyle name="20% - Accent4 4 2 2 3" xfId="2270"/>
    <cellStyle name="20% - Accent4 4 2 2 4" xfId="2271"/>
    <cellStyle name="20% - Accent4 4 2 3" xfId="2272"/>
    <cellStyle name="20% - Accent4 4 2 3 2" xfId="2273"/>
    <cellStyle name="20% - Accent4 4 2 4" xfId="2274"/>
    <cellStyle name="20% - Accent4 4 2 4 2" xfId="2275"/>
    <cellStyle name="20% - Accent4 4 2 5" xfId="2276"/>
    <cellStyle name="20% - Accent4 4 2 6" xfId="2277"/>
    <cellStyle name="20% - Accent4 4 3" xfId="2278"/>
    <cellStyle name="20% - Accent4 4 3 2" xfId="2279"/>
    <cellStyle name="20% - Accent4 4 3 3" xfId="2280"/>
    <cellStyle name="20% - Accent4 4 3 3 2" xfId="2281"/>
    <cellStyle name="20% - Accent4 4 3 4" xfId="2282"/>
    <cellStyle name="20% - Accent4 4 4" xfId="2283"/>
    <cellStyle name="20% - Accent4 4 4 2" xfId="2284"/>
    <cellStyle name="20% - Accent4 4 4 2 2" xfId="2285"/>
    <cellStyle name="20% - Accent4 4 4 3" xfId="2286"/>
    <cellStyle name="20% - Accent4 4 4 4" xfId="2287"/>
    <cellStyle name="20% - Accent4 4 5" xfId="2288"/>
    <cellStyle name="20% - Accent4 4 5 2" xfId="2289"/>
    <cellStyle name="20% - Accent4 4 6" xfId="2290"/>
    <cellStyle name="20% - Accent4 4 6 2" xfId="2291"/>
    <cellStyle name="20% - Accent4 4 7" xfId="2292"/>
    <cellStyle name="20% - Accent4 4 7 2" xfId="2293"/>
    <cellStyle name="20% - Accent4 4 8" xfId="2294"/>
    <cellStyle name="20% - Accent4 4 9" xfId="2295"/>
    <cellStyle name="20% - Accent4 5" xfId="2296"/>
    <cellStyle name="20% - Accent4 5 10" xfId="2297"/>
    <cellStyle name="20% - Accent4 5 11" xfId="2298"/>
    <cellStyle name="20% - Accent4 5 2" xfId="2299"/>
    <cellStyle name="20% - Accent4 5 2 2" xfId="2300"/>
    <cellStyle name="20% - Accent4 5 2 2 2" xfId="2301"/>
    <cellStyle name="20% - Accent4 5 2 2 2 2" xfId="2302"/>
    <cellStyle name="20% - Accent4 5 2 2 2 2 2" xfId="2303"/>
    <cellStyle name="20% - Accent4 5 2 2 2 3" xfId="2304"/>
    <cellStyle name="20% - Accent4 5 2 2 2 3 2" xfId="2305"/>
    <cellStyle name="20% - Accent4 5 2 2 2 4" xfId="2306"/>
    <cellStyle name="20% - Accent4 5 2 2 2 4 2" xfId="2307"/>
    <cellStyle name="20% - Accent4 5 2 2 2 5" xfId="2308"/>
    <cellStyle name="20% - Accent4 5 2 2 3" xfId="2309"/>
    <cellStyle name="20% - Accent4 5 2 2 3 2" xfId="2310"/>
    <cellStyle name="20% - Accent4 5 2 2 3 2 2" xfId="2311"/>
    <cellStyle name="20% - Accent4 5 2 2 3 3" xfId="2312"/>
    <cellStyle name="20% - Accent4 5 2 2 3 3 2" xfId="2313"/>
    <cellStyle name="20% - Accent4 5 2 2 3 4" xfId="2314"/>
    <cellStyle name="20% - Accent4 5 2 2 4" xfId="2315"/>
    <cellStyle name="20% - Accent4 5 2 2 4 2" xfId="2316"/>
    <cellStyle name="20% - Accent4 5 2 2 4 2 2" xfId="2317"/>
    <cellStyle name="20% - Accent4 5 2 2 4 3" xfId="2318"/>
    <cellStyle name="20% - Accent4 5 2 2 4 3 2" xfId="2319"/>
    <cellStyle name="20% - Accent4 5 2 2 4 4" xfId="2320"/>
    <cellStyle name="20% - Accent4 5 2 2 5" xfId="2321"/>
    <cellStyle name="20% - Accent4 5 2 2 5 2" xfId="2322"/>
    <cellStyle name="20% - Accent4 5 2 2 5 2 2" xfId="2323"/>
    <cellStyle name="20% - Accent4 5 2 2 5 3" xfId="2324"/>
    <cellStyle name="20% - Accent4 5 2 2 5 3 2" xfId="2325"/>
    <cellStyle name="20% - Accent4 5 2 2 5 4" xfId="2326"/>
    <cellStyle name="20% - Accent4 5 2 2 6" xfId="2327"/>
    <cellStyle name="20% - Accent4 5 2 2 7" xfId="2328"/>
    <cellStyle name="20% - Accent4 5 2 3" xfId="2329"/>
    <cellStyle name="20% - Accent4 5 2 4" xfId="2330"/>
    <cellStyle name="20% - Accent4 5 2 5" xfId="2331"/>
    <cellStyle name="20% - Accent4 5 2 5 2" xfId="2332"/>
    <cellStyle name="20% - Accent4 5 2 6" xfId="2333"/>
    <cellStyle name="20% - Accent4 5 3" xfId="2334"/>
    <cellStyle name="20% - Accent4 5 3 2" xfId="2335"/>
    <cellStyle name="20% - Accent4 5 3 2 2" xfId="2336"/>
    <cellStyle name="20% - Accent4 5 3 3" xfId="2337"/>
    <cellStyle name="20% - Accent4 5 3 4" xfId="2338"/>
    <cellStyle name="20% - Accent4 5 3 5" xfId="2339"/>
    <cellStyle name="20% - Accent4 5 3 5 2" xfId="2340"/>
    <cellStyle name="20% - Accent4 5 3 6" xfId="2341"/>
    <cellStyle name="20% - Accent4 5 4" xfId="2342"/>
    <cellStyle name="20% - Accent4 5 4 2" xfId="2343"/>
    <cellStyle name="20% - Accent4 5 5" xfId="2344"/>
    <cellStyle name="20% - Accent4 5 5 2" xfId="2345"/>
    <cellStyle name="20% - Accent4 5 5 2 2" xfId="2346"/>
    <cellStyle name="20% - Accent4 5 5 2 2 2" xfId="2347"/>
    <cellStyle name="20% - Accent4 5 5 2 3" xfId="2348"/>
    <cellStyle name="20% - Accent4 5 5 2 3 2" xfId="2349"/>
    <cellStyle name="20% - Accent4 5 5 2 4" xfId="2350"/>
    <cellStyle name="20% - Accent4 5 5 2 4 2" xfId="2351"/>
    <cellStyle name="20% - Accent4 5 5 2 5" xfId="2352"/>
    <cellStyle name="20% - Accent4 5 5 3" xfId="2353"/>
    <cellStyle name="20% - Accent4 5 5 3 2" xfId="2354"/>
    <cellStyle name="20% - Accent4 5 5 3 2 2" xfId="2355"/>
    <cellStyle name="20% - Accent4 5 5 3 3" xfId="2356"/>
    <cellStyle name="20% - Accent4 5 5 3 3 2" xfId="2357"/>
    <cellStyle name="20% - Accent4 5 5 3 4" xfId="2358"/>
    <cellStyle name="20% - Accent4 5 5 4" xfId="2359"/>
    <cellStyle name="20% - Accent4 5 5 4 2" xfId="2360"/>
    <cellStyle name="20% - Accent4 5 5 4 2 2" xfId="2361"/>
    <cellStyle name="20% - Accent4 5 5 4 3" xfId="2362"/>
    <cellStyle name="20% - Accent4 5 5 4 3 2" xfId="2363"/>
    <cellStyle name="20% - Accent4 5 5 4 4" xfId="2364"/>
    <cellStyle name="20% - Accent4 5 5 5" xfId="2365"/>
    <cellStyle name="20% - Accent4 5 5 5 2" xfId="2366"/>
    <cellStyle name="20% - Accent4 5 5 5 2 2" xfId="2367"/>
    <cellStyle name="20% - Accent4 5 5 5 3" xfId="2368"/>
    <cellStyle name="20% - Accent4 5 5 5 3 2" xfId="2369"/>
    <cellStyle name="20% - Accent4 5 5 5 4" xfId="2370"/>
    <cellStyle name="20% - Accent4 5 5 6" xfId="2371"/>
    <cellStyle name="20% - Accent4 5 6" xfId="2372"/>
    <cellStyle name="20% - Accent4 5 6 2" xfId="2373"/>
    <cellStyle name="20% - Accent4 5 6 2 2" xfId="2374"/>
    <cellStyle name="20% - Accent4 5 6 2 2 2" xfId="2375"/>
    <cellStyle name="20% - Accent4 5 6 2 2 2 2" xfId="2376"/>
    <cellStyle name="20% - Accent4 5 6 2 2 3" xfId="2377"/>
    <cellStyle name="20% - Accent4 5 6 2 2 3 2" xfId="2378"/>
    <cellStyle name="20% - Accent4 5 6 2 2 4" xfId="2379"/>
    <cellStyle name="20% - Accent4 5 6 2 2 5" xfId="2380"/>
    <cellStyle name="20% - Accent4 5 6 2 3" xfId="2381"/>
    <cellStyle name="20% - Accent4 5 6 2 3 2" xfId="2382"/>
    <cellStyle name="20% - Accent4 5 6 2 3 2 2" xfId="2383"/>
    <cellStyle name="20% - Accent4 5 6 2 3 3" xfId="2384"/>
    <cellStyle name="20% - Accent4 5 6 2 4" xfId="2385"/>
    <cellStyle name="20% - Accent4 5 6 2 4 2" xfId="2386"/>
    <cellStyle name="20% - Accent4 5 6 2 5" xfId="2387"/>
    <cellStyle name="20% - Accent4 5 6 2 5 2" xfId="2388"/>
    <cellStyle name="20% - Accent4 5 6 2 6" xfId="2389"/>
    <cellStyle name="20% - Accent4 5 6 3" xfId="2390"/>
    <cellStyle name="20% - Accent4 5 6 3 2" xfId="2391"/>
    <cellStyle name="20% - Accent4 5 6 3 2 2" xfId="2392"/>
    <cellStyle name="20% - Accent4 5 6 3 2 2 2" xfId="2393"/>
    <cellStyle name="20% - Accent4 5 6 3 2 3" xfId="2394"/>
    <cellStyle name="20% - Accent4 5 6 3 2 3 2" xfId="2395"/>
    <cellStyle name="20% - Accent4 5 6 3 2 4" xfId="2396"/>
    <cellStyle name="20% - Accent4 5 6 3 2 5" xfId="2397"/>
    <cellStyle name="20% - Accent4 5 6 3 3" xfId="2398"/>
    <cellStyle name="20% - Accent4 5 6 3 3 2" xfId="2399"/>
    <cellStyle name="20% - Accent4 5 6 3 3 2 2" xfId="2400"/>
    <cellStyle name="20% - Accent4 5 6 3 3 3" xfId="2401"/>
    <cellStyle name="20% - Accent4 5 6 3 4" xfId="2402"/>
    <cellStyle name="20% - Accent4 5 6 3 4 2" xfId="2403"/>
    <cellStyle name="20% - Accent4 5 6 3 5" xfId="2404"/>
    <cellStyle name="20% - Accent4 5 6 3 5 2" xfId="2405"/>
    <cellStyle name="20% - Accent4 5 6 3 6" xfId="2406"/>
    <cellStyle name="20% - Accent4 5 6 4" xfId="2407"/>
    <cellStyle name="20% - Accent4 5 6 4 2" xfId="2408"/>
    <cellStyle name="20% - Accent4 5 6 4 2 2" xfId="2409"/>
    <cellStyle name="20% - Accent4 5 6 4 3" xfId="2410"/>
    <cellStyle name="20% - Accent4 5 6 4 3 2" xfId="2411"/>
    <cellStyle name="20% - Accent4 5 6 4 4" xfId="2412"/>
    <cellStyle name="20% - Accent4 5 6 5" xfId="2413"/>
    <cellStyle name="20% - Accent4 5 6 5 2" xfId="2414"/>
    <cellStyle name="20% - Accent4 5 6 5 3" xfId="2415"/>
    <cellStyle name="20% - Accent4 5 6 6" xfId="2416"/>
    <cellStyle name="20% - Accent4 5 6 6 2" xfId="2417"/>
    <cellStyle name="20% - Accent4 5 6 6 3" xfId="2418"/>
    <cellStyle name="20% - Accent4 5 6 7" xfId="2419"/>
    <cellStyle name="20% - Accent4 5 6 7 2" xfId="2420"/>
    <cellStyle name="20% - Accent4 5 6 7 3" xfId="2421"/>
    <cellStyle name="20% - Accent4 5 6 8" xfId="2422"/>
    <cellStyle name="20% - Accent4 5 7" xfId="2423"/>
    <cellStyle name="20% - Accent4 5 7 2" xfId="2424"/>
    <cellStyle name="20% - Accent4 5 7 2 2" xfId="2425"/>
    <cellStyle name="20% - Accent4 5 7 2 2 2" xfId="2426"/>
    <cellStyle name="20% - Accent4 5 7 2 3" xfId="2427"/>
    <cellStyle name="20% - Accent4 5 7 2 3 2" xfId="2428"/>
    <cellStyle name="20% - Accent4 5 7 2 4" xfId="2429"/>
    <cellStyle name="20% - Accent4 5 7 2 4 2" xfId="2430"/>
    <cellStyle name="20% - Accent4 5 7 2 5" xfId="2431"/>
    <cellStyle name="20% - Accent4 5 7 3" xfId="2432"/>
    <cellStyle name="20% - Accent4 5 7 3 2" xfId="2433"/>
    <cellStyle name="20% - Accent4 5 7 3 2 2" xfId="2434"/>
    <cellStyle name="20% - Accent4 5 7 3 3" xfId="2435"/>
    <cellStyle name="20% - Accent4 5 7 3 3 2" xfId="2436"/>
    <cellStyle name="20% - Accent4 5 7 3 4" xfId="2437"/>
    <cellStyle name="20% - Accent4 5 7 4" xfId="2438"/>
    <cellStyle name="20% - Accent4 5 7 4 2" xfId="2439"/>
    <cellStyle name="20% - Accent4 5 7 5" xfId="2440"/>
    <cellStyle name="20% - Accent4 5 7 5 2" xfId="2441"/>
    <cellStyle name="20% - Accent4 5 7 6" xfId="2442"/>
    <cellStyle name="20% - Accent4 5 7 7" xfId="2443"/>
    <cellStyle name="20% - Accent4 5 8" xfId="2444"/>
    <cellStyle name="20% - Accent4 5 8 2" xfId="2445"/>
    <cellStyle name="20% - Accent4 5 8 2 2" xfId="2446"/>
    <cellStyle name="20% - Accent4 5 8 2 2 2" xfId="2447"/>
    <cellStyle name="20% - Accent4 5 8 2 3" xfId="2448"/>
    <cellStyle name="20% - Accent4 5 8 2 3 2" xfId="2449"/>
    <cellStyle name="20% - Accent4 5 8 2 4" xfId="2450"/>
    <cellStyle name="20% - Accent4 5 8 3" xfId="2451"/>
    <cellStyle name="20% - Accent4 5 8 3 2" xfId="2452"/>
    <cellStyle name="20% - Accent4 5 8 4" xfId="2453"/>
    <cellStyle name="20% - Accent4 5 9" xfId="2454"/>
    <cellStyle name="20% - Accent4 5 9 2" xfId="2455"/>
    <cellStyle name="20% - Accent4 6" xfId="2456"/>
    <cellStyle name="20% - Accent4 6 10" xfId="2457"/>
    <cellStyle name="20% - Accent4 6 2" xfId="2458"/>
    <cellStyle name="20% - Accent4 6 2 2" xfId="2459"/>
    <cellStyle name="20% - Accent4 6 2 2 2" xfId="2460"/>
    <cellStyle name="20% - Accent4 6 2 3" xfId="2461"/>
    <cellStyle name="20% - Accent4 6 2 4" xfId="2462"/>
    <cellStyle name="20% - Accent4 6 2 5" xfId="2463"/>
    <cellStyle name="20% - Accent4 6 2 5 2" xfId="2464"/>
    <cellStyle name="20% - Accent4 6 2 5 2 2" xfId="2465"/>
    <cellStyle name="20% - Accent4 6 2 5 3" xfId="2466"/>
    <cellStyle name="20% - Accent4 6 2 5 3 2" xfId="2467"/>
    <cellStyle name="20% - Accent4 6 2 5 4" xfId="2468"/>
    <cellStyle name="20% - Accent4 6 2 5 5" xfId="2469"/>
    <cellStyle name="20% - Accent4 6 2 6" xfId="2470"/>
    <cellStyle name="20% - Accent4 6 2 6 2" xfId="2471"/>
    <cellStyle name="20% - Accent4 6 2 7" xfId="2472"/>
    <cellStyle name="20% - Accent4 6 2 7 2" xfId="2473"/>
    <cellStyle name="20% - Accent4 6 2 8" xfId="2474"/>
    <cellStyle name="20% - Accent4 6 2 8 2" xfId="2475"/>
    <cellStyle name="20% - Accent4 6 2 9" xfId="2476"/>
    <cellStyle name="20% - Accent4 6 3" xfId="2477"/>
    <cellStyle name="20% - Accent4 6 3 2" xfId="2478"/>
    <cellStyle name="20% - Accent4 6 3 3" xfId="2479"/>
    <cellStyle name="20% - Accent4 6 3 4" xfId="2480"/>
    <cellStyle name="20% - Accent4 6 3 4 2" xfId="2481"/>
    <cellStyle name="20% - Accent4 6 3 5" xfId="2482"/>
    <cellStyle name="20% - Accent4 6 3 5 2" xfId="2483"/>
    <cellStyle name="20% - Accent4 6 4" xfId="2484"/>
    <cellStyle name="20% - Accent4 6 4 2" xfId="2485"/>
    <cellStyle name="20% - Accent4 6 4 2 2" xfId="2486"/>
    <cellStyle name="20% - Accent4 6 4 2 2 2" xfId="2487"/>
    <cellStyle name="20% - Accent4 6 4 2 2 2 2" xfId="2488"/>
    <cellStyle name="20% - Accent4 6 4 2 2 3" xfId="2489"/>
    <cellStyle name="20% - Accent4 6 4 2 2 3 2" xfId="2490"/>
    <cellStyle name="20% - Accent4 6 4 2 2 4" xfId="2491"/>
    <cellStyle name="20% - Accent4 6 4 2 2 5" xfId="2492"/>
    <cellStyle name="20% - Accent4 6 4 2 3" xfId="2493"/>
    <cellStyle name="20% - Accent4 6 4 2 3 2" xfId="2494"/>
    <cellStyle name="20% - Accent4 6 4 2 3 2 2" xfId="2495"/>
    <cellStyle name="20% - Accent4 6 4 2 3 3" xfId="2496"/>
    <cellStyle name="20% - Accent4 6 4 2 4" xfId="2497"/>
    <cellStyle name="20% - Accent4 6 4 2 4 2" xfId="2498"/>
    <cellStyle name="20% - Accent4 6 4 2 5" xfId="2499"/>
    <cellStyle name="20% - Accent4 6 4 2 5 2" xfId="2500"/>
    <cellStyle name="20% - Accent4 6 4 2 6" xfId="2501"/>
    <cellStyle name="20% - Accent4 6 4 3" xfId="2502"/>
    <cellStyle name="20% - Accent4 6 4 3 2" xfId="2503"/>
    <cellStyle name="20% - Accent4 6 4 3 2 2" xfId="2504"/>
    <cellStyle name="20% - Accent4 6 4 3 3" xfId="2505"/>
    <cellStyle name="20% - Accent4 6 4 3 3 2" xfId="2506"/>
    <cellStyle name="20% - Accent4 6 4 3 4" xfId="2507"/>
    <cellStyle name="20% - Accent4 6 4 4" xfId="2508"/>
    <cellStyle name="20% - Accent4 6 4 4 2" xfId="2509"/>
    <cellStyle name="20% - Accent4 6 4 4 3" xfId="2510"/>
    <cellStyle name="20% - Accent4 6 4 5" xfId="2511"/>
    <cellStyle name="20% - Accent4 6 4 5 2" xfId="2512"/>
    <cellStyle name="20% - Accent4 6 4 5 3" xfId="2513"/>
    <cellStyle name="20% - Accent4 6 4 6" xfId="2514"/>
    <cellStyle name="20% - Accent4 6 4 6 2" xfId="2515"/>
    <cellStyle name="20% - Accent4 6 4 6 3" xfId="2516"/>
    <cellStyle name="20% - Accent4 6 4 7" xfId="2517"/>
    <cellStyle name="20% - Accent4 6 4 8" xfId="2518"/>
    <cellStyle name="20% - Accent4 6 5" xfId="2519"/>
    <cellStyle name="20% - Accent4 6 5 2" xfId="2520"/>
    <cellStyle name="20% - Accent4 6 5 2 2" xfId="2521"/>
    <cellStyle name="20% - Accent4 6 5 2 2 2" xfId="2522"/>
    <cellStyle name="20% - Accent4 6 5 2 3" xfId="2523"/>
    <cellStyle name="20% - Accent4 6 5 2 3 2" xfId="2524"/>
    <cellStyle name="20% - Accent4 6 5 2 4" xfId="2525"/>
    <cellStyle name="20% - Accent4 6 5 3" xfId="2526"/>
    <cellStyle name="20% - Accent4 6 5 3 2" xfId="2527"/>
    <cellStyle name="20% - Accent4 6 5 3 3" xfId="2528"/>
    <cellStyle name="20% - Accent4 6 5 4" xfId="2529"/>
    <cellStyle name="20% - Accent4 6 5 4 2" xfId="2530"/>
    <cellStyle name="20% - Accent4 6 5 4 3" xfId="2531"/>
    <cellStyle name="20% - Accent4 6 5 5" xfId="2532"/>
    <cellStyle name="20% - Accent4 6 5 5 2" xfId="2533"/>
    <cellStyle name="20% - Accent4 6 5 5 3" xfId="2534"/>
    <cellStyle name="20% - Accent4 6 5 6" xfId="2535"/>
    <cellStyle name="20% - Accent4 6 6" xfId="2536"/>
    <cellStyle name="20% - Accent4 6 7" xfId="2537"/>
    <cellStyle name="20% - Accent4 6 7 2" xfId="2538"/>
    <cellStyle name="20% - Accent4 6 7 2 2" xfId="2539"/>
    <cellStyle name="20% - Accent4 6 7 3" xfId="2540"/>
    <cellStyle name="20% - Accent4 6 7 3 2" xfId="2541"/>
    <cellStyle name="20% - Accent4 6 7 4" xfId="2542"/>
    <cellStyle name="20% - Accent4 6 7 5" xfId="2543"/>
    <cellStyle name="20% - Accent4 6 8" xfId="2544"/>
    <cellStyle name="20% - Accent4 6 8 2" xfId="2545"/>
    <cellStyle name="20% - Accent4 6 8 2 2" xfId="2546"/>
    <cellStyle name="20% - Accent4 6 8 3" xfId="2547"/>
    <cellStyle name="20% - Accent4 6 9" xfId="2548"/>
    <cellStyle name="20% - Accent4 6 9 2" xfId="2549"/>
    <cellStyle name="20% - Accent4 7" xfId="2550"/>
    <cellStyle name="20% - Accent4 7 2" xfId="2551"/>
    <cellStyle name="20% - Accent4 7 2 2" xfId="2552"/>
    <cellStyle name="20% - Accent4 7 2 2 2" xfId="2553"/>
    <cellStyle name="20% - Accent4 7 2 2 2 2" xfId="2554"/>
    <cellStyle name="20% - Accent4 7 2 2 3" xfId="2555"/>
    <cellStyle name="20% - Accent4 7 2 2 3 2" xfId="2556"/>
    <cellStyle name="20% - Accent4 7 2 2 4" xfId="2557"/>
    <cellStyle name="20% - Accent4 7 2 3" xfId="2558"/>
    <cellStyle name="20% - Accent4 7 2 3 2" xfId="2559"/>
    <cellStyle name="20% - Accent4 7 2 3 2 2" xfId="2560"/>
    <cellStyle name="20% - Accent4 7 2 3 3" xfId="2561"/>
    <cellStyle name="20% - Accent4 7 2 4" xfId="2562"/>
    <cellStyle name="20% - Accent4 7 2 4 2" xfId="2563"/>
    <cellStyle name="20% - Accent4 7 2 4 2 2" xfId="2564"/>
    <cellStyle name="20% - Accent4 7 2 4 3" xfId="2565"/>
    <cellStyle name="20% - Accent4 7 2 4 3 2" xfId="2566"/>
    <cellStyle name="20% - Accent4 7 2 4 4" xfId="2567"/>
    <cellStyle name="20% - Accent4 7 2 5" xfId="2568"/>
    <cellStyle name="20% - Accent4 7 2 5 2" xfId="2569"/>
    <cellStyle name="20% - Accent4 7 2 5 2 2" xfId="2570"/>
    <cellStyle name="20% - Accent4 7 2 6" xfId="2571"/>
    <cellStyle name="20% - Accent4 7 3" xfId="2572"/>
    <cellStyle name="20% - Accent4 7 3 2" xfId="2573"/>
    <cellStyle name="20% - Accent4 7 3 2 2" xfId="2574"/>
    <cellStyle name="20% - Accent4 7 3 2 2 2" xfId="2575"/>
    <cellStyle name="20% - Accent4 7 3 2 3" xfId="2576"/>
    <cellStyle name="20% - Accent4 7 3 2 3 2" xfId="2577"/>
    <cellStyle name="20% - Accent4 7 3 2 4" xfId="2578"/>
    <cellStyle name="20% - Accent4 7 3 3" xfId="2579"/>
    <cellStyle name="20% - Accent4 7 3 3 2" xfId="2580"/>
    <cellStyle name="20% - Accent4 7 3 3 2 2" xfId="2581"/>
    <cellStyle name="20% - Accent4 7 3 3 3" xfId="2582"/>
    <cellStyle name="20% - Accent4 7 3 3 3 2" xfId="2583"/>
    <cellStyle name="20% - Accent4 7 3 3 4" xfId="2584"/>
    <cellStyle name="20% - Accent4 7 3 4" xfId="2585"/>
    <cellStyle name="20% - Accent4 7 4" xfId="2586"/>
    <cellStyle name="20% - Accent4 7 4 2" xfId="2587"/>
    <cellStyle name="20% - Accent4 7 4 2 2" xfId="2588"/>
    <cellStyle name="20% - Accent4 7 4 3" xfId="2589"/>
    <cellStyle name="20% - Accent4 7 4 3 2" xfId="2590"/>
    <cellStyle name="20% - Accent4 7 4 4" xfId="2591"/>
    <cellStyle name="20% - Accent4 7 4 4 2" xfId="2592"/>
    <cellStyle name="20% - Accent4 7 4 5" xfId="2593"/>
    <cellStyle name="20% - Accent4 7 5" xfId="2594"/>
    <cellStyle name="20% - Accent4 7 5 2" xfId="2595"/>
    <cellStyle name="20% - Accent4 7 5 2 2" xfId="2596"/>
    <cellStyle name="20% - Accent4 7 5 2 2 2" xfId="2597"/>
    <cellStyle name="20% - Accent4 7 5 3" xfId="2598"/>
    <cellStyle name="20% - Accent4 7 5 3 2" xfId="2599"/>
    <cellStyle name="20% - Accent4 7 5 4" xfId="2600"/>
    <cellStyle name="20% - Accent4 7 6" xfId="2601"/>
    <cellStyle name="20% - Accent4 7 6 2" xfId="2602"/>
    <cellStyle name="20% - Accent4 7 7" xfId="2603"/>
    <cellStyle name="20% - Accent4 7 7 2" xfId="2604"/>
    <cellStyle name="20% - Accent4 7 8" xfId="2605"/>
    <cellStyle name="20% - Accent4 7 8 2" xfId="2606"/>
    <cellStyle name="20% - Accent4 7 9" xfId="2607"/>
    <cellStyle name="20% - Accent4 8" xfId="2608"/>
    <cellStyle name="20% - Accent4 8 2" xfId="2609"/>
    <cellStyle name="20% - Accent4 8 2 2" xfId="2610"/>
    <cellStyle name="20% - Accent4 8 2 2 2" xfId="2611"/>
    <cellStyle name="20% - Accent4 8 2 2 2 2" xfId="2612"/>
    <cellStyle name="20% - Accent4 8 2 2 3" xfId="2613"/>
    <cellStyle name="20% - Accent4 8 2 2 3 2" xfId="2614"/>
    <cellStyle name="20% - Accent4 8 2 2 4" xfId="2615"/>
    <cellStyle name="20% - Accent4 8 2 3" xfId="2616"/>
    <cellStyle name="20% - Accent4 8 2 3 2" xfId="2617"/>
    <cellStyle name="20% - Accent4 8 2 3 2 2" xfId="2618"/>
    <cellStyle name="20% - Accent4 8 2 3 3" xfId="2619"/>
    <cellStyle name="20% - Accent4 8 2 4" xfId="2620"/>
    <cellStyle name="20% - Accent4 8 2 4 2" xfId="2621"/>
    <cellStyle name="20% - Accent4 8 2 4 2 2" xfId="2622"/>
    <cellStyle name="20% - Accent4 8 2 4 3" xfId="2623"/>
    <cellStyle name="20% - Accent4 8 2 4 3 2" xfId="2624"/>
    <cellStyle name="20% - Accent4 8 2 4 4" xfId="2625"/>
    <cellStyle name="20% - Accent4 8 2 5" xfId="2626"/>
    <cellStyle name="20% - Accent4 8 2 5 2" xfId="2627"/>
    <cellStyle name="20% - Accent4 8 2 6" xfId="2628"/>
    <cellStyle name="20% - Accent4 8 3" xfId="2629"/>
    <cellStyle name="20% - Accent4 8 3 2" xfId="2630"/>
    <cellStyle name="20% - Accent4 8 3 2 2" xfId="2631"/>
    <cellStyle name="20% - Accent4 8 3 2 2 2" xfId="2632"/>
    <cellStyle name="20% - Accent4 8 3 2 3" xfId="2633"/>
    <cellStyle name="20% - Accent4 8 3 2 3 2" xfId="2634"/>
    <cellStyle name="20% - Accent4 8 3 2 4" xfId="2635"/>
    <cellStyle name="20% - Accent4 8 3 3" xfId="2636"/>
    <cellStyle name="20% - Accent4 8 3 3 2" xfId="2637"/>
    <cellStyle name="20% - Accent4 8 3 3 2 2" xfId="2638"/>
    <cellStyle name="20% - Accent4 8 3 3 3" xfId="2639"/>
    <cellStyle name="20% - Accent4 8 3 3 3 2" xfId="2640"/>
    <cellStyle name="20% - Accent4 8 3 3 4" xfId="2641"/>
    <cellStyle name="20% - Accent4 8 3 4" xfId="2642"/>
    <cellStyle name="20% - Accent4 8 3 4 2" xfId="2643"/>
    <cellStyle name="20% - Accent4 8 3 5" xfId="2644"/>
    <cellStyle name="20% - Accent4 8 3 5 2" xfId="2645"/>
    <cellStyle name="20% - Accent4 8 3 6" xfId="2646"/>
    <cellStyle name="20% - Accent4 8 4" xfId="2647"/>
    <cellStyle name="20% - Accent4 8 4 2" xfId="2648"/>
    <cellStyle name="20% - Accent4 8 4 2 2" xfId="2649"/>
    <cellStyle name="20% - Accent4 8 4 3" xfId="2650"/>
    <cellStyle name="20% - Accent4 8 5" xfId="2651"/>
    <cellStyle name="20% - Accent4 8 5 2" xfId="2652"/>
    <cellStyle name="20% - Accent4 8 6" xfId="2653"/>
    <cellStyle name="20% - Accent4 8 6 2" xfId="2654"/>
    <cellStyle name="20% - Accent4 8 7" xfId="2655"/>
    <cellStyle name="20% - Accent4 9" xfId="2656"/>
    <cellStyle name="20% - Accent4 9 2" xfId="2657"/>
    <cellStyle name="20% - Accent4 9 2 2" xfId="2658"/>
    <cellStyle name="20% - Accent4 9 2 2 2" xfId="2659"/>
    <cellStyle name="20% - Accent4 9 2 3" xfId="2660"/>
    <cellStyle name="20% - Accent4 9 2 3 2" xfId="2661"/>
    <cellStyle name="20% - Accent4 9 2 4" xfId="2662"/>
    <cellStyle name="20% - Accent4 9 2 4 2" xfId="2663"/>
    <cellStyle name="20% - Accent4 9 2 5" xfId="2664"/>
    <cellStyle name="20% - Accent4 9 3" xfId="2665"/>
    <cellStyle name="20% - Accent4 9 3 2" xfId="2666"/>
    <cellStyle name="20% - Accent4 9 3 2 2" xfId="2667"/>
    <cellStyle name="20% - Accent4 9 3 3" xfId="2668"/>
    <cellStyle name="20% - Accent4 9 3 3 2" xfId="2669"/>
    <cellStyle name="20% - Accent4 9 3 4" xfId="2670"/>
    <cellStyle name="20% - Accent4 9 4" xfId="2671"/>
    <cellStyle name="20% - Accent4 9 4 2" xfId="2672"/>
    <cellStyle name="20% - Accent4 9 4 2 2" xfId="2673"/>
    <cellStyle name="20% - Accent4 9 4 3" xfId="2674"/>
    <cellStyle name="20% - Accent4 9 5" xfId="2675"/>
    <cellStyle name="20% - Accent4 9 5 2" xfId="2676"/>
    <cellStyle name="20% - Accent4 9 6" xfId="2677"/>
    <cellStyle name="20% - Accent4 9 7" xfId="2678"/>
    <cellStyle name="20% - Accent5 10" xfId="2679"/>
    <cellStyle name="20% - Accent5 10 2" xfId="2680"/>
    <cellStyle name="20% - Accent5 10 2 2" xfId="2681"/>
    <cellStyle name="20% - Accent5 10 2 2 2" xfId="2682"/>
    <cellStyle name="20% - Accent5 10 2 3" xfId="2683"/>
    <cellStyle name="20% - Accent5 10 2 3 2" xfId="2684"/>
    <cellStyle name="20% - Accent5 10 2 4" xfId="2685"/>
    <cellStyle name="20% - Accent5 10 2 4 2" xfId="2686"/>
    <cellStyle name="20% - Accent5 10 2 5" xfId="2687"/>
    <cellStyle name="20% - Accent5 10 3" xfId="2688"/>
    <cellStyle name="20% - Accent5 10 3 2" xfId="2689"/>
    <cellStyle name="20% - Accent5 10 3 2 2" xfId="2690"/>
    <cellStyle name="20% - Accent5 10 3 3" xfId="2691"/>
    <cellStyle name="20% - Accent5 10 4" xfId="2692"/>
    <cellStyle name="20% - Accent5 10 4 2" xfId="2693"/>
    <cellStyle name="20% - Accent5 10 5" xfId="2694"/>
    <cellStyle name="20% - Accent5 10 5 2" xfId="2695"/>
    <cellStyle name="20% - Accent5 10 6" xfId="2696"/>
    <cellStyle name="20% - Accent5 10 7" xfId="2697"/>
    <cellStyle name="20% - Accent5 11" xfId="2698"/>
    <cellStyle name="20% - Accent5 11 2" xfId="2699"/>
    <cellStyle name="20% - Accent5 11 2 2" xfId="2700"/>
    <cellStyle name="20% - Accent5 11 3" xfId="2701"/>
    <cellStyle name="20% - Accent5 12" xfId="2702"/>
    <cellStyle name="20% - Accent5 12 2" xfId="2703"/>
    <cellStyle name="20% - Accent5 13" xfId="2704"/>
    <cellStyle name="20% - Accent5 13 2" xfId="2705"/>
    <cellStyle name="20% - Accent5 14" xfId="2706"/>
    <cellStyle name="20% - Accent5 14 2" xfId="2707"/>
    <cellStyle name="20% - Accent5 14 3" xfId="2708"/>
    <cellStyle name="20% - Accent5 15" xfId="2709"/>
    <cellStyle name="20% - Accent5 15 2" xfId="2710"/>
    <cellStyle name="20% - Accent5 16" xfId="2711"/>
    <cellStyle name="20% - Accent5 16 2" xfId="2712"/>
    <cellStyle name="20% - Accent5 17" xfId="2713"/>
    <cellStyle name="20% - Accent5 17 2" xfId="2714"/>
    <cellStyle name="20% - Accent5 18" xfId="2715"/>
    <cellStyle name="20% - Accent5 19" xfId="2716"/>
    <cellStyle name="20% - Accent5 2" xfId="2717"/>
    <cellStyle name="20% - Accent5 2 10" xfId="2718"/>
    <cellStyle name="20% - Accent5 2 10 2" xfId="2719"/>
    <cellStyle name="20% - Accent5 2 11" xfId="2720"/>
    <cellStyle name="20% - Accent5 2 12" xfId="2721"/>
    <cellStyle name="20% - Accent5 2 12 2" xfId="2722"/>
    <cellStyle name="20% - Accent5 2 12 2 2" xfId="2723"/>
    <cellStyle name="20% - Accent5 2 12 2 2 2" xfId="2724"/>
    <cellStyle name="20% - Accent5 2 12 2 3" xfId="2725"/>
    <cellStyle name="20% - Accent5 2 12 3" xfId="2726"/>
    <cellStyle name="20% - Accent5 2 12 3 2" xfId="2727"/>
    <cellStyle name="20% - Accent5 2 12 4" xfId="2728"/>
    <cellStyle name="20% - Accent5 2 12 4 2" xfId="2729"/>
    <cellStyle name="20% - Accent5 2 12 4 3" xfId="2730"/>
    <cellStyle name="20% - Accent5 2 13" xfId="2731"/>
    <cellStyle name="20% - Accent5 2 13 2" xfId="2732"/>
    <cellStyle name="20% - Accent5 2 13 3" xfId="2733"/>
    <cellStyle name="20% - Accent5 2 14" xfId="2734"/>
    <cellStyle name="20% - Accent5 2 14 2" xfId="2735"/>
    <cellStyle name="20% - Accent5 2 15" xfId="2736"/>
    <cellStyle name="20% - Accent5 2 15 2" xfId="2737"/>
    <cellStyle name="20% - Accent5 2 16" xfId="2738"/>
    <cellStyle name="20% - Accent5 2 17" xfId="2739"/>
    <cellStyle name="20% - Accent5 2 2" xfId="2740"/>
    <cellStyle name="20% - Accent5 2 2 2" xfId="2741"/>
    <cellStyle name="20% - Accent5 2 2 2 2" xfId="2742"/>
    <cellStyle name="20% - Accent5 2 2 2 2 2" xfId="2743"/>
    <cellStyle name="20% - Accent5 2 2 2 2 3" xfId="2744"/>
    <cellStyle name="20% - Accent5 2 2 2 3" xfId="2745"/>
    <cellStyle name="20% - Accent5 2 2 2 3 2" xfId="2746"/>
    <cellStyle name="20% - Accent5 2 2 2 4" xfId="2747"/>
    <cellStyle name="20% - Accent5 2 2 2 5" xfId="2748"/>
    <cellStyle name="20% - Accent5 2 2 3" xfId="2749"/>
    <cellStyle name="20% - Accent5 2 2 3 2" xfId="2750"/>
    <cellStyle name="20% - Accent5 2 2 3 2 2" xfId="2751"/>
    <cellStyle name="20% - Accent5 2 2 3 2 3" xfId="2752"/>
    <cellStyle name="20% - Accent5 2 2 3 3" xfId="2753"/>
    <cellStyle name="20% - Accent5 2 2 3 3 2" xfId="2754"/>
    <cellStyle name="20% - Accent5 2 2 3 4" xfId="2755"/>
    <cellStyle name="20% - Accent5 2 2 3 5" xfId="2756"/>
    <cellStyle name="20% - Accent5 2 2 4" xfId="2757"/>
    <cellStyle name="20% - Accent5 2 2 4 2" xfId="2758"/>
    <cellStyle name="20% - Accent5 2 2 4 2 2" xfId="2759"/>
    <cellStyle name="20% - Accent5 2 2 4 3" xfId="2760"/>
    <cellStyle name="20% - Accent5 2 2 4 4" xfId="2761"/>
    <cellStyle name="20% - Accent5 2 2 5" xfId="2762"/>
    <cellStyle name="20% - Accent5 2 2 5 2" xfId="2763"/>
    <cellStyle name="20% - Accent5 2 2 6" xfId="2764"/>
    <cellStyle name="20% - Accent5 2 2 6 2" xfId="2765"/>
    <cellStyle name="20% - Accent5 2 2 7" xfId="2766"/>
    <cellStyle name="20% - Accent5 2 2 8" xfId="2767"/>
    <cellStyle name="20% - Accent5 2 3" xfId="2768"/>
    <cellStyle name="20% - Accent5 2 3 2" xfId="2769"/>
    <cellStyle name="20% - Accent5 2 3 2 2" xfId="2770"/>
    <cellStyle name="20% - Accent5 2 3 2 2 2" xfId="2771"/>
    <cellStyle name="20% - Accent5 2 3 2 2 3" xfId="2772"/>
    <cellStyle name="20% - Accent5 2 3 2 3" xfId="2773"/>
    <cellStyle name="20% - Accent5 2 3 2 3 2" xfId="2774"/>
    <cellStyle name="20% - Accent5 2 3 2 4" xfId="2775"/>
    <cellStyle name="20% - Accent5 2 3 2 5" xfId="2776"/>
    <cellStyle name="20% - Accent5 2 3 3" xfId="2777"/>
    <cellStyle name="20% - Accent5 2 3 3 2" xfId="2778"/>
    <cellStyle name="20% - Accent5 2 3 3 2 2" xfId="2779"/>
    <cellStyle name="20% - Accent5 2 3 3 3" xfId="2780"/>
    <cellStyle name="20% - Accent5 2 3 3 4" xfId="2781"/>
    <cellStyle name="20% - Accent5 2 3 4" xfId="2782"/>
    <cellStyle name="20% - Accent5 2 3 5" xfId="2783"/>
    <cellStyle name="20% - Accent5 2 3 5 2" xfId="2784"/>
    <cellStyle name="20% - Accent5 2 3 6" xfId="2785"/>
    <cellStyle name="20% - Accent5 2 3 7" xfId="2786"/>
    <cellStyle name="20% - Accent5 2 4" xfId="2787"/>
    <cellStyle name="20% - Accent5 2 4 2" xfId="2788"/>
    <cellStyle name="20% - Accent5 2 4 2 2" xfId="2789"/>
    <cellStyle name="20% - Accent5 2 4 2 2 2" xfId="2790"/>
    <cellStyle name="20% - Accent5 2 4 2 3" xfId="2791"/>
    <cellStyle name="20% - Accent5 2 4 2 4" xfId="2792"/>
    <cellStyle name="20% - Accent5 2 4 3" xfId="2793"/>
    <cellStyle name="20% - Accent5 2 4 3 2" xfId="2794"/>
    <cellStyle name="20% - Accent5 2 4 4" xfId="2795"/>
    <cellStyle name="20% - Accent5 2 4 4 2" xfId="2796"/>
    <cellStyle name="20% - Accent5 2 4 5" xfId="2797"/>
    <cellStyle name="20% - Accent5 2 4 6" xfId="2798"/>
    <cellStyle name="20% - Accent5 2 5" xfId="2799"/>
    <cellStyle name="20% - Accent5 2 5 2" xfId="2800"/>
    <cellStyle name="20% - Accent5 2 5 2 2" xfId="2801"/>
    <cellStyle name="20% - Accent5 2 5 3" xfId="2802"/>
    <cellStyle name="20% - Accent5 2 5 4" xfId="2803"/>
    <cellStyle name="20% - Accent5 2 6" xfId="2804"/>
    <cellStyle name="20% - Accent5 2 6 10" xfId="2805"/>
    <cellStyle name="20% - Accent5 2 6 2" xfId="2806"/>
    <cellStyle name="20% - Accent5 2 6 2 2" xfId="2807"/>
    <cellStyle name="20% - Accent5 2 6 2 2 2" xfId="2808"/>
    <cellStyle name="20% - Accent5 2 6 2 2 2 2" xfId="2809"/>
    <cellStyle name="20% - Accent5 2 6 2 2 3" xfId="2810"/>
    <cellStyle name="20% - Accent5 2 6 2 2 3 2" xfId="2811"/>
    <cellStyle name="20% - Accent5 2 6 2 2 4" xfId="2812"/>
    <cellStyle name="20% - Accent5 2 6 2 2 5" xfId="2813"/>
    <cellStyle name="20% - Accent5 2 6 2 3" xfId="2814"/>
    <cellStyle name="20% - Accent5 2 6 2 3 2" xfId="2815"/>
    <cellStyle name="20% - Accent5 2 6 2 3 2 2" xfId="2816"/>
    <cellStyle name="20% - Accent5 2 6 2 3 3" xfId="2817"/>
    <cellStyle name="20% - Accent5 2 6 2 4" xfId="2818"/>
    <cellStyle name="20% - Accent5 2 6 2 4 2" xfId="2819"/>
    <cellStyle name="20% - Accent5 2 6 2 5" xfId="2820"/>
    <cellStyle name="20% - Accent5 2 6 2 5 2" xfId="2821"/>
    <cellStyle name="20% - Accent5 2 6 2 6" xfId="2822"/>
    <cellStyle name="20% - Accent5 2 6 3" xfId="2823"/>
    <cellStyle name="20% - Accent5 2 6 3 2" xfId="2824"/>
    <cellStyle name="20% - Accent5 2 6 3 2 2" xfId="2825"/>
    <cellStyle name="20% - Accent5 2 6 3 2 2 2" xfId="2826"/>
    <cellStyle name="20% - Accent5 2 6 3 2 3" xfId="2827"/>
    <cellStyle name="20% - Accent5 2 6 3 2 3 2" xfId="2828"/>
    <cellStyle name="20% - Accent5 2 6 3 2 4" xfId="2829"/>
    <cellStyle name="20% - Accent5 2 6 3 2 5" xfId="2830"/>
    <cellStyle name="20% - Accent5 2 6 3 3" xfId="2831"/>
    <cellStyle name="20% - Accent5 2 6 3 3 2" xfId="2832"/>
    <cellStyle name="20% - Accent5 2 6 3 3 2 2" xfId="2833"/>
    <cellStyle name="20% - Accent5 2 6 3 3 3" xfId="2834"/>
    <cellStyle name="20% - Accent5 2 6 3 4" xfId="2835"/>
    <cellStyle name="20% - Accent5 2 6 3 4 2" xfId="2836"/>
    <cellStyle name="20% - Accent5 2 6 3 5" xfId="2837"/>
    <cellStyle name="20% - Accent5 2 6 3 5 2" xfId="2838"/>
    <cellStyle name="20% - Accent5 2 6 3 6" xfId="2839"/>
    <cellStyle name="20% - Accent5 2 6 4" xfId="2840"/>
    <cellStyle name="20% - Accent5 2 6 4 2" xfId="2841"/>
    <cellStyle name="20% - Accent5 2 6 4 2 2" xfId="2842"/>
    <cellStyle name="20% - Accent5 2 6 4 2 2 2" xfId="2843"/>
    <cellStyle name="20% - Accent5 2 6 4 2 3" xfId="2844"/>
    <cellStyle name="20% - Accent5 2 6 4 3" xfId="2845"/>
    <cellStyle name="20% - Accent5 2 6 4 3 2" xfId="2846"/>
    <cellStyle name="20% - Accent5 2 6 4 4" xfId="2847"/>
    <cellStyle name="20% - Accent5 2 6 4 4 2" xfId="2848"/>
    <cellStyle name="20% - Accent5 2 6 4 5" xfId="2849"/>
    <cellStyle name="20% - Accent5 2 6 5" xfId="2850"/>
    <cellStyle name="20% - Accent5 2 6 5 2" xfId="2851"/>
    <cellStyle name="20% - Accent5 2 6 5 2 2" xfId="2852"/>
    <cellStyle name="20% - Accent5 2 6 5 3" xfId="2853"/>
    <cellStyle name="20% - Accent5 2 6 5 3 2" xfId="2854"/>
    <cellStyle name="20% - Accent5 2 6 5 4" xfId="2855"/>
    <cellStyle name="20% - Accent5 2 6 6" xfId="2856"/>
    <cellStyle name="20% - Accent5 2 6 6 2" xfId="2857"/>
    <cellStyle name="20% - Accent5 2 6 6 2 2" xfId="2858"/>
    <cellStyle name="20% - Accent5 2 6 6 3" xfId="2859"/>
    <cellStyle name="20% - Accent5 2 6 7" xfId="2860"/>
    <cellStyle name="20% - Accent5 2 6 7 2" xfId="2861"/>
    <cellStyle name="20% - Accent5 2 6 7 3" xfId="2862"/>
    <cellStyle name="20% - Accent5 2 6 8" xfId="2863"/>
    <cellStyle name="20% - Accent5 2 6 8 2" xfId="2864"/>
    <cellStyle name="20% - Accent5 2 6 9" xfId="2865"/>
    <cellStyle name="20% - Accent5 2 7" xfId="2866"/>
    <cellStyle name="20% - Accent5 2 7 2" xfId="2867"/>
    <cellStyle name="20% - Accent5 2 7 2 2" xfId="2868"/>
    <cellStyle name="20% - Accent5 2 7 3" xfId="2869"/>
    <cellStyle name="20% - Accent5 2 7 4" xfId="2870"/>
    <cellStyle name="20% - Accent5 2 8" xfId="2871"/>
    <cellStyle name="20% - Accent5 2 8 2" xfId="2872"/>
    <cellStyle name="20% - Accent5 2 9" xfId="2873"/>
    <cellStyle name="20% - Accent5 2 9 2" xfId="2874"/>
    <cellStyle name="20% - Accent5 20" xfId="2875"/>
    <cellStyle name="20% - Accent5 3" xfId="2876"/>
    <cellStyle name="20% - Accent5 3 2" xfId="2877"/>
    <cellStyle name="20% - Accent5 3 2 2" xfId="2878"/>
    <cellStyle name="20% - Accent5 3 2 2 2" xfId="2879"/>
    <cellStyle name="20% - Accent5 3 2 2 2 2" xfId="2880"/>
    <cellStyle name="20% - Accent5 3 2 2 3" xfId="2881"/>
    <cellStyle name="20% - Accent5 3 2 2 4" xfId="2882"/>
    <cellStyle name="20% - Accent5 3 2 2 5" xfId="2883"/>
    <cellStyle name="20% - Accent5 3 2 3" xfId="2884"/>
    <cellStyle name="20% - Accent5 3 2 3 2" xfId="2885"/>
    <cellStyle name="20% - Accent5 3 2 3 2 2" xfId="2886"/>
    <cellStyle name="20% - Accent5 3 2 3 3" xfId="2887"/>
    <cellStyle name="20% - Accent5 3 2 3 4" xfId="2888"/>
    <cellStyle name="20% - Accent5 3 2 4" xfId="2889"/>
    <cellStyle name="20% - Accent5 3 2 4 2" xfId="2890"/>
    <cellStyle name="20% - Accent5 3 2 5" xfId="2891"/>
    <cellStyle name="20% - Accent5 3 2 5 2" xfId="2892"/>
    <cellStyle name="20% - Accent5 3 2 6" xfId="2893"/>
    <cellStyle name="20% - Accent5 3 2 7" xfId="2894"/>
    <cellStyle name="20% - Accent5 3 2 8" xfId="2895"/>
    <cellStyle name="20% - Accent5 3 3" xfId="2896"/>
    <cellStyle name="20% - Accent5 3 3 2" xfId="2897"/>
    <cellStyle name="20% - Accent5 3 3 2 2" xfId="2898"/>
    <cellStyle name="20% - Accent5 3 3 2 2 2" xfId="2899"/>
    <cellStyle name="20% - Accent5 3 3 2 3" xfId="2900"/>
    <cellStyle name="20% - Accent5 3 3 2 4" xfId="2901"/>
    <cellStyle name="20% - Accent5 3 3 3" xfId="2902"/>
    <cellStyle name="20% - Accent5 3 3 3 2" xfId="2903"/>
    <cellStyle name="20% - Accent5 3 3 4" xfId="2904"/>
    <cellStyle name="20% - Accent5 3 3 4 2" xfId="2905"/>
    <cellStyle name="20% - Accent5 3 3 5" xfId="2906"/>
    <cellStyle name="20% - Accent5 3 3 6" xfId="2907"/>
    <cellStyle name="20% - Accent5 3 3 7" xfId="2908"/>
    <cellStyle name="20% - Accent5 3 4" xfId="2909"/>
    <cellStyle name="20% - Accent5 3 4 2" xfId="2910"/>
    <cellStyle name="20% - Accent5 3 4 2 2" xfId="2911"/>
    <cellStyle name="20% - Accent5 3 4 3" xfId="2912"/>
    <cellStyle name="20% - Accent5 3 4 4" xfId="2913"/>
    <cellStyle name="20% - Accent5 3 5" xfId="2914"/>
    <cellStyle name="20% - Accent5 3 5 2" xfId="2915"/>
    <cellStyle name="20% - Accent5 3 6" xfId="2916"/>
    <cellStyle name="20% - Accent5 3 6 2" xfId="2917"/>
    <cellStyle name="20% - Accent5 3 7" xfId="2918"/>
    <cellStyle name="20% - Accent5 3 7 2" xfId="2919"/>
    <cellStyle name="20% - Accent5 3 8" xfId="2920"/>
    <cellStyle name="20% - Accent5 3 9" xfId="2921"/>
    <cellStyle name="20% - Accent5 4" xfId="2922"/>
    <cellStyle name="20% - Accent5 4 2" xfId="2923"/>
    <cellStyle name="20% - Accent5 4 2 2" xfId="2924"/>
    <cellStyle name="20% - Accent5 4 2 2 2" xfId="2925"/>
    <cellStyle name="20% - Accent5 4 2 2 2 2" xfId="2926"/>
    <cellStyle name="20% - Accent5 4 2 2 3" xfId="2927"/>
    <cellStyle name="20% - Accent5 4 2 2 4" xfId="2928"/>
    <cellStyle name="20% - Accent5 4 2 3" xfId="2929"/>
    <cellStyle name="20% - Accent5 4 2 3 2" xfId="2930"/>
    <cellStyle name="20% - Accent5 4 2 4" xfId="2931"/>
    <cellStyle name="20% - Accent5 4 2 4 2" xfId="2932"/>
    <cellStyle name="20% - Accent5 4 2 5" xfId="2933"/>
    <cellStyle name="20% - Accent5 4 2 6" xfId="2934"/>
    <cellStyle name="20% - Accent5 4 3" xfId="2935"/>
    <cellStyle name="20% - Accent5 4 3 2" xfId="2936"/>
    <cellStyle name="20% - Accent5 4 3 3" xfId="2937"/>
    <cellStyle name="20% - Accent5 4 3 3 2" xfId="2938"/>
    <cellStyle name="20% - Accent5 4 3 4" xfId="2939"/>
    <cellStyle name="20% - Accent5 4 4" xfId="2940"/>
    <cellStyle name="20% - Accent5 4 4 2" xfId="2941"/>
    <cellStyle name="20% - Accent5 4 4 2 2" xfId="2942"/>
    <cellStyle name="20% - Accent5 4 4 3" xfId="2943"/>
    <cellStyle name="20% - Accent5 4 4 4" xfId="2944"/>
    <cellStyle name="20% - Accent5 4 5" xfId="2945"/>
    <cellStyle name="20% - Accent5 4 5 2" xfId="2946"/>
    <cellStyle name="20% - Accent5 4 6" xfId="2947"/>
    <cellStyle name="20% - Accent5 4 6 2" xfId="2948"/>
    <cellStyle name="20% - Accent5 4 7" xfId="2949"/>
    <cellStyle name="20% - Accent5 4 7 2" xfId="2950"/>
    <cellStyle name="20% - Accent5 4 8" xfId="2951"/>
    <cellStyle name="20% - Accent5 4 9" xfId="2952"/>
    <cellStyle name="20% - Accent5 5" xfId="2953"/>
    <cellStyle name="20% - Accent5 5 2" xfId="2954"/>
    <cellStyle name="20% - Accent5 5 2 2" xfId="2955"/>
    <cellStyle name="20% - Accent5 5 2 2 2" xfId="2956"/>
    <cellStyle name="20% - Accent5 5 2 2 2 2" xfId="2957"/>
    <cellStyle name="20% - Accent5 5 2 2 2 2 2" xfId="2958"/>
    <cellStyle name="20% - Accent5 5 2 2 2 3" xfId="2959"/>
    <cellStyle name="20% - Accent5 5 2 2 2 3 2" xfId="2960"/>
    <cellStyle name="20% - Accent5 5 2 2 2 4" xfId="2961"/>
    <cellStyle name="20% - Accent5 5 2 2 2 4 2" xfId="2962"/>
    <cellStyle name="20% - Accent5 5 2 2 2 5" xfId="2963"/>
    <cellStyle name="20% - Accent5 5 2 2 3" xfId="2964"/>
    <cellStyle name="20% - Accent5 5 2 2 3 2" xfId="2965"/>
    <cellStyle name="20% - Accent5 5 2 2 3 2 2" xfId="2966"/>
    <cellStyle name="20% - Accent5 5 2 2 3 3" xfId="2967"/>
    <cellStyle name="20% - Accent5 5 2 2 3 3 2" xfId="2968"/>
    <cellStyle name="20% - Accent5 5 2 2 3 4" xfId="2969"/>
    <cellStyle name="20% - Accent5 5 2 2 4" xfId="2970"/>
    <cellStyle name="20% - Accent5 5 2 2 4 2" xfId="2971"/>
    <cellStyle name="20% - Accent5 5 2 2 4 2 2" xfId="2972"/>
    <cellStyle name="20% - Accent5 5 2 2 4 3" xfId="2973"/>
    <cellStyle name="20% - Accent5 5 2 2 4 3 2" xfId="2974"/>
    <cellStyle name="20% - Accent5 5 2 2 4 4" xfId="2975"/>
    <cellStyle name="20% - Accent5 5 2 2 5" xfId="2976"/>
    <cellStyle name="20% - Accent5 5 2 2 5 2" xfId="2977"/>
    <cellStyle name="20% - Accent5 5 2 2 5 2 2" xfId="2978"/>
    <cellStyle name="20% - Accent5 5 2 2 5 3" xfId="2979"/>
    <cellStyle name="20% - Accent5 5 2 2 5 3 2" xfId="2980"/>
    <cellStyle name="20% - Accent5 5 2 2 5 4" xfId="2981"/>
    <cellStyle name="20% - Accent5 5 2 2 6" xfId="2982"/>
    <cellStyle name="20% - Accent5 5 2 2 7" xfId="2983"/>
    <cellStyle name="20% - Accent5 5 2 3" xfId="2984"/>
    <cellStyle name="20% - Accent5 5 2 4" xfId="2985"/>
    <cellStyle name="20% - Accent5 5 2 5" xfId="2986"/>
    <cellStyle name="20% - Accent5 5 2 5 2" xfId="2987"/>
    <cellStyle name="20% - Accent5 5 2 6" xfId="2988"/>
    <cellStyle name="20% - Accent5 5 3" xfId="2989"/>
    <cellStyle name="20% - Accent5 5 3 2" xfId="2990"/>
    <cellStyle name="20% - Accent5 5 3 3" xfId="2991"/>
    <cellStyle name="20% - Accent5 5 3 4" xfId="2992"/>
    <cellStyle name="20% - Accent5 5 3 4 2" xfId="2993"/>
    <cellStyle name="20% - Accent5 5 3 5" xfId="2994"/>
    <cellStyle name="20% - Accent5 5 4" xfId="2995"/>
    <cellStyle name="20% - Accent5 5 4 2" xfId="2996"/>
    <cellStyle name="20% - Accent5 5 4 2 2" xfId="2997"/>
    <cellStyle name="20% - Accent5 5 4 2 2 2" xfId="2998"/>
    <cellStyle name="20% - Accent5 5 4 2 3" xfId="2999"/>
    <cellStyle name="20% - Accent5 5 4 2 3 2" xfId="3000"/>
    <cellStyle name="20% - Accent5 5 4 2 4" xfId="3001"/>
    <cellStyle name="20% - Accent5 5 4 2 4 2" xfId="3002"/>
    <cellStyle name="20% - Accent5 5 4 2 5" xfId="3003"/>
    <cellStyle name="20% - Accent5 5 4 3" xfId="3004"/>
    <cellStyle name="20% - Accent5 5 4 3 2" xfId="3005"/>
    <cellStyle name="20% - Accent5 5 4 3 2 2" xfId="3006"/>
    <cellStyle name="20% - Accent5 5 4 3 3" xfId="3007"/>
    <cellStyle name="20% - Accent5 5 4 3 3 2" xfId="3008"/>
    <cellStyle name="20% - Accent5 5 4 3 4" xfId="3009"/>
    <cellStyle name="20% - Accent5 5 4 4" xfId="3010"/>
    <cellStyle name="20% - Accent5 5 4 4 2" xfId="3011"/>
    <cellStyle name="20% - Accent5 5 4 4 2 2" xfId="3012"/>
    <cellStyle name="20% - Accent5 5 4 4 3" xfId="3013"/>
    <cellStyle name="20% - Accent5 5 4 4 3 2" xfId="3014"/>
    <cellStyle name="20% - Accent5 5 4 4 4" xfId="3015"/>
    <cellStyle name="20% - Accent5 5 4 5" xfId="3016"/>
    <cellStyle name="20% - Accent5 5 4 5 2" xfId="3017"/>
    <cellStyle name="20% - Accent5 5 4 5 2 2" xfId="3018"/>
    <cellStyle name="20% - Accent5 5 4 5 3" xfId="3019"/>
    <cellStyle name="20% - Accent5 5 4 5 3 2" xfId="3020"/>
    <cellStyle name="20% - Accent5 5 4 5 4" xfId="3021"/>
    <cellStyle name="20% - Accent5 5 4 6" xfId="3022"/>
    <cellStyle name="20% - Accent5 5 5" xfId="3023"/>
    <cellStyle name="20% - Accent5 5 5 2" xfId="3024"/>
    <cellStyle name="20% - Accent5 5 5 2 2" xfId="3025"/>
    <cellStyle name="20% - Accent5 5 5 2 2 2" xfId="3026"/>
    <cellStyle name="20% - Accent5 5 5 2 2 2 2" xfId="3027"/>
    <cellStyle name="20% - Accent5 5 5 2 2 3" xfId="3028"/>
    <cellStyle name="20% - Accent5 5 5 2 2 3 2" xfId="3029"/>
    <cellStyle name="20% - Accent5 5 5 2 2 4" xfId="3030"/>
    <cellStyle name="20% - Accent5 5 5 2 2 5" xfId="3031"/>
    <cellStyle name="20% - Accent5 5 5 2 3" xfId="3032"/>
    <cellStyle name="20% - Accent5 5 5 2 3 2" xfId="3033"/>
    <cellStyle name="20% - Accent5 5 5 2 3 2 2" xfId="3034"/>
    <cellStyle name="20% - Accent5 5 5 2 3 3" xfId="3035"/>
    <cellStyle name="20% - Accent5 5 5 2 4" xfId="3036"/>
    <cellStyle name="20% - Accent5 5 5 2 4 2" xfId="3037"/>
    <cellStyle name="20% - Accent5 5 5 2 5" xfId="3038"/>
    <cellStyle name="20% - Accent5 5 5 2 5 2" xfId="3039"/>
    <cellStyle name="20% - Accent5 5 5 2 6" xfId="3040"/>
    <cellStyle name="20% - Accent5 5 5 3" xfId="3041"/>
    <cellStyle name="20% - Accent5 5 5 3 2" xfId="3042"/>
    <cellStyle name="20% - Accent5 5 5 3 2 2" xfId="3043"/>
    <cellStyle name="20% - Accent5 5 5 3 2 2 2" xfId="3044"/>
    <cellStyle name="20% - Accent5 5 5 3 2 3" xfId="3045"/>
    <cellStyle name="20% - Accent5 5 5 3 2 3 2" xfId="3046"/>
    <cellStyle name="20% - Accent5 5 5 3 2 4" xfId="3047"/>
    <cellStyle name="20% - Accent5 5 5 3 2 5" xfId="3048"/>
    <cellStyle name="20% - Accent5 5 5 3 3" xfId="3049"/>
    <cellStyle name="20% - Accent5 5 5 3 3 2" xfId="3050"/>
    <cellStyle name="20% - Accent5 5 5 3 3 2 2" xfId="3051"/>
    <cellStyle name="20% - Accent5 5 5 3 3 3" xfId="3052"/>
    <cellStyle name="20% - Accent5 5 5 3 4" xfId="3053"/>
    <cellStyle name="20% - Accent5 5 5 3 4 2" xfId="3054"/>
    <cellStyle name="20% - Accent5 5 5 3 5" xfId="3055"/>
    <cellStyle name="20% - Accent5 5 5 3 5 2" xfId="3056"/>
    <cellStyle name="20% - Accent5 5 5 3 6" xfId="3057"/>
    <cellStyle name="20% - Accent5 5 5 4" xfId="3058"/>
    <cellStyle name="20% - Accent5 5 5 4 2" xfId="3059"/>
    <cellStyle name="20% - Accent5 5 5 4 2 2" xfId="3060"/>
    <cellStyle name="20% - Accent5 5 5 4 3" xfId="3061"/>
    <cellStyle name="20% - Accent5 5 5 4 3 2" xfId="3062"/>
    <cellStyle name="20% - Accent5 5 5 4 4" xfId="3063"/>
    <cellStyle name="20% - Accent5 5 5 5" xfId="3064"/>
    <cellStyle name="20% - Accent5 5 5 5 2" xfId="3065"/>
    <cellStyle name="20% - Accent5 5 5 5 3" xfId="3066"/>
    <cellStyle name="20% - Accent5 5 5 6" xfId="3067"/>
    <cellStyle name="20% - Accent5 5 5 6 2" xfId="3068"/>
    <cellStyle name="20% - Accent5 5 5 6 3" xfId="3069"/>
    <cellStyle name="20% - Accent5 5 5 7" xfId="3070"/>
    <cellStyle name="20% - Accent5 5 5 7 2" xfId="3071"/>
    <cellStyle name="20% - Accent5 5 5 7 3" xfId="3072"/>
    <cellStyle name="20% - Accent5 5 5 8" xfId="3073"/>
    <cellStyle name="20% - Accent5 5 6" xfId="3074"/>
    <cellStyle name="20% - Accent5 5 6 2" xfId="3075"/>
    <cellStyle name="20% - Accent5 5 6 2 2" xfId="3076"/>
    <cellStyle name="20% - Accent5 5 6 2 2 2" xfId="3077"/>
    <cellStyle name="20% - Accent5 5 6 2 3" xfId="3078"/>
    <cellStyle name="20% - Accent5 5 6 2 3 2" xfId="3079"/>
    <cellStyle name="20% - Accent5 5 6 2 4" xfId="3080"/>
    <cellStyle name="20% - Accent5 5 6 2 4 2" xfId="3081"/>
    <cellStyle name="20% - Accent5 5 6 2 5" xfId="3082"/>
    <cellStyle name="20% - Accent5 5 6 3" xfId="3083"/>
    <cellStyle name="20% - Accent5 5 6 3 2" xfId="3084"/>
    <cellStyle name="20% - Accent5 5 6 3 2 2" xfId="3085"/>
    <cellStyle name="20% - Accent5 5 6 3 3" xfId="3086"/>
    <cellStyle name="20% - Accent5 5 6 3 3 2" xfId="3087"/>
    <cellStyle name="20% - Accent5 5 6 3 4" xfId="3088"/>
    <cellStyle name="20% - Accent5 5 6 4" xfId="3089"/>
    <cellStyle name="20% - Accent5 5 6 4 2" xfId="3090"/>
    <cellStyle name="20% - Accent5 5 6 5" xfId="3091"/>
    <cellStyle name="20% - Accent5 5 6 5 2" xfId="3092"/>
    <cellStyle name="20% - Accent5 5 6 6" xfId="3093"/>
    <cellStyle name="20% - Accent5 5 6 7" xfId="3094"/>
    <cellStyle name="20% - Accent5 5 7" xfId="3095"/>
    <cellStyle name="20% - Accent5 5 7 2" xfId="3096"/>
    <cellStyle name="20% - Accent5 5 7 2 2" xfId="3097"/>
    <cellStyle name="20% - Accent5 5 7 2 2 2" xfId="3098"/>
    <cellStyle name="20% - Accent5 5 7 2 3" xfId="3099"/>
    <cellStyle name="20% - Accent5 5 7 2 3 2" xfId="3100"/>
    <cellStyle name="20% - Accent5 5 7 2 4" xfId="3101"/>
    <cellStyle name="20% - Accent5 5 7 3" xfId="3102"/>
    <cellStyle name="20% - Accent5 5 7 3 2" xfId="3103"/>
    <cellStyle name="20% - Accent5 5 7 4" xfId="3104"/>
    <cellStyle name="20% - Accent5 5 8" xfId="3105"/>
    <cellStyle name="20% - Accent5 5 8 2" xfId="3106"/>
    <cellStyle name="20% - Accent5 5 9" xfId="3107"/>
    <cellStyle name="20% - Accent5 6" xfId="3108"/>
    <cellStyle name="20% - Accent5 6 10" xfId="3109"/>
    <cellStyle name="20% - Accent5 6 2" xfId="3110"/>
    <cellStyle name="20% - Accent5 6 2 2" xfId="3111"/>
    <cellStyle name="20% - Accent5 6 2 2 2" xfId="3112"/>
    <cellStyle name="20% - Accent5 6 2 3" xfId="3113"/>
    <cellStyle name="20% - Accent5 6 2 4" xfId="3114"/>
    <cellStyle name="20% - Accent5 6 2 5" xfId="3115"/>
    <cellStyle name="20% - Accent5 6 2 5 2" xfId="3116"/>
    <cellStyle name="20% - Accent5 6 2 5 2 2" xfId="3117"/>
    <cellStyle name="20% - Accent5 6 2 5 3" xfId="3118"/>
    <cellStyle name="20% - Accent5 6 2 5 3 2" xfId="3119"/>
    <cellStyle name="20% - Accent5 6 2 5 4" xfId="3120"/>
    <cellStyle name="20% - Accent5 6 2 5 5" xfId="3121"/>
    <cellStyle name="20% - Accent5 6 2 6" xfId="3122"/>
    <cellStyle name="20% - Accent5 6 2 6 2" xfId="3123"/>
    <cellStyle name="20% - Accent5 6 2 7" xfId="3124"/>
    <cellStyle name="20% - Accent5 6 2 7 2" xfId="3125"/>
    <cellStyle name="20% - Accent5 6 2 8" xfId="3126"/>
    <cellStyle name="20% - Accent5 6 2 8 2" xfId="3127"/>
    <cellStyle name="20% - Accent5 6 2 9" xfId="3128"/>
    <cellStyle name="20% - Accent5 6 3" xfId="3129"/>
    <cellStyle name="20% - Accent5 6 3 2" xfId="3130"/>
    <cellStyle name="20% - Accent5 6 3 3" xfId="3131"/>
    <cellStyle name="20% - Accent5 6 3 4" xfId="3132"/>
    <cellStyle name="20% - Accent5 6 3 4 2" xfId="3133"/>
    <cellStyle name="20% - Accent5 6 3 5" xfId="3134"/>
    <cellStyle name="20% - Accent5 6 3 5 2" xfId="3135"/>
    <cellStyle name="20% - Accent5 6 4" xfId="3136"/>
    <cellStyle name="20% - Accent5 6 4 2" xfId="3137"/>
    <cellStyle name="20% - Accent5 6 4 2 2" xfId="3138"/>
    <cellStyle name="20% - Accent5 6 4 2 2 2" xfId="3139"/>
    <cellStyle name="20% - Accent5 6 4 2 2 2 2" xfId="3140"/>
    <cellStyle name="20% - Accent5 6 4 2 2 3" xfId="3141"/>
    <cellStyle name="20% - Accent5 6 4 2 2 3 2" xfId="3142"/>
    <cellStyle name="20% - Accent5 6 4 2 2 4" xfId="3143"/>
    <cellStyle name="20% - Accent5 6 4 2 2 5" xfId="3144"/>
    <cellStyle name="20% - Accent5 6 4 2 3" xfId="3145"/>
    <cellStyle name="20% - Accent5 6 4 2 3 2" xfId="3146"/>
    <cellStyle name="20% - Accent5 6 4 2 3 2 2" xfId="3147"/>
    <cellStyle name="20% - Accent5 6 4 2 3 3" xfId="3148"/>
    <cellStyle name="20% - Accent5 6 4 2 4" xfId="3149"/>
    <cellStyle name="20% - Accent5 6 4 2 4 2" xfId="3150"/>
    <cellStyle name="20% - Accent5 6 4 2 5" xfId="3151"/>
    <cellStyle name="20% - Accent5 6 4 2 5 2" xfId="3152"/>
    <cellStyle name="20% - Accent5 6 4 2 6" xfId="3153"/>
    <cellStyle name="20% - Accent5 6 4 3" xfId="3154"/>
    <cellStyle name="20% - Accent5 6 4 3 2" xfId="3155"/>
    <cellStyle name="20% - Accent5 6 4 3 2 2" xfId="3156"/>
    <cellStyle name="20% - Accent5 6 4 3 3" xfId="3157"/>
    <cellStyle name="20% - Accent5 6 4 3 3 2" xfId="3158"/>
    <cellStyle name="20% - Accent5 6 4 3 4" xfId="3159"/>
    <cellStyle name="20% - Accent5 6 4 4" xfId="3160"/>
    <cellStyle name="20% - Accent5 6 4 4 2" xfId="3161"/>
    <cellStyle name="20% - Accent5 6 4 4 3" xfId="3162"/>
    <cellStyle name="20% - Accent5 6 4 5" xfId="3163"/>
    <cellStyle name="20% - Accent5 6 4 5 2" xfId="3164"/>
    <cellStyle name="20% - Accent5 6 4 5 3" xfId="3165"/>
    <cellStyle name="20% - Accent5 6 4 6" xfId="3166"/>
    <cellStyle name="20% - Accent5 6 4 6 2" xfId="3167"/>
    <cellStyle name="20% - Accent5 6 4 6 3" xfId="3168"/>
    <cellStyle name="20% - Accent5 6 4 7" xfId="3169"/>
    <cellStyle name="20% - Accent5 6 4 8" xfId="3170"/>
    <cellStyle name="20% - Accent5 6 5" xfId="3171"/>
    <cellStyle name="20% - Accent5 6 5 2" xfId="3172"/>
    <cellStyle name="20% - Accent5 6 5 2 2" xfId="3173"/>
    <cellStyle name="20% - Accent5 6 5 2 2 2" xfId="3174"/>
    <cellStyle name="20% - Accent5 6 5 2 3" xfId="3175"/>
    <cellStyle name="20% - Accent5 6 5 2 3 2" xfId="3176"/>
    <cellStyle name="20% - Accent5 6 5 2 4" xfId="3177"/>
    <cellStyle name="20% - Accent5 6 5 3" xfId="3178"/>
    <cellStyle name="20% - Accent5 6 5 3 2" xfId="3179"/>
    <cellStyle name="20% - Accent5 6 5 3 3" xfId="3180"/>
    <cellStyle name="20% - Accent5 6 5 4" xfId="3181"/>
    <cellStyle name="20% - Accent5 6 5 4 2" xfId="3182"/>
    <cellStyle name="20% - Accent5 6 5 4 3" xfId="3183"/>
    <cellStyle name="20% - Accent5 6 5 5" xfId="3184"/>
    <cellStyle name="20% - Accent5 6 5 5 2" xfId="3185"/>
    <cellStyle name="20% - Accent5 6 5 5 3" xfId="3186"/>
    <cellStyle name="20% - Accent5 6 5 6" xfId="3187"/>
    <cellStyle name="20% - Accent5 6 6" xfId="3188"/>
    <cellStyle name="20% - Accent5 6 7" xfId="3189"/>
    <cellStyle name="20% - Accent5 6 7 2" xfId="3190"/>
    <cellStyle name="20% - Accent5 6 7 2 2" xfId="3191"/>
    <cellStyle name="20% - Accent5 6 7 3" xfId="3192"/>
    <cellStyle name="20% - Accent5 6 7 3 2" xfId="3193"/>
    <cellStyle name="20% - Accent5 6 7 4" xfId="3194"/>
    <cellStyle name="20% - Accent5 6 7 5" xfId="3195"/>
    <cellStyle name="20% - Accent5 6 8" xfId="3196"/>
    <cellStyle name="20% - Accent5 6 8 2" xfId="3197"/>
    <cellStyle name="20% - Accent5 6 8 2 2" xfId="3198"/>
    <cellStyle name="20% - Accent5 6 8 3" xfId="3199"/>
    <cellStyle name="20% - Accent5 6 9" xfId="3200"/>
    <cellStyle name="20% - Accent5 6 9 2" xfId="3201"/>
    <cellStyle name="20% - Accent5 7" xfId="3202"/>
    <cellStyle name="20% - Accent5 7 2" xfId="3203"/>
    <cellStyle name="20% - Accent5 7 2 2" xfId="3204"/>
    <cellStyle name="20% - Accent5 7 2 2 2" xfId="3205"/>
    <cellStyle name="20% - Accent5 7 2 2 2 2" xfId="3206"/>
    <cellStyle name="20% - Accent5 7 2 2 3" xfId="3207"/>
    <cellStyle name="20% - Accent5 7 2 2 3 2" xfId="3208"/>
    <cellStyle name="20% - Accent5 7 2 2 4" xfId="3209"/>
    <cellStyle name="20% - Accent5 7 2 3" xfId="3210"/>
    <cellStyle name="20% - Accent5 7 2 3 2" xfId="3211"/>
    <cellStyle name="20% - Accent5 7 2 3 2 2" xfId="3212"/>
    <cellStyle name="20% - Accent5 7 2 3 3" xfId="3213"/>
    <cellStyle name="20% - Accent5 7 2 4" xfId="3214"/>
    <cellStyle name="20% - Accent5 7 2 4 2" xfId="3215"/>
    <cellStyle name="20% - Accent5 7 2 4 2 2" xfId="3216"/>
    <cellStyle name="20% - Accent5 7 2 4 3" xfId="3217"/>
    <cellStyle name="20% - Accent5 7 2 4 3 2" xfId="3218"/>
    <cellStyle name="20% - Accent5 7 2 4 4" xfId="3219"/>
    <cellStyle name="20% - Accent5 7 2 5" xfId="3220"/>
    <cellStyle name="20% - Accent5 7 2 5 2" xfId="3221"/>
    <cellStyle name="20% - Accent5 7 2 5 2 2" xfId="3222"/>
    <cellStyle name="20% - Accent5 7 2 6" xfId="3223"/>
    <cellStyle name="20% - Accent5 7 3" xfId="3224"/>
    <cellStyle name="20% - Accent5 7 3 2" xfId="3225"/>
    <cellStyle name="20% - Accent5 7 3 2 2" xfId="3226"/>
    <cellStyle name="20% - Accent5 7 3 2 2 2" xfId="3227"/>
    <cellStyle name="20% - Accent5 7 3 2 3" xfId="3228"/>
    <cellStyle name="20% - Accent5 7 3 2 3 2" xfId="3229"/>
    <cellStyle name="20% - Accent5 7 3 2 4" xfId="3230"/>
    <cellStyle name="20% - Accent5 7 3 3" xfId="3231"/>
    <cellStyle name="20% - Accent5 7 3 3 2" xfId="3232"/>
    <cellStyle name="20% - Accent5 7 3 3 2 2" xfId="3233"/>
    <cellStyle name="20% - Accent5 7 3 3 3" xfId="3234"/>
    <cellStyle name="20% - Accent5 7 3 3 3 2" xfId="3235"/>
    <cellStyle name="20% - Accent5 7 3 3 4" xfId="3236"/>
    <cellStyle name="20% - Accent5 7 3 4" xfId="3237"/>
    <cellStyle name="20% - Accent5 7 4" xfId="3238"/>
    <cellStyle name="20% - Accent5 7 4 2" xfId="3239"/>
    <cellStyle name="20% - Accent5 7 4 2 2" xfId="3240"/>
    <cellStyle name="20% - Accent5 7 4 3" xfId="3241"/>
    <cellStyle name="20% - Accent5 7 4 3 2" xfId="3242"/>
    <cellStyle name="20% - Accent5 7 4 4" xfId="3243"/>
    <cellStyle name="20% - Accent5 7 4 4 2" xfId="3244"/>
    <cellStyle name="20% - Accent5 7 4 5" xfId="3245"/>
    <cellStyle name="20% - Accent5 7 5" xfId="3246"/>
    <cellStyle name="20% - Accent5 7 5 2" xfId="3247"/>
    <cellStyle name="20% - Accent5 7 5 2 2" xfId="3248"/>
    <cellStyle name="20% - Accent5 7 5 2 2 2" xfId="3249"/>
    <cellStyle name="20% - Accent5 7 5 3" xfId="3250"/>
    <cellStyle name="20% - Accent5 7 5 3 2" xfId="3251"/>
    <cellStyle name="20% - Accent5 7 5 4" xfId="3252"/>
    <cellStyle name="20% - Accent5 7 6" xfId="3253"/>
    <cellStyle name="20% - Accent5 7 6 2" xfId="3254"/>
    <cellStyle name="20% - Accent5 7 7" xfId="3255"/>
    <cellStyle name="20% - Accent5 7 7 2" xfId="3256"/>
    <cellStyle name="20% - Accent5 7 8" xfId="3257"/>
    <cellStyle name="20% - Accent5 7 8 2" xfId="3258"/>
    <cellStyle name="20% - Accent5 7 9" xfId="3259"/>
    <cellStyle name="20% - Accent5 8" xfId="3260"/>
    <cellStyle name="20% - Accent5 8 2" xfId="3261"/>
    <cellStyle name="20% - Accent5 8 2 2" xfId="3262"/>
    <cellStyle name="20% - Accent5 8 2 2 2" xfId="3263"/>
    <cellStyle name="20% - Accent5 8 2 2 2 2" xfId="3264"/>
    <cellStyle name="20% - Accent5 8 2 2 3" xfId="3265"/>
    <cellStyle name="20% - Accent5 8 2 2 3 2" xfId="3266"/>
    <cellStyle name="20% - Accent5 8 2 2 4" xfId="3267"/>
    <cellStyle name="20% - Accent5 8 2 3" xfId="3268"/>
    <cellStyle name="20% - Accent5 8 2 3 2" xfId="3269"/>
    <cellStyle name="20% - Accent5 8 2 3 2 2" xfId="3270"/>
    <cellStyle name="20% - Accent5 8 2 3 3" xfId="3271"/>
    <cellStyle name="20% - Accent5 8 2 4" xfId="3272"/>
    <cellStyle name="20% - Accent5 8 2 4 2" xfId="3273"/>
    <cellStyle name="20% - Accent5 8 2 4 2 2" xfId="3274"/>
    <cellStyle name="20% - Accent5 8 2 4 3" xfId="3275"/>
    <cellStyle name="20% - Accent5 8 2 4 3 2" xfId="3276"/>
    <cellStyle name="20% - Accent5 8 2 4 4" xfId="3277"/>
    <cellStyle name="20% - Accent5 8 2 5" xfId="3278"/>
    <cellStyle name="20% - Accent5 8 2 5 2" xfId="3279"/>
    <cellStyle name="20% - Accent5 8 2 6" xfId="3280"/>
    <cellStyle name="20% - Accent5 8 3" xfId="3281"/>
    <cellStyle name="20% - Accent5 8 3 2" xfId="3282"/>
    <cellStyle name="20% - Accent5 8 3 2 2" xfId="3283"/>
    <cellStyle name="20% - Accent5 8 3 2 2 2" xfId="3284"/>
    <cellStyle name="20% - Accent5 8 3 2 3" xfId="3285"/>
    <cellStyle name="20% - Accent5 8 3 2 3 2" xfId="3286"/>
    <cellStyle name="20% - Accent5 8 3 2 4" xfId="3287"/>
    <cellStyle name="20% - Accent5 8 3 3" xfId="3288"/>
    <cellStyle name="20% - Accent5 8 3 3 2" xfId="3289"/>
    <cellStyle name="20% - Accent5 8 3 3 2 2" xfId="3290"/>
    <cellStyle name="20% - Accent5 8 3 3 3" xfId="3291"/>
    <cellStyle name="20% - Accent5 8 3 3 3 2" xfId="3292"/>
    <cellStyle name="20% - Accent5 8 3 3 4" xfId="3293"/>
    <cellStyle name="20% - Accent5 8 3 4" xfId="3294"/>
    <cellStyle name="20% - Accent5 8 3 4 2" xfId="3295"/>
    <cellStyle name="20% - Accent5 8 3 5" xfId="3296"/>
    <cellStyle name="20% - Accent5 8 3 5 2" xfId="3297"/>
    <cellStyle name="20% - Accent5 8 3 6" xfId="3298"/>
    <cellStyle name="20% - Accent5 8 4" xfId="3299"/>
    <cellStyle name="20% - Accent5 8 4 2" xfId="3300"/>
    <cellStyle name="20% - Accent5 8 4 2 2" xfId="3301"/>
    <cellStyle name="20% - Accent5 8 4 3" xfId="3302"/>
    <cellStyle name="20% - Accent5 8 5" xfId="3303"/>
    <cellStyle name="20% - Accent5 8 5 2" xfId="3304"/>
    <cellStyle name="20% - Accent5 8 6" xfId="3305"/>
    <cellStyle name="20% - Accent5 8 6 2" xfId="3306"/>
    <cellStyle name="20% - Accent5 8 7" xfId="3307"/>
    <cellStyle name="20% - Accent5 9" xfId="3308"/>
    <cellStyle name="20% - Accent5 9 2" xfId="3309"/>
    <cellStyle name="20% - Accent5 9 2 2" xfId="3310"/>
    <cellStyle name="20% - Accent5 9 2 2 2" xfId="3311"/>
    <cellStyle name="20% - Accent5 9 2 3" xfId="3312"/>
    <cellStyle name="20% - Accent5 9 2 3 2" xfId="3313"/>
    <cellStyle name="20% - Accent5 9 2 4" xfId="3314"/>
    <cellStyle name="20% - Accent5 9 2 4 2" xfId="3315"/>
    <cellStyle name="20% - Accent5 9 2 5" xfId="3316"/>
    <cellStyle name="20% - Accent5 9 3" xfId="3317"/>
    <cellStyle name="20% - Accent5 9 3 2" xfId="3318"/>
    <cellStyle name="20% - Accent5 9 3 2 2" xfId="3319"/>
    <cellStyle name="20% - Accent5 9 3 3" xfId="3320"/>
    <cellStyle name="20% - Accent5 9 3 3 2" xfId="3321"/>
    <cellStyle name="20% - Accent5 9 3 4" xfId="3322"/>
    <cellStyle name="20% - Accent5 9 4" xfId="3323"/>
    <cellStyle name="20% - Accent5 9 4 2" xfId="3324"/>
    <cellStyle name="20% - Accent5 9 4 2 2" xfId="3325"/>
    <cellStyle name="20% - Accent5 9 4 3" xfId="3326"/>
    <cellStyle name="20% - Accent5 9 5" xfId="3327"/>
    <cellStyle name="20% - Accent5 9 5 2" xfId="3328"/>
    <cellStyle name="20% - Accent5 9 6" xfId="3329"/>
    <cellStyle name="20% - Accent5 9 7" xfId="3330"/>
    <cellStyle name="20% - Accent6 10" xfId="3331"/>
    <cellStyle name="20% - Accent6 10 2" xfId="3332"/>
    <cellStyle name="20% - Accent6 10 2 2" xfId="3333"/>
    <cellStyle name="20% - Accent6 10 2 2 2" xfId="3334"/>
    <cellStyle name="20% - Accent6 10 2 3" xfId="3335"/>
    <cellStyle name="20% - Accent6 10 2 3 2" xfId="3336"/>
    <cellStyle name="20% - Accent6 10 2 4" xfId="3337"/>
    <cellStyle name="20% - Accent6 10 2 4 2" xfId="3338"/>
    <cellStyle name="20% - Accent6 10 2 5" xfId="3339"/>
    <cellStyle name="20% - Accent6 10 3" xfId="3340"/>
    <cellStyle name="20% - Accent6 10 3 2" xfId="3341"/>
    <cellStyle name="20% - Accent6 10 3 2 2" xfId="3342"/>
    <cellStyle name="20% - Accent6 10 3 3" xfId="3343"/>
    <cellStyle name="20% - Accent6 10 4" xfId="3344"/>
    <cellStyle name="20% - Accent6 10 4 2" xfId="3345"/>
    <cellStyle name="20% - Accent6 10 5" xfId="3346"/>
    <cellStyle name="20% - Accent6 10 5 2" xfId="3347"/>
    <cellStyle name="20% - Accent6 10 6" xfId="3348"/>
    <cellStyle name="20% - Accent6 10 7" xfId="3349"/>
    <cellStyle name="20% - Accent6 11" xfId="3350"/>
    <cellStyle name="20% - Accent6 11 2" xfId="3351"/>
    <cellStyle name="20% - Accent6 11 2 2" xfId="3352"/>
    <cellStyle name="20% - Accent6 11 3" xfId="3353"/>
    <cellStyle name="20% - Accent6 12" xfId="3354"/>
    <cellStyle name="20% - Accent6 12 2" xfId="3355"/>
    <cellStyle name="20% - Accent6 13" xfId="3356"/>
    <cellStyle name="20% - Accent6 13 2" xfId="3357"/>
    <cellStyle name="20% - Accent6 14" xfId="3358"/>
    <cellStyle name="20% - Accent6 14 2" xfId="3359"/>
    <cellStyle name="20% - Accent6 14 3" xfId="3360"/>
    <cellStyle name="20% - Accent6 15" xfId="3361"/>
    <cellStyle name="20% - Accent6 15 2" xfId="3362"/>
    <cellStyle name="20% - Accent6 16" xfId="3363"/>
    <cellStyle name="20% - Accent6 16 2" xfId="3364"/>
    <cellStyle name="20% - Accent6 17" xfId="3365"/>
    <cellStyle name="20% - Accent6 17 2" xfId="3366"/>
    <cellStyle name="20% - Accent6 18" xfId="3367"/>
    <cellStyle name="20% - Accent6 19" xfId="3368"/>
    <cellStyle name="20% - Accent6 2" xfId="3369"/>
    <cellStyle name="20% - Accent6 2 10" xfId="3370"/>
    <cellStyle name="20% - Accent6 2 10 2" xfId="3371"/>
    <cellStyle name="20% - Accent6 2 11" xfId="3372"/>
    <cellStyle name="20% - Accent6 2 12" xfId="3373"/>
    <cellStyle name="20% - Accent6 2 12 2" xfId="3374"/>
    <cellStyle name="20% - Accent6 2 12 2 2" xfId="3375"/>
    <cellStyle name="20% - Accent6 2 12 3" xfId="3376"/>
    <cellStyle name="20% - Accent6 2 12 4" xfId="3377"/>
    <cellStyle name="20% - Accent6 2 12 4 2" xfId="3378"/>
    <cellStyle name="20% - Accent6 2 12 5" xfId="3379"/>
    <cellStyle name="20% - Accent6 2 13" xfId="3380"/>
    <cellStyle name="20% - Accent6 2 13 2" xfId="3381"/>
    <cellStyle name="20% - Accent6 2 13 2 2" xfId="3382"/>
    <cellStyle name="20% - Accent6 2 13 3" xfId="3383"/>
    <cellStyle name="20% - Accent6 2 14" xfId="3384"/>
    <cellStyle name="20% - Accent6 2 15" xfId="3385"/>
    <cellStyle name="20% - Accent6 2 2" xfId="3386"/>
    <cellStyle name="20% - Accent6 2 2 10" xfId="3387"/>
    <cellStyle name="20% - Accent6 2 2 10 2" xfId="3388"/>
    <cellStyle name="20% - Accent6 2 2 11" xfId="3389"/>
    <cellStyle name="20% - Accent6 2 2 2" xfId="3390"/>
    <cellStyle name="20% - Accent6 2 2 2 2" xfId="3391"/>
    <cellStyle name="20% - Accent6 2 2 2 2 2" xfId="3392"/>
    <cellStyle name="20% - Accent6 2 2 2 2 3" xfId="3393"/>
    <cellStyle name="20% - Accent6 2 2 2 3" xfId="3394"/>
    <cellStyle name="20% - Accent6 2 2 2 3 2" xfId="3395"/>
    <cellStyle name="20% - Accent6 2 2 2 4" xfId="3396"/>
    <cellStyle name="20% - Accent6 2 2 2 5" xfId="3397"/>
    <cellStyle name="20% - Accent6 2 2 3" xfId="3398"/>
    <cellStyle name="20% - Accent6 2 2 3 2" xfId="3399"/>
    <cellStyle name="20% - Accent6 2 2 3 2 2" xfId="3400"/>
    <cellStyle name="20% - Accent6 2 2 3 2 3" xfId="3401"/>
    <cellStyle name="20% - Accent6 2 2 3 3" xfId="3402"/>
    <cellStyle name="20% - Accent6 2 2 3 3 2" xfId="3403"/>
    <cellStyle name="20% - Accent6 2 2 3 4" xfId="3404"/>
    <cellStyle name="20% - Accent6 2 2 3 5" xfId="3405"/>
    <cellStyle name="20% - Accent6 2 2 4" xfId="3406"/>
    <cellStyle name="20% - Accent6 2 2 4 2" xfId="3407"/>
    <cellStyle name="20% - Accent6 2 2 4 2 2" xfId="3408"/>
    <cellStyle name="20% - Accent6 2 2 4 3" xfId="3409"/>
    <cellStyle name="20% - Accent6 2 2 4 4" xfId="3410"/>
    <cellStyle name="20% - Accent6 2 2 5" xfId="3411"/>
    <cellStyle name="20% - Accent6 2 2 5 2" xfId="3412"/>
    <cellStyle name="20% - Accent6 2 2 6" xfId="3413"/>
    <cellStyle name="20% - Accent6 2 2 6 2" xfId="3414"/>
    <cellStyle name="20% - Accent6 2 2 7" xfId="3415"/>
    <cellStyle name="20% - Accent6 2 2 8" xfId="3416"/>
    <cellStyle name="20% - Accent6 2 2 9" xfId="3417"/>
    <cellStyle name="20% - Accent6 2 2 9 2" xfId="3418"/>
    <cellStyle name="20% - Accent6 2 3" xfId="3419"/>
    <cellStyle name="20% - Accent6 2 3 2" xfId="3420"/>
    <cellStyle name="20% - Accent6 2 3 2 2" xfId="3421"/>
    <cellStyle name="20% - Accent6 2 3 2 2 2" xfId="3422"/>
    <cellStyle name="20% - Accent6 2 3 2 2 3" xfId="3423"/>
    <cellStyle name="20% - Accent6 2 3 2 3" xfId="3424"/>
    <cellStyle name="20% - Accent6 2 3 2 3 2" xfId="3425"/>
    <cellStyle name="20% - Accent6 2 3 2 4" xfId="3426"/>
    <cellStyle name="20% - Accent6 2 3 2 5" xfId="3427"/>
    <cellStyle name="20% - Accent6 2 3 3" xfId="3428"/>
    <cellStyle name="20% - Accent6 2 3 3 2" xfId="3429"/>
    <cellStyle name="20% - Accent6 2 3 3 2 2" xfId="3430"/>
    <cellStyle name="20% - Accent6 2 3 3 3" xfId="3431"/>
    <cellStyle name="20% - Accent6 2 3 3 4" xfId="3432"/>
    <cellStyle name="20% - Accent6 2 3 4" xfId="3433"/>
    <cellStyle name="20% - Accent6 2 3 5" xfId="3434"/>
    <cellStyle name="20% - Accent6 2 3 5 2" xfId="3435"/>
    <cellStyle name="20% - Accent6 2 3 6" xfId="3436"/>
    <cellStyle name="20% - Accent6 2 3 7" xfId="3437"/>
    <cellStyle name="20% - Accent6 2 3 8" xfId="3438"/>
    <cellStyle name="20% - Accent6 2 4" xfId="3439"/>
    <cellStyle name="20% - Accent6 2 4 2" xfId="3440"/>
    <cellStyle name="20% - Accent6 2 4 2 2" xfId="3441"/>
    <cellStyle name="20% - Accent6 2 4 2 2 2" xfId="3442"/>
    <cellStyle name="20% - Accent6 2 4 2 3" xfId="3443"/>
    <cellStyle name="20% - Accent6 2 4 2 4" xfId="3444"/>
    <cellStyle name="20% - Accent6 2 4 3" xfId="3445"/>
    <cellStyle name="20% - Accent6 2 4 3 2" xfId="3446"/>
    <cellStyle name="20% - Accent6 2 4 4" xfId="3447"/>
    <cellStyle name="20% - Accent6 2 4 4 2" xfId="3448"/>
    <cellStyle name="20% - Accent6 2 4 5" xfId="3449"/>
    <cellStyle name="20% - Accent6 2 4 6" xfId="3450"/>
    <cellStyle name="20% - Accent6 2 5" xfId="3451"/>
    <cellStyle name="20% - Accent6 2 5 2" xfId="3452"/>
    <cellStyle name="20% - Accent6 2 5 2 2" xfId="3453"/>
    <cellStyle name="20% - Accent6 2 5 3" xfId="3454"/>
    <cellStyle name="20% - Accent6 2 5 4" xfId="3455"/>
    <cellStyle name="20% - Accent6 2 6" xfId="3456"/>
    <cellStyle name="20% - Accent6 2 6 10" xfId="3457"/>
    <cellStyle name="20% - Accent6 2 6 2" xfId="3458"/>
    <cellStyle name="20% - Accent6 2 6 2 2" xfId="3459"/>
    <cellStyle name="20% - Accent6 2 6 2 2 2" xfId="3460"/>
    <cellStyle name="20% - Accent6 2 6 2 2 2 2" xfId="3461"/>
    <cellStyle name="20% - Accent6 2 6 2 2 3" xfId="3462"/>
    <cellStyle name="20% - Accent6 2 6 2 2 3 2" xfId="3463"/>
    <cellStyle name="20% - Accent6 2 6 2 2 4" xfId="3464"/>
    <cellStyle name="20% - Accent6 2 6 2 2 5" xfId="3465"/>
    <cellStyle name="20% - Accent6 2 6 2 3" xfId="3466"/>
    <cellStyle name="20% - Accent6 2 6 2 3 2" xfId="3467"/>
    <cellStyle name="20% - Accent6 2 6 2 3 2 2" xfId="3468"/>
    <cellStyle name="20% - Accent6 2 6 2 3 3" xfId="3469"/>
    <cellStyle name="20% - Accent6 2 6 2 4" xfId="3470"/>
    <cellStyle name="20% - Accent6 2 6 2 4 2" xfId="3471"/>
    <cellStyle name="20% - Accent6 2 6 2 5" xfId="3472"/>
    <cellStyle name="20% - Accent6 2 6 2 5 2" xfId="3473"/>
    <cellStyle name="20% - Accent6 2 6 2 6" xfId="3474"/>
    <cellStyle name="20% - Accent6 2 6 3" xfId="3475"/>
    <cellStyle name="20% - Accent6 2 6 3 2" xfId="3476"/>
    <cellStyle name="20% - Accent6 2 6 3 2 2" xfId="3477"/>
    <cellStyle name="20% - Accent6 2 6 3 2 2 2" xfId="3478"/>
    <cellStyle name="20% - Accent6 2 6 3 2 3" xfId="3479"/>
    <cellStyle name="20% - Accent6 2 6 3 2 3 2" xfId="3480"/>
    <cellStyle name="20% - Accent6 2 6 3 2 4" xfId="3481"/>
    <cellStyle name="20% - Accent6 2 6 3 2 5" xfId="3482"/>
    <cellStyle name="20% - Accent6 2 6 3 3" xfId="3483"/>
    <cellStyle name="20% - Accent6 2 6 3 3 2" xfId="3484"/>
    <cellStyle name="20% - Accent6 2 6 3 3 2 2" xfId="3485"/>
    <cellStyle name="20% - Accent6 2 6 3 3 3" xfId="3486"/>
    <cellStyle name="20% - Accent6 2 6 3 4" xfId="3487"/>
    <cellStyle name="20% - Accent6 2 6 3 4 2" xfId="3488"/>
    <cellStyle name="20% - Accent6 2 6 3 5" xfId="3489"/>
    <cellStyle name="20% - Accent6 2 6 3 5 2" xfId="3490"/>
    <cellStyle name="20% - Accent6 2 6 3 6" xfId="3491"/>
    <cellStyle name="20% - Accent6 2 6 4" xfId="3492"/>
    <cellStyle name="20% - Accent6 2 6 4 2" xfId="3493"/>
    <cellStyle name="20% - Accent6 2 6 4 2 2" xfId="3494"/>
    <cellStyle name="20% - Accent6 2 6 4 2 2 2" xfId="3495"/>
    <cellStyle name="20% - Accent6 2 6 4 2 3" xfId="3496"/>
    <cellStyle name="20% - Accent6 2 6 4 3" xfId="3497"/>
    <cellStyle name="20% - Accent6 2 6 4 3 2" xfId="3498"/>
    <cellStyle name="20% - Accent6 2 6 4 4" xfId="3499"/>
    <cellStyle name="20% - Accent6 2 6 4 4 2" xfId="3500"/>
    <cellStyle name="20% - Accent6 2 6 4 5" xfId="3501"/>
    <cellStyle name="20% - Accent6 2 6 5" xfId="3502"/>
    <cellStyle name="20% - Accent6 2 6 5 2" xfId="3503"/>
    <cellStyle name="20% - Accent6 2 6 5 2 2" xfId="3504"/>
    <cellStyle name="20% - Accent6 2 6 5 3" xfId="3505"/>
    <cellStyle name="20% - Accent6 2 6 5 3 2" xfId="3506"/>
    <cellStyle name="20% - Accent6 2 6 5 4" xfId="3507"/>
    <cellStyle name="20% - Accent6 2 6 6" xfId="3508"/>
    <cellStyle name="20% - Accent6 2 6 6 2" xfId="3509"/>
    <cellStyle name="20% - Accent6 2 6 6 2 2" xfId="3510"/>
    <cellStyle name="20% - Accent6 2 6 6 3" xfId="3511"/>
    <cellStyle name="20% - Accent6 2 6 7" xfId="3512"/>
    <cellStyle name="20% - Accent6 2 6 7 2" xfId="3513"/>
    <cellStyle name="20% - Accent6 2 6 7 3" xfId="3514"/>
    <cellStyle name="20% - Accent6 2 6 8" xfId="3515"/>
    <cellStyle name="20% - Accent6 2 6 8 2" xfId="3516"/>
    <cellStyle name="20% - Accent6 2 6 9" xfId="3517"/>
    <cellStyle name="20% - Accent6 2 7" xfId="3518"/>
    <cellStyle name="20% - Accent6 2 7 2" xfId="3519"/>
    <cellStyle name="20% - Accent6 2 7 2 2" xfId="3520"/>
    <cellStyle name="20% - Accent6 2 7 3" xfId="3521"/>
    <cellStyle name="20% - Accent6 2 7 4" xfId="3522"/>
    <cellStyle name="20% - Accent6 2 8" xfId="3523"/>
    <cellStyle name="20% - Accent6 2 8 2" xfId="3524"/>
    <cellStyle name="20% - Accent6 2 9" xfId="3525"/>
    <cellStyle name="20% - Accent6 2 9 2" xfId="3526"/>
    <cellStyle name="20% - Accent6 20" xfId="3527"/>
    <cellStyle name="20% - Accent6 3" xfId="3528"/>
    <cellStyle name="20% - Accent6 3 10" xfId="3529"/>
    <cellStyle name="20% - Accent6 3 2" xfId="3530"/>
    <cellStyle name="20% - Accent6 3 2 2" xfId="3531"/>
    <cellStyle name="20% - Accent6 3 2 2 2" xfId="3532"/>
    <cellStyle name="20% - Accent6 3 2 2 2 2" xfId="3533"/>
    <cellStyle name="20% - Accent6 3 2 2 3" xfId="3534"/>
    <cellStyle name="20% - Accent6 3 2 2 4" xfId="3535"/>
    <cellStyle name="20% - Accent6 3 2 2 5" xfId="3536"/>
    <cellStyle name="20% - Accent6 3 2 3" xfId="3537"/>
    <cellStyle name="20% - Accent6 3 2 3 2" xfId="3538"/>
    <cellStyle name="20% - Accent6 3 2 3 2 2" xfId="3539"/>
    <cellStyle name="20% - Accent6 3 2 3 3" xfId="3540"/>
    <cellStyle name="20% - Accent6 3 2 3 4" xfId="3541"/>
    <cellStyle name="20% - Accent6 3 2 4" xfId="3542"/>
    <cellStyle name="20% - Accent6 3 2 4 2" xfId="3543"/>
    <cellStyle name="20% - Accent6 3 2 5" xfId="3544"/>
    <cellStyle name="20% - Accent6 3 2 5 2" xfId="3545"/>
    <cellStyle name="20% - Accent6 3 2 6" xfId="3546"/>
    <cellStyle name="20% - Accent6 3 2 7" xfId="3547"/>
    <cellStyle name="20% - Accent6 3 2 8" xfId="3548"/>
    <cellStyle name="20% - Accent6 3 3" xfId="3549"/>
    <cellStyle name="20% - Accent6 3 3 2" xfId="3550"/>
    <cellStyle name="20% - Accent6 3 3 2 2" xfId="3551"/>
    <cellStyle name="20% - Accent6 3 3 2 2 2" xfId="3552"/>
    <cellStyle name="20% - Accent6 3 3 2 3" xfId="3553"/>
    <cellStyle name="20% - Accent6 3 3 2 4" xfId="3554"/>
    <cellStyle name="20% - Accent6 3 3 3" xfId="3555"/>
    <cellStyle name="20% - Accent6 3 3 3 2" xfId="3556"/>
    <cellStyle name="20% - Accent6 3 3 4" xfId="3557"/>
    <cellStyle name="20% - Accent6 3 3 4 2" xfId="3558"/>
    <cellStyle name="20% - Accent6 3 3 5" xfId="3559"/>
    <cellStyle name="20% - Accent6 3 3 6" xfId="3560"/>
    <cellStyle name="20% - Accent6 3 3 7" xfId="3561"/>
    <cellStyle name="20% - Accent6 3 4" xfId="3562"/>
    <cellStyle name="20% - Accent6 3 4 2" xfId="3563"/>
    <cellStyle name="20% - Accent6 3 4 2 2" xfId="3564"/>
    <cellStyle name="20% - Accent6 3 4 3" xfId="3565"/>
    <cellStyle name="20% - Accent6 3 4 4" xfId="3566"/>
    <cellStyle name="20% - Accent6 3 5" xfId="3567"/>
    <cellStyle name="20% - Accent6 3 5 2" xfId="3568"/>
    <cellStyle name="20% - Accent6 3 6" xfId="3569"/>
    <cellStyle name="20% - Accent6 3 7" xfId="3570"/>
    <cellStyle name="20% - Accent6 3 7 2" xfId="3571"/>
    <cellStyle name="20% - Accent6 3 8" xfId="3572"/>
    <cellStyle name="20% - Accent6 3 9" xfId="3573"/>
    <cellStyle name="20% - Accent6 3 9 2" xfId="3574"/>
    <cellStyle name="20% - Accent6 4" xfId="3575"/>
    <cellStyle name="20% - Accent6 4 2" xfId="3576"/>
    <cellStyle name="20% - Accent6 4 2 2" xfId="3577"/>
    <cellStyle name="20% - Accent6 4 2 2 2" xfId="3578"/>
    <cellStyle name="20% - Accent6 4 2 2 2 2" xfId="3579"/>
    <cellStyle name="20% - Accent6 4 2 2 3" xfId="3580"/>
    <cellStyle name="20% - Accent6 4 2 2 4" xfId="3581"/>
    <cellStyle name="20% - Accent6 4 2 3" xfId="3582"/>
    <cellStyle name="20% - Accent6 4 2 3 2" xfId="3583"/>
    <cellStyle name="20% - Accent6 4 2 4" xfId="3584"/>
    <cellStyle name="20% - Accent6 4 2 4 2" xfId="3585"/>
    <cellStyle name="20% - Accent6 4 2 5" xfId="3586"/>
    <cellStyle name="20% - Accent6 4 2 6" xfId="3587"/>
    <cellStyle name="20% - Accent6 4 3" xfId="3588"/>
    <cellStyle name="20% - Accent6 4 3 2" xfId="3589"/>
    <cellStyle name="20% - Accent6 4 3 3" xfId="3590"/>
    <cellStyle name="20% - Accent6 4 3 3 2" xfId="3591"/>
    <cellStyle name="20% - Accent6 4 3 4" xfId="3592"/>
    <cellStyle name="20% - Accent6 4 4" xfId="3593"/>
    <cellStyle name="20% - Accent6 4 4 2" xfId="3594"/>
    <cellStyle name="20% - Accent6 4 4 2 2" xfId="3595"/>
    <cellStyle name="20% - Accent6 4 4 3" xfId="3596"/>
    <cellStyle name="20% - Accent6 4 4 4" xfId="3597"/>
    <cellStyle name="20% - Accent6 4 5" xfId="3598"/>
    <cellStyle name="20% - Accent6 4 5 2" xfId="3599"/>
    <cellStyle name="20% - Accent6 4 6" xfId="3600"/>
    <cellStyle name="20% - Accent6 4 6 2" xfId="3601"/>
    <cellStyle name="20% - Accent6 4 7" xfId="3602"/>
    <cellStyle name="20% - Accent6 4 7 2" xfId="3603"/>
    <cellStyle name="20% - Accent6 4 8" xfId="3604"/>
    <cellStyle name="20% - Accent6 4 9" xfId="3605"/>
    <cellStyle name="20% - Accent6 5" xfId="3606"/>
    <cellStyle name="20% - Accent6 5 10" xfId="3607"/>
    <cellStyle name="20% - Accent6 5 11" xfId="3608"/>
    <cellStyle name="20% - Accent6 5 2" xfId="3609"/>
    <cellStyle name="20% - Accent6 5 2 2" xfId="3610"/>
    <cellStyle name="20% - Accent6 5 2 2 2" xfId="3611"/>
    <cellStyle name="20% - Accent6 5 2 2 2 2" xfId="3612"/>
    <cellStyle name="20% - Accent6 5 2 2 2 2 2" xfId="3613"/>
    <cellStyle name="20% - Accent6 5 2 2 2 3" xfId="3614"/>
    <cellStyle name="20% - Accent6 5 2 2 2 3 2" xfId="3615"/>
    <cellStyle name="20% - Accent6 5 2 2 2 4" xfId="3616"/>
    <cellStyle name="20% - Accent6 5 2 2 2 4 2" xfId="3617"/>
    <cellStyle name="20% - Accent6 5 2 2 2 5" xfId="3618"/>
    <cellStyle name="20% - Accent6 5 2 2 3" xfId="3619"/>
    <cellStyle name="20% - Accent6 5 2 2 3 2" xfId="3620"/>
    <cellStyle name="20% - Accent6 5 2 2 3 2 2" xfId="3621"/>
    <cellStyle name="20% - Accent6 5 2 2 3 3" xfId="3622"/>
    <cellStyle name="20% - Accent6 5 2 2 3 3 2" xfId="3623"/>
    <cellStyle name="20% - Accent6 5 2 2 3 4" xfId="3624"/>
    <cellStyle name="20% - Accent6 5 2 2 4" xfId="3625"/>
    <cellStyle name="20% - Accent6 5 2 2 4 2" xfId="3626"/>
    <cellStyle name="20% - Accent6 5 2 2 4 2 2" xfId="3627"/>
    <cellStyle name="20% - Accent6 5 2 2 4 3" xfId="3628"/>
    <cellStyle name="20% - Accent6 5 2 2 4 3 2" xfId="3629"/>
    <cellStyle name="20% - Accent6 5 2 2 4 4" xfId="3630"/>
    <cellStyle name="20% - Accent6 5 2 2 5" xfId="3631"/>
    <cellStyle name="20% - Accent6 5 2 2 5 2" xfId="3632"/>
    <cellStyle name="20% - Accent6 5 2 2 5 2 2" xfId="3633"/>
    <cellStyle name="20% - Accent6 5 2 2 5 3" xfId="3634"/>
    <cellStyle name="20% - Accent6 5 2 2 5 3 2" xfId="3635"/>
    <cellStyle name="20% - Accent6 5 2 2 5 4" xfId="3636"/>
    <cellStyle name="20% - Accent6 5 2 2 6" xfId="3637"/>
    <cellStyle name="20% - Accent6 5 2 2 7" xfId="3638"/>
    <cellStyle name="20% - Accent6 5 2 3" xfId="3639"/>
    <cellStyle name="20% - Accent6 5 2 4" xfId="3640"/>
    <cellStyle name="20% - Accent6 5 2 5" xfId="3641"/>
    <cellStyle name="20% - Accent6 5 2 5 2" xfId="3642"/>
    <cellStyle name="20% - Accent6 5 2 6" xfId="3643"/>
    <cellStyle name="20% - Accent6 5 3" xfId="3644"/>
    <cellStyle name="20% - Accent6 5 3 2" xfId="3645"/>
    <cellStyle name="20% - Accent6 5 3 2 2" xfId="3646"/>
    <cellStyle name="20% - Accent6 5 3 3" xfId="3647"/>
    <cellStyle name="20% - Accent6 5 3 4" xfId="3648"/>
    <cellStyle name="20% - Accent6 5 3 5" xfId="3649"/>
    <cellStyle name="20% - Accent6 5 3 5 2" xfId="3650"/>
    <cellStyle name="20% - Accent6 5 3 6" xfId="3651"/>
    <cellStyle name="20% - Accent6 5 4" xfId="3652"/>
    <cellStyle name="20% - Accent6 5 4 2" xfId="3653"/>
    <cellStyle name="20% - Accent6 5 5" xfId="3654"/>
    <cellStyle name="20% - Accent6 5 5 2" xfId="3655"/>
    <cellStyle name="20% - Accent6 5 5 2 2" xfId="3656"/>
    <cellStyle name="20% - Accent6 5 5 2 2 2" xfId="3657"/>
    <cellStyle name="20% - Accent6 5 5 2 3" xfId="3658"/>
    <cellStyle name="20% - Accent6 5 5 2 3 2" xfId="3659"/>
    <cellStyle name="20% - Accent6 5 5 2 4" xfId="3660"/>
    <cellStyle name="20% - Accent6 5 5 2 4 2" xfId="3661"/>
    <cellStyle name="20% - Accent6 5 5 2 5" xfId="3662"/>
    <cellStyle name="20% - Accent6 5 5 3" xfId="3663"/>
    <cellStyle name="20% - Accent6 5 5 3 2" xfId="3664"/>
    <cellStyle name="20% - Accent6 5 5 3 2 2" xfId="3665"/>
    <cellStyle name="20% - Accent6 5 5 3 3" xfId="3666"/>
    <cellStyle name="20% - Accent6 5 5 3 3 2" xfId="3667"/>
    <cellStyle name="20% - Accent6 5 5 3 4" xfId="3668"/>
    <cellStyle name="20% - Accent6 5 5 4" xfId="3669"/>
    <cellStyle name="20% - Accent6 5 5 4 2" xfId="3670"/>
    <cellStyle name="20% - Accent6 5 5 4 2 2" xfId="3671"/>
    <cellStyle name="20% - Accent6 5 5 4 3" xfId="3672"/>
    <cellStyle name="20% - Accent6 5 5 4 3 2" xfId="3673"/>
    <cellStyle name="20% - Accent6 5 5 4 4" xfId="3674"/>
    <cellStyle name="20% - Accent6 5 5 5" xfId="3675"/>
    <cellStyle name="20% - Accent6 5 5 5 2" xfId="3676"/>
    <cellStyle name="20% - Accent6 5 5 5 2 2" xfId="3677"/>
    <cellStyle name="20% - Accent6 5 5 5 3" xfId="3678"/>
    <cellStyle name="20% - Accent6 5 5 5 3 2" xfId="3679"/>
    <cellStyle name="20% - Accent6 5 5 5 4" xfId="3680"/>
    <cellStyle name="20% - Accent6 5 5 6" xfId="3681"/>
    <cellStyle name="20% - Accent6 5 6" xfId="3682"/>
    <cellStyle name="20% - Accent6 5 6 2" xfId="3683"/>
    <cellStyle name="20% - Accent6 5 6 2 2" xfId="3684"/>
    <cellStyle name="20% - Accent6 5 6 2 2 2" xfId="3685"/>
    <cellStyle name="20% - Accent6 5 6 2 2 2 2" xfId="3686"/>
    <cellStyle name="20% - Accent6 5 6 2 2 3" xfId="3687"/>
    <cellStyle name="20% - Accent6 5 6 2 2 3 2" xfId="3688"/>
    <cellStyle name="20% - Accent6 5 6 2 2 4" xfId="3689"/>
    <cellStyle name="20% - Accent6 5 6 2 2 5" xfId="3690"/>
    <cellStyle name="20% - Accent6 5 6 2 3" xfId="3691"/>
    <cellStyle name="20% - Accent6 5 6 2 3 2" xfId="3692"/>
    <cellStyle name="20% - Accent6 5 6 2 3 2 2" xfId="3693"/>
    <cellStyle name="20% - Accent6 5 6 2 3 3" xfId="3694"/>
    <cellStyle name="20% - Accent6 5 6 2 4" xfId="3695"/>
    <cellStyle name="20% - Accent6 5 6 2 4 2" xfId="3696"/>
    <cellStyle name="20% - Accent6 5 6 2 5" xfId="3697"/>
    <cellStyle name="20% - Accent6 5 6 2 5 2" xfId="3698"/>
    <cellStyle name="20% - Accent6 5 6 2 6" xfId="3699"/>
    <cellStyle name="20% - Accent6 5 6 3" xfId="3700"/>
    <cellStyle name="20% - Accent6 5 6 3 2" xfId="3701"/>
    <cellStyle name="20% - Accent6 5 6 3 2 2" xfId="3702"/>
    <cellStyle name="20% - Accent6 5 6 3 2 2 2" xfId="3703"/>
    <cellStyle name="20% - Accent6 5 6 3 2 3" xfId="3704"/>
    <cellStyle name="20% - Accent6 5 6 3 2 3 2" xfId="3705"/>
    <cellStyle name="20% - Accent6 5 6 3 2 4" xfId="3706"/>
    <cellStyle name="20% - Accent6 5 6 3 2 5" xfId="3707"/>
    <cellStyle name="20% - Accent6 5 6 3 3" xfId="3708"/>
    <cellStyle name="20% - Accent6 5 6 3 3 2" xfId="3709"/>
    <cellStyle name="20% - Accent6 5 6 3 3 2 2" xfId="3710"/>
    <cellStyle name="20% - Accent6 5 6 3 3 3" xfId="3711"/>
    <cellStyle name="20% - Accent6 5 6 3 4" xfId="3712"/>
    <cellStyle name="20% - Accent6 5 6 3 4 2" xfId="3713"/>
    <cellStyle name="20% - Accent6 5 6 3 5" xfId="3714"/>
    <cellStyle name="20% - Accent6 5 6 3 5 2" xfId="3715"/>
    <cellStyle name="20% - Accent6 5 6 3 6" xfId="3716"/>
    <cellStyle name="20% - Accent6 5 6 4" xfId="3717"/>
    <cellStyle name="20% - Accent6 5 6 4 2" xfId="3718"/>
    <cellStyle name="20% - Accent6 5 6 4 2 2" xfId="3719"/>
    <cellStyle name="20% - Accent6 5 6 4 3" xfId="3720"/>
    <cellStyle name="20% - Accent6 5 6 4 3 2" xfId="3721"/>
    <cellStyle name="20% - Accent6 5 6 4 4" xfId="3722"/>
    <cellStyle name="20% - Accent6 5 6 5" xfId="3723"/>
    <cellStyle name="20% - Accent6 5 6 5 2" xfId="3724"/>
    <cellStyle name="20% - Accent6 5 6 5 3" xfId="3725"/>
    <cellStyle name="20% - Accent6 5 6 6" xfId="3726"/>
    <cellStyle name="20% - Accent6 5 6 6 2" xfId="3727"/>
    <cellStyle name="20% - Accent6 5 6 6 3" xfId="3728"/>
    <cellStyle name="20% - Accent6 5 6 7" xfId="3729"/>
    <cellStyle name="20% - Accent6 5 6 7 2" xfId="3730"/>
    <cellStyle name="20% - Accent6 5 6 7 3" xfId="3731"/>
    <cellStyle name="20% - Accent6 5 6 8" xfId="3732"/>
    <cellStyle name="20% - Accent6 5 7" xfId="3733"/>
    <cellStyle name="20% - Accent6 5 7 2" xfId="3734"/>
    <cellStyle name="20% - Accent6 5 7 2 2" xfId="3735"/>
    <cellStyle name="20% - Accent6 5 7 2 2 2" xfId="3736"/>
    <cellStyle name="20% - Accent6 5 7 2 3" xfId="3737"/>
    <cellStyle name="20% - Accent6 5 7 2 3 2" xfId="3738"/>
    <cellStyle name="20% - Accent6 5 7 2 4" xfId="3739"/>
    <cellStyle name="20% - Accent6 5 7 2 4 2" xfId="3740"/>
    <cellStyle name="20% - Accent6 5 7 2 5" xfId="3741"/>
    <cellStyle name="20% - Accent6 5 7 3" xfId="3742"/>
    <cellStyle name="20% - Accent6 5 7 3 2" xfId="3743"/>
    <cellStyle name="20% - Accent6 5 7 3 2 2" xfId="3744"/>
    <cellStyle name="20% - Accent6 5 7 3 3" xfId="3745"/>
    <cellStyle name="20% - Accent6 5 7 3 3 2" xfId="3746"/>
    <cellStyle name="20% - Accent6 5 7 3 4" xfId="3747"/>
    <cellStyle name="20% - Accent6 5 7 4" xfId="3748"/>
    <cellStyle name="20% - Accent6 5 7 4 2" xfId="3749"/>
    <cellStyle name="20% - Accent6 5 7 5" xfId="3750"/>
    <cellStyle name="20% - Accent6 5 7 5 2" xfId="3751"/>
    <cellStyle name="20% - Accent6 5 7 6" xfId="3752"/>
    <cellStyle name="20% - Accent6 5 7 7" xfId="3753"/>
    <cellStyle name="20% - Accent6 5 8" xfId="3754"/>
    <cellStyle name="20% - Accent6 5 8 2" xfId="3755"/>
    <cellStyle name="20% - Accent6 5 8 2 2" xfId="3756"/>
    <cellStyle name="20% - Accent6 5 8 2 2 2" xfId="3757"/>
    <cellStyle name="20% - Accent6 5 8 2 3" xfId="3758"/>
    <cellStyle name="20% - Accent6 5 8 2 3 2" xfId="3759"/>
    <cellStyle name="20% - Accent6 5 8 2 4" xfId="3760"/>
    <cellStyle name="20% - Accent6 5 8 3" xfId="3761"/>
    <cellStyle name="20% - Accent6 5 8 3 2" xfId="3762"/>
    <cellStyle name="20% - Accent6 5 8 4" xfId="3763"/>
    <cellStyle name="20% - Accent6 5 9" xfId="3764"/>
    <cellStyle name="20% - Accent6 5 9 2" xfId="3765"/>
    <cellStyle name="20% - Accent6 6" xfId="3766"/>
    <cellStyle name="20% - Accent6 6 10" xfId="3767"/>
    <cellStyle name="20% - Accent6 6 2" xfId="3768"/>
    <cellStyle name="20% - Accent6 6 2 2" xfId="3769"/>
    <cellStyle name="20% - Accent6 6 2 2 2" xfId="3770"/>
    <cellStyle name="20% - Accent6 6 2 3" xfId="3771"/>
    <cellStyle name="20% - Accent6 6 2 4" xfId="3772"/>
    <cellStyle name="20% - Accent6 6 2 5" xfId="3773"/>
    <cellStyle name="20% - Accent6 6 2 5 2" xfId="3774"/>
    <cellStyle name="20% - Accent6 6 2 5 2 2" xfId="3775"/>
    <cellStyle name="20% - Accent6 6 2 5 3" xfId="3776"/>
    <cellStyle name="20% - Accent6 6 2 5 3 2" xfId="3777"/>
    <cellStyle name="20% - Accent6 6 2 5 4" xfId="3778"/>
    <cellStyle name="20% - Accent6 6 2 5 5" xfId="3779"/>
    <cellStyle name="20% - Accent6 6 2 6" xfId="3780"/>
    <cellStyle name="20% - Accent6 6 2 6 2" xfId="3781"/>
    <cellStyle name="20% - Accent6 6 2 7" xfId="3782"/>
    <cellStyle name="20% - Accent6 6 2 7 2" xfId="3783"/>
    <cellStyle name="20% - Accent6 6 2 8" xfId="3784"/>
    <cellStyle name="20% - Accent6 6 2 8 2" xfId="3785"/>
    <cellStyle name="20% - Accent6 6 2 9" xfId="3786"/>
    <cellStyle name="20% - Accent6 6 3" xfId="3787"/>
    <cellStyle name="20% - Accent6 6 3 2" xfId="3788"/>
    <cellStyle name="20% - Accent6 6 3 3" xfId="3789"/>
    <cellStyle name="20% - Accent6 6 3 4" xfId="3790"/>
    <cellStyle name="20% - Accent6 6 3 4 2" xfId="3791"/>
    <cellStyle name="20% - Accent6 6 3 5" xfId="3792"/>
    <cellStyle name="20% - Accent6 6 3 5 2" xfId="3793"/>
    <cellStyle name="20% - Accent6 6 4" xfId="3794"/>
    <cellStyle name="20% - Accent6 6 4 2" xfId="3795"/>
    <cellStyle name="20% - Accent6 6 4 2 2" xfId="3796"/>
    <cellStyle name="20% - Accent6 6 4 2 2 2" xfId="3797"/>
    <cellStyle name="20% - Accent6 6 4 2 2 2 2" xfId="3798"/>
    <cellStyle name="20% - Accent6 6 4 2 2 3" xfId="3799"/>
    <cellStyle name="20% - Accent6 6 4 2 2 3 2" xfId="3800"/>
    <cellStyle name="20% - Accent6 6 4 2 2 4" xfId="3801"/>
    <cellStyle name="20% - Accent6 6 4 2 2 5" xfId="3802"/>
    <cellStyle name="20% - Accent6 6 4 2 3" xfId="3803"/>
    <cellStyle name="20% - Accent6 6 4 2 3 2" xfId="3804"/>
    <cellStyle name="20% - Accent6 6 4 2 3 2 2" xfId="3805"/>
    <cellStyle name="20% - Accent6 6 4 2 3 3" xfId="3806"/>
    <cellStyle name="20% - Accent6 6 4 2 4" xfId="3807"/>
    <cellStyle name="20% - Accent6 6 4 2 4 2" xfId="3808"/>
    <cellStyle name="20% - Accent6 6 4 2 5" xfId="3809"/>
    <cellStyle name="20% - Accent6 6 4 2 5 2" xfId="3810"/>
    <cellStyle name="20% - Accent6 6 4 2 6" xfId="3811"/>
    <cellStyle name="20% - Accent6 6 4 3" xfId="3812"/>
    <cellStyle name="20% - Accent6 6 4 3 2" xfId="3813"/>
    <cellStyle name="20% - Accent6 6 4 3 2 2" xfId="3814"/>
    <cellStyle name="20% - Accent6 6 4 3 3" xfId="3815"/>
    <cellStyle name="20% - Accent6 6 4 3 3 2" xfId="3816"/>
    <cellStyle name="20% - Accent6 6 4 3 4" xfId="3817"/>
    <cellStyle name="20% - Accent6 6 4 4" xfId="3818"/>
    <cellStyle name="20% - Accent6 6 4 4 2" xfId="3819"/>
    <cellStyle name="20% - Accent6 6 4 4 3" xfId="3820"/>
    <cellStyle name="20% - Accent6 6 4 5" xfId="3821"/>
    <cellStyle name="20% - Accent6 6 4 5 2" xfId="3822"/>
    <cellStyle name="20% - Accent6 6 4 5 3" xfId="3823"/>
    <cellStyle name="20% - Accent6 6 4 6" xfId="3824"/>
    <cellStyle name="20% - Accent6 6 4 6 2" xfId="3825"/>
    <cellStyle name="20% - Accent6 6 4 6 3" xfId="3826"/>
    <cellStyle name="20% - Accent6 6 4 7" xfId="3827"/>
    <cellStyle name="20% - Accent6 6 4 8" xfId="3828"/>
    <cellStyle name="20% - Accent6 6 5" xfId="3829"/>
    <cellStyle name="20% - Accent6 6 5 2" xfId="3830"/>
    <cellStyle name="20% - Accent6 6 5 2 2" xfId="3831"/>
    <cellStyle name="20% - Accent6 6 5 2 2 2" xfId="3832"/>
    <cellStyle name="20% - Accent6 6 5 2 3" xfId="3833"/>
    <cellStyle name="20% - Accent6 6 5 2 3 2" xfId="3834"/>
    <cellStyle name="20% - Accent6 6 5 2 4" xfId="3835"/>
    <cellStyle name="20% - Accent6 6 5 3" xfId="3836"/>
    <cellStyle name="20% - Accent6 6 5 3 2" xfId="3837"/>
    <cellStyle name="20% - Accent6 6 5 3 3" xfId="3838"/>
    <cellStyle name="20% - Accent6 6 5 4" xfId="3839"/>
    <cellStyle name="20% - Accent6 6 5 4 2" xfId="3840"/>
    <cellStyle name="20% - Accent6 6 5 4 3" xfId="3841"/>
    <cellStyle name="20% - Accent6 6 5 5" xfId="3842"/>
    <cellStyle name="20% - Accent6 6 5 5 2" xfId="3843"/>
    <cellStyle name="20% - Accent6 6 5 5 3" xfId="3844"/>
    <cellStyle name="20% - Accent6 6 5 6" xfId="3845"/>
    <cellStyle name="20% - Accent6 6 6" xfId="3846"/>
    <cellStyle name="20% - Accent6 6 7" xfId="3847"/>
    <cellStyle name="20% - Accent6 6 7 2" xfId="3848"/>
    <cellStyle name="20% - Accent6 6 7 2 2" xfId="3849"/>
    <cellStyle name="20% - Accent6 6 7 3" xfId="3850"/>
    <cellStyle name="20% - Accent6 6 7 3 2" xfId="3851"/>
    <cellStyle name="20% - Accent6 6 7 4" xfId="3852"/>
    <cellStyle name="20% - Accent6 6 7 5" xfId="3853"/>
    <cellStyle name="20% - Accent6 6 8" xfId="3854"/>
    <cellStyle name="20% - Accent6 6 8 2" xfId="3855"/>
    <cellStyle name="20% - Accent6 6 8 2 2" xfId="3856"/>
    <cellStyle name="20% - Accent6 6 8 3" xfId="3857"/>
    <cellStyle name="20% - Accent6 6 9" xfId="3858"/>
    <cellStyle name="20% - Accent6 6 9 2" xfId="3859"/>
    <cellStyle name="20% - Accent6 7" xfId="3860"/>
    <cellStyle name="20% - Accent6 7 2" xfId="3861"/>
    <cellStyle name="20% - Accent6 7 2 2" xfId="3862"/>
    <cellStyle name="20% - Accent6 7 2 2 2" xfId="3863"/>
    <cellStyle name="20% - Accent6 7 2 2 2 2" xfId="3864"/>
    <cellStyle name="20% - Accent6 7 2 2 3" xfId="3865"/>
    <cellStyle name="20% - Accent6 7 2 2 3 2" xfId="3866"/>
    <cellStyle name="20% - Accent6 7 2 2 4" xfId="3867"/>
    <cellStyle name="20% - Accent6 7 2 3" xfId="3868"/>
    <cellStyle name="20% - Accent6 7 2 3 2" xfId="3869"/>
    <cellStyle name="20% - Accent6 7 2 3 2 2" xfId="3870"/>
    <cellStyle name="20% - Accent6 7 2 3 3" xfId="3871"/>
    <cellStyle name="20% - Accent6 7 2 4" xfId="3872"/>
    <cellStyle name="20% - Accent6 7 2 4 2" xfId="3873"/>
    <cellStyle name="20% - Accent6 7 2 4 2 2" xfId="3874"/>
    <cellStyle name="20% - Accent6 7 2 4 3" xfId="3875"/>
    <cellStyle name="20% - Accent6 7 2 4 3 2" xfId="3876"/>
    <cellStyle name="20% - Accent6 7 2 4 4" xfId="3877"/>
    <cellStyle name="20% - Accent6 7 2 5" xfId="3878"/>
    <cellStyle name="20% - Accent6 7 2 5 2" xfId="3879"/>
    <cellStyle name="20% - Accent6 7 2 5 2 2" xfId="3880"/>
    <cellStyle name="20% - Accent6 7 2 6" xfId="3881"/>
    <cellStyle name="20% - Accent6 7 3" xfId="3882"/>
    <cellStyle name="20% - Accent6 7 3 2" xfId="3883"/>
    <cellStyle name="20% - Accent6 7 3 2 2" xfId="3884"/>
    <cellStyle name="20% - Accent6 7 3 2 2 2" xfId="3885"/>
    <cellStyle name="20% - Accent6 7 3 2 3" xfId="3886"/>
    <cellStyle name="20% - Accent6 7 3 2 3 2" xfId="3887"/>
    <cellStyle name="20% - Accent6 7 3 2 4" xfId="3888"/>
    <cellStyle name="20% - Accent6 7 3 3" xfId="3889"/>
    <cellStyle name="20% - Accent6 7 3 3 2" xfId="3890"/>
    <cellStyle name="20% - Accent6 7 3 3 2 2" xfId="3891"/>
    <cellStyle name="20% - Accent6 7 3 3 3" xfId="3892"/>
    <cellStyle name="20% - Accent6 7 3 3 3 2" xfId="3893"/>
    <cellStyle name="20% - Accent6 7 3 3 4" xfId="3894"/>
    <cellStyle name="20% - Accent6 7 3 4" xfId="3895"/>
    <cellStyle name="20% - Accent6 7 4" xfId="3896"/>
    <cellStyle name="20% - Accent6 7 4 2" xfId="3897"/>
    <cellStyle name="20% - Accent6 7 4 2 2" xfId="3898"/>
    <cellStyle name="20% - Accent6 7 4 3" xfId="3899"/>
    <cellStyle name="20% - Accent6 7 4 3 2" xfId="3900"/>
    <cellStyle name="20% - Accent6 7 4 4" xfId="3901"/>
    <cellStyle name="20% - Accent6 7 4 4 2" xfId="3902"/>
    <cellStyle name="20% - Accent6 7 4 5" xfId="3903"/>
    <cellStyle name="20% - Accent6 7 5" xfId="3904"/>
    <cellStyle name="20% - Accent6 7 5 2" xfId="3905"/>
    <cellStyle name="20% - Accent6 7 5 2 2" xfId="3906"/>
    <cellStyle name="20% - Accent6 7 5 2 2 2" xfId="3907"/>
    <cellStyle name="20% - Accent6 7 5 3" xfId="3908"/>
    <cellStyle name="20% - Accent6 7 5 3 2" xfId="3909"/>
    <cellStyle name="20% - Accent6 7 5 4" xfId="3910"/>
    <cellStyle name="20% - Accent6 7 6" xfId="3911"/>
    <cellStyle name="20% - Accent6 7 6 2" xfId="3912"/>
    <cellStyle name="20% - Accent6 7 7" xfId="3913"/>
    <cellStyle name="20% - Accent6 7 7 2" xfId="3914"/>
    <cellStyle name="20% - Accent6 7 8" xfId="3915"/>
    <cellStyle name="20% - Accent6 7 8 2" xfId="3916"/>
    <cellStyle name="20% - Accent6 7 9" xfId="3917"/>
    <cellStyle name="20% - Accent6 8" xfId="3918"/>
    <cellStyle name="20% - Accent6 8 2" xfId="3919"/>
    <cellStyle name="20% - Accent6 8 2 2" xfId="3920"/>
    <cellStyle name="20% - Accent6 8 2 2 2" xfId="3921"/>
    <cellStyle name="20% - Accent6 8 2 2 2 2" xfId="3922"/>
    <cellStyle name="20% - Accent6 8 2 2 3" xfId="3923"/>
    <cellStyle name="20% - Accent6 8 2 2 3 2" xfId="3924"/>
    <cellStyle name="20% - Accent6 8 2 2 4" xfId="3925"/>
    <cellStyle name="20% - Accent6 8 2 3" xfId="3926"/>
    <cellStyle name="20% - Accent6 8 2 3 2" xfId="3927"/>
    <cellStyle name="20% - Accent6 8 2 3 2 2" xfId="3928"/>
    <cellStyle name="20% - Accent6 8 2 3 3" xfId="3929"/>
    <cellStyle name="20% - Accent6 8 2 4" xfId="3930"/>
    <cellStyle name="20% - Accent6 8 2 4 2" xfId="3931"/>
    <cellStyle name="20% - Accent6 8 2 4 2 2" xfId="3932"/>
    <cellStyle name="20% - Accent6 8 2 4 3" xfId="3933"/>
    <cellStyle name="20% - Accent6 8 2 4 3 2" xfId="3934"/>
    <cellStyle name="20% - Accent6 8 2 4 4" xfId="3935"/>
    <cellStyle name="20% - Accent6 8 2 5" xfId="3936"/>
    <cellStyle name="20% - Accent6 8 2 5 2" xfId="3937"/>
    <cellStyle name="20% - Accent6 8 2 6" xfId="3938"/>
    <cellStyle name="20% - Accent6 8 3" xfId="3939"/>
    <cellStyle name="20% - Accent6 8 3 2" xfId="3940"/>
    <cellStyle name="20% - Accent6 8 3 2 2" xfId="3941"/>
    <cellStyle name="20% - Accent6 8 3 2 2 2" xfId="3942"/>
    <cellStyle name="20% - Accent6 8 3 2 3" xfId="3943"/>
    <cellStyle name="20% - Accent6 8 3 2 3 2" xfId="3944"/>
    <cellStyle name="20% - Accent6 8 3 2 4" xfId="3945"/>
    <cellStyle name="20% - Accent6 8 3 3" xfId="3946"/>
    <cellStyle name="20% - Accent6 8 3 3 2" xfId="3947"/>
    <cellStyle name="20% - Accent6 8 3 3 2 2" xfId="3948"/>
    <cellStyle name="20% - Accent6 8 3 3 3" xfId="3949"/>
    <cellStyle name="20% - Accent6 8 3 3 3 2" xfId="3950"/>
    <cellStyle name="20% - Accent6 8 3 3 4" xfId="3951"/>
    <cellStyle name="20% - Accent6 8 3 4" xfId="3952"/>
    <cellStyle name="20% - Accent6 8 3 4 2" xfId="3953"/>
    <cellStyle name="20% - Accent6 8 3 5" xfId="3954"/>
    <cellStyle name="20% - Accent6 8 3 5 2" xfId="3955"/>
    <cellStyle name="20% - Accent6 8 3 6" xfId="3956"/>
    <cellStyle name="20% - Accent6 8 4" xfId="3957"/>
    <cellStyle name="20% - Accent6 8 4 2" xfId="3958"/>
    <cellStyle name="20% - Accent6 8 4 2 2" xfId="3959"/>
    <cellStyle name="20% - Accent6 8 4 3" xfId="3960"/>
    <cellStyle name="20% - Accent6 8 5" xfId="3961"/>
    <cellStyle name="20% - Accent6 8 5 2" xfId="3962"/>
    <cellStyle name="20% - Accent6 8 6" xfId="3963"/>
    <cellStyle name="20% - Accent6 8 6 2" xfId="3964"/>
    <cellStyle name="20% - Accent6 8 7" xfId="3965"/>
    <cellStyle name="20% - Accent6 9" xfId="3966"/>
    <cellStyle name="20% - Accent6 9 2" xfId="3967"/>
    <cellStyle name="20% - Accent6 9 2 2" xfId="3968"/>
    <cellStyle name="20% - Accent6 9 2 2 2" xfId="3969"/>
    <cellStyle name="20% - Accent6 9 2 3" xfId="3970"/>
    <cellStyle name="20% - Accent6 9 2 3 2" xfId="3971"/>
    <cellStyle name="20% - Accent6 9 2 4" xfId="3972"/>
    <cellStyle name="20% - Accent6 9 2 4 2" xfId="3973"/>
    <cellStyle name="20% - Accent6 9 2 5" xfId="3974"/>
    <cellStyle name="20% - Accent6 9 3" xfId="3975"/>
    <cellStyle name="20% - Accent6 9 3 2" xfId="3976"/>
    <cellStyle name="20% - Accent6 9 3 2 2" xfId="3977"/>
    <cellStyle name="20% - Accent6 9 3 3" xfId="3978"/>
    <cellStyle name="20% - Accent6 9 3 3 2" xfId="3979"/>
    <cellStyle name="20% - Accent6 9 3 4" xfId="3980"/>
    <cellStyle name="20% - Accent6 9 4" xfId="3981"/>
    <cellStyle name="20% - Accent6 9 4 2" xfId="3982"/>
    <cellStyle name="20% - Accent6 9 4 2 2" xfId="3983"/>
    <cellStyle name="20% - Accent6 9 4 3" xfId="3984"/>
    <cellStyle name="20% - Accent6 9 5" xfId="3985"/>
    <cellStyle name="20% - Accent6 9 5 2" xfId="3986"/>
    <cellStyle name="20% - Accent6 9 6" xfId="3987"/>
    <cellStyle name="20% - Accent6 9 7" xfId="3988"/>
    <cellStyle name="40% - Accent1 10" xfId="3989"/>
    <cellStyle name="40% - Accent1 10 2" xfId="3990"/>
    <cellStyle name="40% - Accent1 10 2 2" xfId="3991"/>
    <cellStyle name="40% - Accent1 10 2 2 2" xfId="3992"/>
    <cellStyle name="40% - Accent1 10 2 3" xfId="3993"/>
    <cellStyle name="40% - Accent1 10 2 3 2" xfId="3994"/>
    <cellStyle name="40% - Accent1 10 2 4" xfId="3995"/>
    <cellStyle name="40% - Accent1 10 2 4 2" xfId="3996"/>
    <cellStyle name="40% - Accent1 10 2 5" xfId="3997"/>
    <cellStyle name="40% - Accent1 10 3" xfId="3998"/>
    <cellStyle name="40% - Accent1 10 3 2" xfId="3999"/>
    <cellStyle name="40% - Accent1 10 3 2 2" xfId="4000"/>
    <cellStyle name="40% - Accent1 10 3 3" xfId="4001"/>
    <cellStyle name="40% - Accent1 10 4" xfId="4002"/>
    <cellStyle name="40% - Accent1 10 4 2" xfId="4003"/>
    <cellStyle name="40% - Accent1 10 5" xfId="4004"/>
    <cellStyle name="40% - Accent1 10 5 2" xfId="4005"/>
    <cellStyle name="40% - Accent1 10 6" xfId="4006"/>
    <cellStyle name="40% - Accent1 10 7" xfId="4007"/>
    <cellStyle name="40% - Accent1 11" xfId="4008"/>
    <cellStyle name="40% - Accent1 11 2" xfId="4009"/>
    <cellStyle name="40% - Accent1 11 2 2" xfId="4010"/>
    <cellStyle name="40% - Accent1 11 3" xfId="4011"/>
    <cellStyle name="40% - Accent1 12" xfId="4012"/>
    <cellStyle name="40% - Accent1 12 2" xfId="4013"/>
    <cellStyle name="40% - Accent1 13" xfId="4014"/>
    <cellStyle name="40% - Accent1 13 2" xfId="4015"/>
    <cellStyle name="40% - Accent1 14" xfId="4016"/>
    <cellStyle name="40% - Accent1 14 2" xfId="4017"/>
    <cellStyle name="40% - Accent1 14 3" xfId="4018"/>
    <cellStyle name="40% - Accent1 15" xfId="4019"/>
    <cellStyle name="40% - Accent1 15 2" xfId="4020"/>
    <cellStyle name="40% - Accent1 16" xfId="4021"/>
    <cellStyle name="40% - Accent1 16 2" xfId="4022"/>
    <cellStyle name="40% - Accent1 17" xfId="4023"/>
    <cellStyle name="40% - Accent1 17 2" xfId="4024"/>
    <cellStyle name="40% - Accent1 18" xfId="4025"/>
    <cellStyle name="40% - Accent1 19" xfId="4026"/>
    <cellStyle name="40% - Accent1 2" xfId="4027"/>
    <cellStyle name="40% - Accent1 2 10" xfId="4028"/>
    <cellStyle name="40% - Accent1 2 10 2" xfId="4029"/>
    <cellStyle name="40% - Accent1 2 11" xfId="4030"/>
    <cellStyle name="40% - Accent1 2 12" xfId="4031"/>
    <cellStyle name="40% - Accent1 2 12 2" xfId="4032"/>
    <cellStyle name="40% - Accent1 2 12 2 2" xfId="4033"/>
    <cellStyle name="40% - Accent1 2 12 3" xfId="4034"/>
    <cellStyle name="40% - Accent1 2 12 4" xfId="4035"/>
    <cellStyle name="40% - Accent1 2 12 4 2" xfId="4036"/>
    <cellStyle name="40% - Accent1 2 12 5" xfId="4037"/>
    <cellStyle name="40% - Accent1 2 13" xfId="4038"/>
    <cellStyle name="40% - Accent1 2 13 2" xfId="4039"/>
    <cellStyle name="40% - Accent1 2 13 2 2" xfId="4040"/>
    <cellStyle name="40% - Accent1 2 13 3" xfId="4041"/>
    <cellStyle name="40% - Accent1 2 14" xfId="4042"/>
    <cellStyle name="40% - Accent1 2 15" xfId="4043"/>
    <cellStyle name="40% - Accent1 2 2" xfId="4044"/>
    <cellStyle name="40% - Accent1 2 2 10" xfId="4045"/>
    <cellStyle name="40% - Accent1 2 2 10 2" xfId="4046"/>
    <cellStyle name="40% - Accent1 2 2 11" xfId="4047"/>
    <cellStyle name="40% - Accent1 2 2 2" xfId="4048"/>
    <cellStyle name="40% - Accent1 2 2 2 2" xfId="4049"/>
    <cellStyle name="40% - Accent1 2 2 2 2 2" xfId="4050"/>
    <cellStyle name="40% - Accent1 2 2 2 2 3" xfId="4051"/>
    <cellStyle name="40% - Accent1 2 2 2 3" xfId="4052"/>
    <cellStyle name="40% - Accent1 2 2 2 3 2" xfId="4053"/>
    <cellStyle name="40% - Accent1 2 2 2 4" xfId="4054"/>
    <cellStyle name="40% - Accent1 2 2 2 5" xfId="4055"/>
    <cellStyle name="40% - Accent1 2 2 3" xfId="4056"/>
    <cellStyle name="40% - Accent1 2 2 3 2" xfId="4057"/>
    <cellStyle name="40% - Accent1 2 2 3 2 2" xfId="4058"/>
    <cellStyle name="40% - Accent1 2 2 3 2 3" xfId="4059"/>
    <cellStyle name="40% - Accent1 2 2 3 3" xfId="4060"/>
    <cellStyle name="40% - Accent1 2 2 3 3 2" xfId="4061"/>
    <cellStyle name="40% - Accent1 2 2 3 4" xfId="4062"/>
    <cellStyle name="40% - Accent1 2 2 3 5" xfId="4063"/>
    <cellStyle name="40% - Accent1 2 2 4" xfId="4064"/>
    <cellStyle name="40% - Accent1 2 2 4 2" xfId="4065"/>
    <cellStyle name="40% - Accent1 2 2 4 2 2" xfId="4066"/>
    <cellStyle name="40% - Accent1 2 2 4 3" xfId="4067"/>
    <cellStyle name="40% - Accent1 2 2 4 4" xfId="4068"/>
    <cellStyle name="40% - Accent1 2 2 5" xfId="4069"/>
    <cellStyle name="40% - Accent1 2 2 5 2" xfId="4070"/>
    <cellStyle name="40% - Accent1 2 2 6" xfId="4071"/>
    <cellStyle name="40% - Accent1 2 2 6 2" xfId="4072"/>
    <cellStyle name="40% - Accent1 2 2 7" xfId="4073"/>
    <cellStyle name="40% - Accent1 2 2 8" xfId="4074"/>
    <cellStyle name="40% - Accent1 2 2 9" xfId="4075"/>
    <cellStyle name="40% - Accent1 2 2 9 2" xfId="4076"/>
    <cellStyle name="40% - Accent1 2 3" xfId="4077"/>
    <cellStyle name="40% - Accent1 2 3 2" xfId="4078"/>
    <cellStyle name="40% - Accent1 2 3 2 2" xfId="4079"/>
    <cellStyle name="40% - Accent1 2 3 2 2 2" xfId="4080"/>
    <cellStyle name="40% - Accent1 2 3 2 2 3" xfId="4081"/>
    <cellStyle name="40% - Accent1 2 3 2 3" xfId="4082"/>
    <cellStyle name="40% - Accent1 2 3 2 3 2" xfId="4083"/>
    <cellStyle name="40% - Accent1 2 3 2 4" xfId="4084"/>
    <cellStyle name="40% - Accent1 2 3 2 5" xfId="4085"/>
    <cellStyle name="40% - Accent1 2 3 3" xfId="4086"/>
    <cellStyle name="40% - Accent1 2 3 3 2" xfId="4087"/>
    <cellStyle name="40% - Accent1 2 3 3 2 2" xfId="4088"/>
    <cellStyle name="40% - Accent1 2 3 3 3" xfId="4089"/>
    <cellStyle name="40% - Accent1 2 3 3 4" xfId="4090"/>
    <cellStyle name="40% - Accent1 2 3 4" xfId="4091"/>
    <cellStyle name="40% - Accent1 2 3 5" xfId="4092"/>
    <cellStyle name="40% - Accent1 2 3 5 2" xfId="4093"/>
    <cellStyle name="40% - Accent1 2 3 6" xfId="4094"/>
    <cellStyle name="40% - Accent1 2 3 7" xfId="4095"/>
    <cellStyle name="40% - Accent1 2 3 8" xfId="4096"/>
    <cellStyle name="40% - Accent1 2 4" xfId="4097"/>
    <cellStyle name="40% - Accent1 2 4 2" xfId="4098"/>
    <cellStyle name="40% - Accent1 2 4 2 2" xfId="4099"/>
    <cellStyle name="40% - Accent1 2 4 2 2 2" xfId="4100"/>
    <cellStyle name="40% - Accent1 2 4 2 3" xfId="4101"/>
    <cellStyle name="40% - Accent1 2 4 2 4" xfId="4102"/>
    <cellStyle name="40% - Accent1 2 4 3" xfId="4103"/>
    <cellStyle name="40% - Accent1 2 4 3 2" xfId="4104"/>
    <cellStyle name="40% - Accent1 2 4 4" xfId="4105"/>
    <cellStyle name="40% - Accent1 2 4 4 2" xfId="4106"/>
    <cellStyle name="40% - Accent1 2 4 5" xfId="4107"/>
    <cellStyle name="40% - Accent1 2 4 6" xfId="4108"/>
    <cellStyle name="40% - Accent1 2 5" xfId="4109"/>
    <cellStyle name="40% - Accent1 2 5 2" xfId="4110"/>
    <cellStyle name="40% - Accent1 2 5 2 2" xfId="4111"/>
    <cellStyle name="40% - Accent1 2 5 3" xfId="4112"/>
    <cellStyle name="40% - Accent1 2 5 4" xfId="4113"/>
    <cellStyle name="40% - Accent1 2 6" xfId="4114"/>
    <cellStyle name="40% - Accent1 2 6 10" xfId="4115"/>
    <cellStyle name="40% - Accent1 2 6 2" xfId="4116"/>
    <cellStyle name="40% - Accent1 2 6 2 2" xfId="4117"/>
    <cellStyle name="40% - Accent1 2 6 2 2 2" xfId="4118"/>
    <cellStyle name="40% - Accent1 2 6 2 2 2 2" xfId="4119"/>
    <cellStyle name="40% - Accent1 2 6 2 2 3" xfId="4120"/>
    <cellStyle name="40% - Accent1 2 6 2 2 3 2" xfId="4121"/>
    <cellStyle name="40% - Accent1 2 6 2 2 4" xfId="4122"/>
    <cellStyle name="40% - Accent1 2 6 2 2 5" xfId="4123"/>
    <cellStyle name="40% - Accent1 2 6 2 3" xfId="4124"/>
    <cellStyle name="40% - Accent1 2 6 2 3 2" xfId="4125"/>
    <cellStyle name="40% - Accent1 2 6 2 3 2 2" xfId="4126"/>
    <cellStyle name="40% - Accent1 2 6 2 3 3" xfId="4127"/>
    <cellStyle name="40% - Accent1 2 6 2 4" xfId="4128"/>
    <cellStyle name="40% - Accent1 2 6 2 4 2" xfId="4129"/>
    <cellStyle name="40% - Accent1 2 6 2 5" xfId="4130"/>
    <cellStyle name="40% - Accent1 2 6 2 5 2" xfId="4131"/>
    <cellStyle name="40% - Accent1 2 6 2 6" xfId="4132"/>
    <cellStyle name="40% - Accent1 2 6 3" xfId="4133"/>
    <cellStyle name="40% - Accent1 2 6 3 2" xfId="4134"/>
    <cellStyle name="40% - Accent1 2 6 3 2 2" xfId="4135"/>
    <cellStyle name="40% - Accent1 2 6 3 2 2 2" xfId="4136"/>
    <cellStyle name="40% - Accent1 2 6 3 2 3" xfId="4137"/>
    <cellStyle name="40% - Accent1 2 6 3 2 3 2" xfId="4138"/>
    <cellStyle name="40% - Accent1 2 6 3 2 4" xfId="4139"/>
    <cellStyle name="40% - Accent1 2 6 3 2 5" xfId="4140"/>
    <cellStyle name="40% - Accent1 2 6 3 3" xfId="4141"/>
    <cellStyle name="40% - Accent1 2 6 3 3 2" xfId="4142"/>
    <cellStyle name="40% - Accent1 2 6 3 3 2 2" xfId="4143"/>
    <cellStyle name="40% - Accent1 2 6 3 3 3" xfId="4144"/>
    <cellStyle name="40% - Accent1 2 6 3 4" xfId="4145"/>
    <cellStyle name="40% - Accent1 2 6 3 4 2" xfId="4146"/>
    <cellStyle name="40% - Accent1 2 6 3 5" xfId="4147"/>
    <cellStyle name="40% - Accent1 2 6 3 5 2" xfId="4148"/>
    <cellStyle name="40% - Accent1 2 6 3 6" xfId="4149"/>
    <cellStyle name="40% - Accent1 2 6 4" xfId="4150"/>
    <cellStyle name="40% - Accent1 2 6 4 2" xfId="4151"/>
    <cellStyle name="40% - Accent1 2 6 4 2 2" xfId="4152"/>
    <cellStyle name="40% - Accent1 2 6 4 2 2 2" xfId="4153"/>
    <cellStyle name="40% - Accent1 2 6 4 2 3" xfId="4154"/>
    <cellStyle name="40% - Accent1 2 6 4 3" xfId="4155"/>
    <cellStyle name="40% - Accent1 2 6 4 3 2" xfId="4156"/>
    <cellStyle name="40% - Accent1 2 6 4 4" xfId="4157"/>
    <cellStyle name="40% - Accent1 2 6 4 4 2" xfId="4158"/>
    <cellStyle name="40% - Accent1 2 6 4 5" xfId="4159"/>
    <cellStyle name="40% - Accent1 2 6 5" xfId="4160"/>
    <cellStyle name="40% - Accent1 2 6 5 2" xfId="4161"/>
    <cellStyle name="40% - Accent1 2 6 5 2 2" xfId="4162"/>
    <cellStyle name="40% - Accent1 2 6 5 3" xfId="4163"/>
    <cellStyle name="40% - Accent1 2 6 5 3 2" xfId="4164"/>
    <cellStyle name="40% - Accent1 2 6 5 4" xfId="4165"/>
    <cellStyle name="40% - Accent1 2 6 6" xfId="4166"/>
    <cellStyle name="40% - Accent1 2 6 6 2" xfId="4167"/>
    <cellStyle name="40% - Accent1 2 6 6 2 2" xfId="4168"/>
    <cellStyle name="40% - Accent1 2 6 6 3" xfId="4169"/>
    <cellStyle name="40% - Accent1 2 6 7" xfId="4170"/>
    <cellStyle name="40% - Accent1 2 6 7 2" xfId="4171"/>
    <cellStyle name="40% - Accent1 2 6 7 3" xfId="4172"/>
    <cellStyle name="40% - Accent1 2 6 8" xfId="4173"/>
    <cellStyle name="40% - Accent1 2 6 8 2" xfId="4174"/>
    <cellStyle name="40% - Accent1 2 6 9" xfId="4175"/>
    <cellStyle name="40% - Accent1 2 7" xfId="4176"/>
    <cellStyle name="40% - Accent1 2 7 2" xfId="4177"/>
    <cellStyle name="40% - Accent1 2 7 2 2" xfId="4178"/>
    <cellStyle name="40% - Accent1 2 7 3" xfId="4179"/>
    <cellStyle name="40% - Accent1 2 7 4" xfId="4180"/>
    <cellStyle name="40% - Accent1 2 8" xfId="4181"/>
    <cellStyle name="40% - Accent1 2 8 2" xfId="4182"/>
    <cellStyle name="40% - Accent1 2 9" xfId="4183"/>
    <cellStyle name="40% - Accent1 2 9 2" xfId="4184"/>
    <cellStyle name="40% - Accent1 20" xfId="4185"/>
    <cellStyle name="40% - Accent1 3" xfId="4186"/>
    <cellStyle name="40% - Accent1 3 10" xfId="4187"/>
    <cellStyle name="40% - Accent1 3 2" xfId="4188"/>
    <cellStyle name="40% - Accent1 3 2 2" xfId="4189"/>
    <cellStyle name="40% - Accent1 3 2 2 2" xfId="4190"/>
    <cellStyle name="40% - Accent1 3 2 2 2 2" xfId="4191"/>
    <cellStyle name="40% - Accent1 3 2 2 3" xfId="4192"/>
    <cellStyle name="40% - Accent1 3 2 2 4" xfId="4193"/>
    <cellStyle name="40% - Accent1 3 2 2 5" xfId="4194"/>
    <cellStyle name="40% - Accent1 3 2 3" xfId="4195"/>
    <cellStyle name="40% - Accent1 3 2 3 2" xfId="4196"/>
    <cellStyle name="40% - Accent1 3 2 3 2 2" xfId="4197"/>
    <cellStyle name="40% - Accent1 3 2 3 3" xfId="4198"/>
    <cellStyle name="40% - Accent1 3 2 3 4" xfId="4199"/>
    <cellStyle name="40% - Accent1 3 2 4" xfId="4200"/>
    <cellStyle name="40% - Accent1 3 2 4 2" xfId="4201"/>
    <cellStyle name="40% - Accent1 3 2 5" xfId="4202"/>
    <cellStyle name="40% - Accent1 3 2 5 2" xfId="4203"/>
    <cellStyle name="40% - Accent1 3 2 6" xfId="4204"/>
    <cellStyle name="40% - Accent1 3 2 7" xfId="4205"/>
    <cellStyle name="40% - Accent1 3 2 8" xfId="4206"/>
    <cellStyle name="40% - Accent1 3 3" xfId="4207"/>
    <cellStyle name="40% - Accent1 3 3 2" xfId="4208"/>
    <cellStyle name="40% - Accent1 3 3 2 2" xfId="4209"/>
    <cellStyle name="40% - Accent1 3 3 2 2 2" xfId="4210"/>
    <cellStyle name="40% - Accent1 3 3 2 3" xfId="4211"/>
    <cellStyle name="40% - Accent1 3 3 2 4" xfId="4212"/>
    <cellStyle name="40% - Accent1 3 3 3" xfId="4213"/>
    <cellStyle name="40% - Accent1 3 3 3 2" xfId="4214"/>
    <cellStyle name="40% - Accent1 3 3 4" xfId="4215"/>
    <cellStyle name="40% - Accent1 3 3 4 2" xfId="4216"/>
    <cellStyle name="40% - Accent1 3 3 5" xfId="4217"/>
    <cellStyle name="40% - Accent1 3 3 6" xfId="4218"/>
    <cellStyle name="40% - Accent1 3 3 7" xfId="4219"/>
    <cellStyle name="40% - Accent1 3 4" xfId="4220"/>
    <cellStyle name="40% - Accent1 3 4 2" xfId="4221"/>
    <cellStyle name="40% - Accent1 3 4 2 2" xfId="4222"/>
    <cellStyle name="40% - Accent1 3 4 3" xfId="4223"/>
    <cellStyle name="40% - Accent1 3 4 4" xfId="4224"/>
    <cellStyle name="40% - Accent1 3 5" xfId="4225"/>
    <cellStyle name="40% - Accent1 3 5 2" xfId="4226"/>
    <cellStyle name="40% - Accent1 3 6" xfId="4227"/>
    <cellStyle name="40% - Accent1 3 7" xfId="4228"/>
    <cellStyle name="40% - Accent1 3 7 2" xfId="4229"/>
    <cellStyle name="40% - Accent1 3 8" xfId="4230"/>
    <cellStyle name="40% - Accent1 3 9" xfId="4231"/>
    <cellStyle name="40% - Accent1 3 9 2" xfId="4232"/>
    <cellStyle name="40% - Accent1 4" xfId="4233"/>
    <cellStyle name="40% - Accent1 4 2" xfId="4234"/>
    <cellStyle name="40% - Accent1 4 2 2" xfId="4235"/>
    <cellStyle name="40% - Accent1 4 2 2 2" xfId="4236"/>
    <cellStyle name="40% - Accent1 4 2 2 2 2" xfId="4237"/>
    <cellStyle name="40% - Accent1 4 2 2 3" xfId="4238"/>
    <cellStyle name="40% - Accent1 4 2 2 4" xfId="4239"/>
    <cellStyle name="40% - Accent1 4 2 3" xfId="4240"/>
    <cellStyle name="40% - Accent1 4 2 3 2" xfId="4241"/>
    <cellStyle name="40% - Accent1 4 2 4" xfId="4242"/>
    <cellStyle name="40% - Accent1 4 2 4 2" xfId="4243"/>
    <cellStyle name="40% - Accent1 4 2 5" xfId="4244"/>
    <cellStyle name="40% - Accent1 4 2 6" xfId="4245"/>
    <cellStyle name="40% - Accent1 4 3" xfId="4246"/>
    <cellStyle name="40% - Accent1 4 3 2" xfId="4247"/>
    <cellStyle name="40% - Accent1 4 3 3" xfId="4248"/>
    <cellStyle name="40% - Accent1 4 3 3 2" xfId="4249"/>
    <cellStyle name="40% - Accent1 4 3 4" xfId="4250"/>
    <cellStyle name="40% - Accent1 4 4" xfId="4251"/>
    <cellStyle name="40% - Accent1 4 4 2" xfId="4252"/>
    <cellStyle name="40% - Accent1 4 4 2 2" xfId="4253"/>
    <cellStyle name="40% - Accent1 4 4 3" xfId="4254"/>
    <cellStyle name="40% - Accent1 4 4 4" xfId="4255"/>
    <cellStyle name="40% - Accent1 4 5" xfId="4256"/>
    <cellStyle name="40% - Accent1 4 5 2" xfId="4257"/>
    <cellStyle name="40% - Accent1 4 6" xfId="4258"/>
    <cellStyle name="40% - Accent1 4 6 2" xfId="4259"/>
    <cellStyle name="40% - Accent1 4 7" xfId="4260"/>
    <cellStyle name="40% - Accent1 4 7 2" xfId="4261"/>
    <cellStyle name="40% - Accent1 4 8" xfId="4262"/>
    <cellStyle name="40% - Accent1 4 9" xfId="4263"/>
    <cellStyle name="40% - Accent1 5" xfId="4264"/>
    <cellStyle name="40% - Accent1 5 10" xfId="4265"/>
    <cellStyle name="40% - Accent1 5 11" xfId="4266"/>
    <cellStyle name="40% - Accent1 5 2" xfId="4267"/>
    <cellStyle name="40% - Accent1 5 2 2" xfId="4268"/>
    <cellStyle name="40% - Accent1 5 2 2 2" xfId="4269"/>
    <cellStyle name="40% - Accent1 5 2 2 2 2" xfId="4270"/>
    <cellStyle name="40% - Accent1 5 2 2 2 2 2" xfId="4271"/>
    <cellStyle name="40% - Accent1 5 2 2 2 3" xfId="4272"/>
    <cellStyle name="40% - Accent1 5 2 2 2 3 2" xfId="4273"/>
    <cellStyle name="40% - Accent1 5 2 2 2 4" xfId="4274"/>
    <cellStyle name="40% - Accent1 5 2 2 2 4 2" xfId="4275"/>
    <cellStyle name="40% - Accent1 5 2 2 2 5" xfId="4276"/>
    <cellStyle name="40% - Accent1 5 2 2 3" xfId="4277"/>
    <cellStyle name="40% - Accent1 5 2 2 3 2" xfId="4278"/>
    <cellStyle name="40% - Accent1 5 2 2 3 2 2" xfId="4279"/>
    <cellStyle name="40% - Accent1 5 2 2 3 3" xfId="4280"/>
    <cellStyle name="40% - Accent1 5 2 2 3 3 2" xfId="4281"/>
    <cellStyle name="40% - Accent1 5 2 2 3 4" xfId="4282"/>
    <cellStyle name="40% - Accent1 5 2 2 4" xfId="4283"/>
    <cellStyle name="40% - Accent1 5 2 2 4 2" xfId="4284"/>
    <cellStyle name="40% - Accent1 5 2 2 4 2 2" xfId="4285"/>
    <cellStyle name="40% - Accent1 5 2 2 4 3" xfId="4286"/>
    <cellStyle name="40% - Accent1 5 2 2 4 3 2" xfId="4287"/>
    <cellStyle name="40% - Accent1 5 2 2 4 4" xfId="4288"/>
    <cellStyle name="40% - Accent1 5 2 2 5" xfId="4289"/>
    <cellStyle name="40% - Accent1 5 2 2 5 2" xfId="4290"/>
    <cellStyle name="40% - Accent1 5 2 2 5 2 2" xfId="4291"/>
    <cellStyle name="40% - Accent1 5 2 2 5 3" xfId="4292"/>
    <cellStyle name="40% - Accent1 5 2 2 5 3 2" xfId="4293"/>
    <cellStyle name="40% - Accent1 5 2 2 5 4" xfId="4294"/>
    <cellStyle name="40% - Accent1 5 2 2 6" xfId="4295"/>
    <cellStyle name="40% - Accent1 5 2 2 7" xfId="4296"/>
    <cellStyle name="40% - Accent1 5 2 3" xfId="4297"/>
    <cellStyle name="40% - Accent1 5 2 4" xfId="4298"/>
    <cellStyle name="40% - Accent1 5 2 5" xfId="4299"/>
    <cellStyle name="40% - Accent1 5 2 5 2" xfId="4300"/>
    <cellStyle name="40% - Accent1 5 2 6" xfId="4301"/>
    <cellStyle name="40% - Accent1 5 3" xfId="4302"/>
    <cellStyle name="40% - Accent1 5 3 2" xfId="4303"/>
    <cellStyle name="40% - Accent1 5 3 2 2" xfId="4304"/>
    <cellStyle name="40% - Accent1 5 3 3" xfId="4305"/>
    <cellStyle name="40% - Accent1 5 3 4" xfId="4306"/>
    <cellStyle name="40% - Accent1 5 3 5" xfId="4307"/>
    <cellStyle name="40% - Accent1 5 3 5 2" xfId="4308"/>
    <cellStyle name="40% - Accent1 5 3 6" xfId="4309"/>
    <cellStyle name="40% - Accent1 5 4" xfId="4310"/>
    <cellStyle name="40% - Accent1 5 4 2" xfId="4311"/>
    <cellStyle name="40% - Accent1 5 5" xfId="4312"/>
    <cellStyle name="40% - Accent1 5 5 2" xfId="4313"/>
    <cellStyle name="40% - Accent1 5 5 2 2" xfId="4314"/>
    <cellStyle name="40% - Accent1 5 5 2 2 2" xfId="4315"/>
    <cellStyle name="40% - Accent1 5 5 2 3" xfId="4316"/>
    <cellStyle name="40% - Accent1 5 5 2 3 2" xfId="4317"/>
    <cellStyle name="40% - Accent1 5 5 2 4" xfId="4318"/>
    <cellStyle name="40% - Accent1 5 5 2 4 2" xfId="4319"/>
    <cellStyle name="40% - Accent1 5 5 2 5" xfId="4320"/>
    <cellStyle name="40% - Accent1 5 5 3" xfId="4321"/>
    <cellStyle name="40% - Accent1 5 5 3 2" xfId="4322"/>
    <cellStyle name="40% - Accent1 5 5 3 2 2" xfId="4323"/>
    <cellStyle name="40% - Accent1 5 5 3 3" xfId="4324"/>
    <cellStyle name="40% - Accent1 5 5 3 3 2" xfId="4325"/>
    <cellStyle name="40% - Accent1 5 5 3 4" xfId="4326"/>
    <cellStyle name="40% - Accent1 5 5 4" xfId="4327"/>
    <cellStyle name="40% - Accent1 5 5 4 2" xfId="4328"/>
    <cellStyle name="40% - Accent1 5 5 4 2 2" xfId="4329"/>
    <cellStyle name="40% - Accent1 5 5 4 3" xfId="4330"/>
    <cellStyle name="40% - Accent1 5 5 4 3 2" xfId="4331"/>
    <cellStyle name="40% - Accent1 5 5 4 4" xfId="4332"/>
    <cellStyle name="40% - Accent1 5 5 5" xfId="4333"/>
    <cellStyle name="40% - Accent1 5 5 5 2" xfId="4334"/>
    <cellStyle name="40% - Accent1 5 5 5 2 2" xfId="4335"/>
    <cellStyle name="40% - Accent1 5 5 5 3" xfId="4336"/>
    <cellStyle name="40% - Accent1 5 5 5 3 2" xfId="4337"/>
    <cellStyle name="40% - Accent1 5 5 5 4" xfId="4338"/>
    <cellStyle name="40% - Accent1 5 5 6" xfId="4339"/>
    <cellStyle name="40% - Accent1 5 6" xfId="4340"/>
    <cellStyle name="40% - Accent1 5 6 2" xfId="4341"/>
    <cellStyle name="40% - Accent1 5 6 2 2" xfId="4342"/>
    <cellStyle name="40% - Accent1 5 6 2 2 2" xfId="4343"/>
    <cellStyle name="40% - Accent1 5 6 2 2 2 2" xfId="4344"/>
    <cellStyle name="40% - Accent1 5 6 2 2 3" xfId="4345"/>
    <cellStyle name="40% - Accent1 5 6 2 2 3 2" xfId="4346"/>
    <cellStyle name="40% - Accent1 5 6 2 2 4" xfId="4347"/>
    <cellStyle name="40% - Accent1 5 6 2 2 5" xfId="4348"/>
    <cellStyle name="40% - Accent1 5 6 2 3" xfId="4349"/>
    <cellStyle name="40% - Accent1 5 6 2 3 2" xfId="4350"/>
    <cellStyle name="40% - Accent1 5 6 2 3 2 2" xfId="4351"/>
    <cellStyle name="40% - Accent1 5 6 2 3 3" xfId="4352"/>
    <cellStyle name="40% - Accent1 5 6 2 4" xfId="4353"/>
    <cellStyle name="40% - Accent1 5 6 2 4 2" xfId="4354"/>
    <cellStyle name="40% - Accent1 5 6 2 5" xfId="4355"/>
    <cellStyle name="40% - Accent1 5 6 2 5 2" xfId="4356"/>
    <cellStyle name="40% - Accent1 5 6 2 6" xfId="4357"/>
    <cellStyle name="40% - Accent1 5 6 3" xfId="4358"/>
    <cellStyle name="40% - Accent1 5 6 3 2" xfId="4359"/>
    <cellStyle name="40% - Accent1 5 6 3 2 2" xfId="4360"/>
    <cellStyle name="40% - Accent1 5 6 3 2 2 2" xfId="4361"/>
    <cellStyle name="40% - Accent1 5 6 3 2 3" xfId="4362"/>
    <cellStyle name="40% - Accent1 5 6 3 2 3 2" xfId="4363"/>
    <cellStyle name="40% - Accent1 5 6 3 2 4" xfId="4364"/>
    <cellStyle name="40% - Accent1 5 6 3 2 5" xfId="4365"/>
    <cellStyle name="40% - Accent1 5 6 3 3" xfId="4366"/>
    <cellStyle name="40% - Accent1 5 6 3 3 2" xfId="4367"/>
    <cellStyle name="40% - Accent1 5 6 3 3 2 2" xfId="4368"/>
    <cellStyle name="40% - Accent1 5 6 3 3 3" xfId="4369"/>
    <cellStyle name="40% - Accent1 5 6 3 4" xfId="4370"/>
    <cellStyle name="40% - Accent1 5 6 3 4 2" xfId="4371"/>
    <cellStyle name="40% - Accent1 5 6 3 5" xfId="4372"/>
    <cellStyle name="40% - Accent1 5 6 3 5 2" xfId="4373"/>
    <cellStyle name="40% - Accent1 5 6 3 6" xfId="4374"/>
    <cellStyle name="40% - Accent1 5 6 4" xfId="4375"/>
    <cellStyle name="40% - Accent1 5 6 4 2" xfId="4376"/>
    <cellStyle name="40% - Accent1 5 6 4 2 2" xfId="4377"/>
    <cellStyle name="40% - Accent1 5 6 4 3" xfId="4378"/>
    <cellStyle name="40% - Accent1 5 6 4 3 2" xfId="4379"/>
    <cellStyle name="40% - Accent1 5 6 4 4" xfId="4380"/>
    <cellStyle name="40% - Accent1 5 6 5" xfId="4381"/>
    <cellStyle name="40% - Accent1 5 6 5 2" xfId="4382"/>
    <cellStyle name="40% - Accent1 5 6 5 3" xfId="4383"/>
    <cellStyle name="40% - Accent1 5 6 6" xfId="4384"/>
    <cellStyle name="40% - Accent1 5 6 6 2" xfId="4385"/>
    <cellStyle name="40% - Accent1 5 6 6 3" xfId="4386"/>
    <cellStyle name="40% - Accent1 5 6 7" xfId="4387"/>
    <cellStyle name="40% - Accent1 5 6 7 2" xfId="4388"/>
    <cellStyle name="40% - Accent1 5 6 7 3" xfId="4389"/>
    <cellStyle name="40% - Accent1 5 6 8" xfId="4390"/>
    <cellStyle name="40% - Accent1 5 7" xfId="4391"/>
    <cellStyle name="40% - Accent1 5 7 2" xfId="4392"/>
    <cellStyle name="40% - Accent1 5 7 2 2" xfId="4393"/>
    <cellStyle name="40% - Accent1 5 7 2 2 2" xfId="4394"/>
    <cellStyle name="40% - Accent1 5 7 2 3" xfId="4395"/>
    <cellStyle name="40% - Accent1 5 7 2 3 2" xfId="4396"/>
    <cellStyle name="40% - Accent1 5 7 2 4" xfId="4397"/>
    <cellStyle name="40% - Accent1 5 7 2 4 2" xfId="4398"/>
    <cellStyle name="40% - Accent1 5 7 2 5" xfId="4399"/>
    <cellStyle name="40% - Accent1 5 7 3" xfId="4400"/>
    <cellStyle name="40% - Accent1 5 7 3 2" xfId="4401"/>
    <cellStyle name="40% - Accent1 5 7 3 2 2" xfId="4402"/>
    <cellStyle name="40% - Accent1 5 7 3 3" xfId="4403"/>
    <cellStyle name="40% - Accent1 5 7 3 3 2" xfId="4404"/>
    <cellStyle name="40% - Accent1 5 7 3 4" xfId="4405"/>
    <cellStyle name="40% - Accent1 5 7 4" xfId="4406"/>
    <cellStyle name="40% - Accent1 5 7 4 2" xfId="4407"/>
    <cellStyle name="40% - Accent1 5 7 5" xfId="4408"/>
    <cellStyle name="40% - Accent1 5 7 5 2" xfId="4409"/>
    <cellStyle name="40% - Accent1 5 7 6" xfId="4410"/>
    <cellStyle name="40% - Accent1 5 7 7" xfId="4411"/>
    <cellStyle name="40% - Accent1 5 8" xfId="4412"/>
    <cellStyle name="40% - Accent1 5 8 2" xfId="4413"/>
    <cellStyle name="40% - Accent1 5 8 2 2" xfId="4414"/>
    <cellStyle name="40% - Accent1 5 8 2 2 2" xfId="4415"/>
    <cellStyle name="40% - Accent1 5 8 2 3" xfId="4416"/>
    <cellStyle name="40% - Accent1 5 8 2 3 2" xfId="4417"/>
    <cellStyle name="40% - Accent1 5 8 2 4" xfId="4418"/>
    <cellStyle name="40% - Accent1 5 8 3" xfId="4419"/>
    <cellStyle name="40% - Accent1 5 8 3 2" xfId="4420"/>
    <cellStyle name="40% - Accent1 5 8 4" xfId="4421"/>
    <cellStyle name="40% - Accent1 5 9" xfId="4422"/>
    <cellStyle name="40% - Accent1 5 9 2" xfId="4423"/>
    <cellStyle name="40% - Accent1 6" xfId="4424"/>
    <cellStyle name="40% - Accent1 6 10" xfId="4425"/>
    <cellStyle name="40% - Accent1 6 2" xfId="4426"/>
    <cellStyle name="40% - Accent1 6 2 2" xfId="4427"/>
    <cellStyle name="40% - Accent1 6 2 2 2" xfId="4428"/>
    <cellStyle name="40% - Accent1 6 2 3" xfId="4429"/>
    <cellStyle name="40% - Accent1 6 2 4" xfId="4430"/>
    <cellStyle name="40% - Accent1 6 2 5" xfId="4431"/>
    <cellStyle name="40% - Accent1 6 2 5 2" xfId="4432"/>
    <cellStyle name="40% - Accent1 6 2 5 2 2" xfId="4433"/>
    <cellStyle name="40% - Accent1 6 2 5 3" xfId="4434"/>
    <cellStyle name="40% - Accent1 6 2 5 3 2" xfId="4435"/>
    <cellStyle name="40% - Accent1 6 2 5 4" xfId="4436"/>
    <cellStyle name="40% - Accent1 6 2 5 5" xfId="4437"/>
    <cellStyle name="40% - Accent1 6 2 6" xfId="4438"/>
    <cellStyle name="40% - Accent1 6 2 6 2" xfId="4439"/>
    <cellStyle name="40% - Accent1 6 2 7" xfId="4440"/>
    <cellStyle name="40% - Accent1 6 2 7 2" xfId="4441"/>
    <cellStyle name="40% - Accent1 6 2 8" xfId="4442"/>
    <cellStyle name="40% - Accent1 6 2 8 2" xfId="4443"/>
    <cellStyle name="40% - Accent1 6 2 9" xfId="4444"/>
    <cellStyle name="40% - Accent1 6 3" xfId="4445"/>
    <cellStyle name="40% - Accent1 6 3 2" xfId="4446"/>
    <cellStyle name="40% - Accent1 6 3 3" xfId="4447"/>
    <cellStyle name="40% - Accent1 6 3 4" xfId="4448"/>
    <cellStyle name="40% - Accent1 6 3 4 2" xfId="4449"/>
    <cellStyle name="40% - Accent1 6 3 5" xfId="4450"/>
    <cellStyle name="40% - Accent1 6 3 5 2" xfId="4451"/>
    <cellStyle name="40% - Accent1 6 4" xfId="4452"/>
    <cellStyle name="40% - Accent1 6 4 2" xfId="4453"/>
    <cellStyle name="40% - Accent1 6 4 2 2" xfId="4454"/>
    <cellStyle name="40% - Accent1 6 4 2 2 2" xfId="4455"/>
    <cellStyle name="40% - Accent1 6 4 2 2 2 2" xfId="4456"/>
    <cellStyle name="40% - Accent1 6 4 2 2 3" xfId="4457"/>
    <cellStyle name="40% - Accent1 6 4 2 2 3 2" xfId="4458"/>
    <cellStyle name="40% - Accent1 6 4 2 2 4" xfId="4459"/>
    <cellStyle name="40% - Accent1 6 4 2 2 5" xfId="4460"/>
    <cellStyle name="40% - Accent1 6 4 2 3" xfId="4461"/>
    <cellStyle name="40% - Accent1 6 4 2 3 2" xfId="4462"/>
    <cellStyle name="40% - Accent1 6 4 2 3 2 2" xfId="4463"/>
    <cellStyle name="40% - Accent1 6 4 2 3 3" xfId="4464"/>
    <cellStyle name="40% - Accent1 6 4 2 4" xfId="4465"/>
    <cellStyle name="40% - Accent1 6 4 2 4 2" xfId="4466"/>
    <cellStyle name="40% - Accent1 6 4 2 5" xfId="4467"/>
    <cellStyle name="40% - Accent1 6 4 2 5 2" xfId="4468"/>
    <cellStyle name="40% - Accent1 6 4 2 6" xfId="4469"/>
    <cellStyle name="40% - Accent1 6 4 3" xfId="4470"/>
    <cellStyle name="40% - Accent1 6 4 3 2" xfId="4471"/>
    <cellStyle name="40% - Accent1 6 4 3 2 2" xfId="4472"/>
    <cellStyle name="40% - Accent1 6 4 3 3" xfId="4473"/>
    <cellStyle name="40% - Accent1 6 4 3 3 2" xfId="4474"/>
    <cellStyle name="40% - Accent1 6 4 3 4" xfId="4475"/>
    <cellStyle name="40% - Accent1 6 4 4" xfId="4476"/>
    <cellStyle name="40% - Accent1 6 4 4 2" xfId="4477"/>
    <cellStyle name="40% - Accent1 6 4 4 3" xfId="4478"/>
    <cellStyle name="40% - Accent1 6 4 5" xfId="4479"/>
    <cellStyle name="40% - Accent1 6 4 5 2" xfId="4480"/>
    <cellStyle name="40% - Accent1 6 4 5 3" xfId="4481"/>
    <cellStyle name="40% - Accent1 6 4 6" xfId="4482"/>
    <cellStyle name="40% - Accent1 6 4 6 2" xfId="4483"/>
    <cellStyle name="40% - Accent1 6 4 6 3" xfId="4484"/>
    <cellStyle name="40% - Accent1 6 4 7" xfId="4485"/>
    <cellStyle name="40% - Accent1 6 4 8" xfId="4486"/>
    <cellStyle name="40% - Accent1 6 5" xfId="4487"/>
    <cellStyle name="40% - Accent1 6 5 2" xfId="4488"/>
    <cellStyle name="40% - Accent1 6 5 2 2" xfId="4489"/>
    <cellStyle name="40% - Accent1 6 5 2 2 2" xfId="4490"/>
    <cellStyle name="40% - Accent1 6 5 2 3" xfId="4491"/>
    <cellStyle name="40% - Accent1 6 5 2 3 2" xfId="4492"/>
    <cellStyle name="40% - Accent1 6 5 2 4" xfId="4493"/>
    <cellStyle name="40% - Accent1 6 5 3" xfId="4494"/>
    <cellStyle name="40% - Accent1 6 5 3 2" xfId="4495"/>
    <cellStyle name="40% - Accent1 6 5 3 3" xfId="4496"/>
    <cellStyle name="40% - Accent1 6 5 4" xfId="4497"/>
    <cellStyle name="40% - Accent1 6 5 4 2" xfId="4498"/>
    <cellStyle name="40% - Accent1 6 5 4 3" xfId="4499"/>
    <cellStyle name="40% - Accent1 6 5 5" xfId="4500"/>
    <cellStyle name="40% - Accent1 6 5 5 2" xfId="4501"/>
    <cellStyle name="40% - Accent1 6 5 5 3" xfId="4502"/>
    <cellStyle name="40% - Accent1 6 5 6" xfId="4503"/>
    <cellStyle name="40% - Accent1 6 6" xfId="4504"/>
    <cellStyle name="40% - Accent1 6 7" xfId="4505"/>
    <cellStyle name="40% - Accent1 6 7 2" xfId="4506"/>
    <cellStyle name="40% - Accent1 6 7 2 2" xfId="4507"/>
    <cellStyle name="40% - Accent1 6 7 3" xfId="4508"/>
    <cellStyle name="40% - Accent1 6 7 3 2" xfId="4509"/>
    <cellStyle name="40% - Accent1 6 7 4" xfId="4510"/>
    <cellStyle name="40% - Accent1 6 7 5" xfId="4511"/>
    <cellStyle name="40% - Accent1 6 8" xfId="4512"/>
    <cellStyle name="40% - Accent1 6 8 2" xfId="4513"/>
    <cellStyle name="40% - Accent1 6 8 2 2" xfId="4514"/>
    <cellStyle name="40% - Accent1 6 8 3" xfId="4515"/>
    <cellStyle name="40% - Accent1 6 9" xfId="4516"/>
    <cellStyle name="40% - Accent1 6 9 2" xfId="4517"/>
    <cellStyle name="40% - Accent1 7" xfId="4518"/>
    <cellStyle name="40% - Accent1 7 2" xfId="4519"/>
    <cellStyle name="40% - Accent1 7 2 2" xfId="4520"/>
    <cellStyle name="40% - Accent1 7 2 2 2" xfId="4521"/>
    <cellStyle name="40% - Accent1 7 2 2 2 2" xfId="4522"/>
    <cellStyle name="40% - Accent1 7 2 2 3" xfId="4523"/>
    <cellStyle name="40% - Accent1 7 2 2 3 2" xfId="4524"/>
    <cellStyle name="40% - Accent1 7 2 2 4" xfId="4525"/>
    <cellStyle name="40% - Accent1 7 2 3" xfId="4526"/>
    <cellStyle name="40% - Accent1 7 2 3 2" xfId="4527"/>
    <cellStyle name="40% - Accent1 7 2 3 2 2" xfId="4528"/>
    <cellStyle name="40% - Accent1 7 2 3 3" xfId="4529"/>
    <cellStyle name="40% - Accent1 7 2 4" xfId="4530"/>
    <cellStyle name="40% - Accent1 7 2 4 2" xfId="4531"/>
    <cellStyle name="40% - Accent1 7 2 4 2 2" xfId="4532"/>
    <cellStyle name="40% - Accent1 7 2 4 3" xfId="4533"/>
    <cellStyle name="40% - Accent1 7 2 4 3 2" xfId="4534"/>
    <cellStyle name="40% - Accent1 7 2 4 4" xfId="4535"/>
    <cellStyle name="40% - Accent1 7 2 5" xfId="4536"/>
    <cellStyle name="40% - Accent1 7 2 5 2" xfId="4537"/>
    <cellStyle name="40% - Accent1 7 2 5 2 2" xfId="4538"/>
    <cellStyle name="40% - Accent1 7 2 6" xfId="4539"/>
    <cellStyle name="40% - Accent1 7 3" xfId="4540"/>
    <cellStyle name="40% - Accent1 7 3 2" xfId="4541"/>
    <cellStyle name="40% - Accent1 7 3 2 2" xfId="4542"/>
    <cellStyle name="40% - Accent1 7 3 2 2 2" xfId="4543"/>
    <cellStyle name="40% - Accent1 7 3 2 3" xfId="4544"/>
    <cellStyle name="40% - Accent1 7 3 2 3 2" xfId="4545"/>
    <cellStyle name="40% - Accent1 7 3 2 4" xfId="4546"/>
    <cellStyle name="40% - Accent1 7 3 3" xfId="4547"/>
    <cellStyle name="40% - Accent1 7 3 3 2" xfId="4548"/>
    <cellStyle name="40% - Accent1 7 3 3 2 2" xfId="4549"/>
    <cellStyle name="40% - Accent1 7 3 3 3" xfId="4550"/>
    <cellStyle name="40% - Accent1 7 3 3 3 2" xfId="4551"/>
    <cellStyle name="40% - Accent1 7 3 3 4" xfId="4552"/>
    <cellStyle name="40% - Accent1 7 3 4" xfId="4553"/>
    <cellStyle name="40% - Accent1 7 4" xfId="4554"/>
    <cellStyle name="40% - Accent1 7 4 2" xfId="4555"/>
    <cellStyle name="40% - Accent1 7 4 2 2" xfId="4556"/>
    <cellStyle name="40% - Accent1 7 4 3" xfId="4557"/>
    <cellStyle name="40% - Accent1 7 4 3 2" xfId="4558"/>
    <cellStyle name="40% - Accent1 7 4 4" xfId="4559"/>
    <cellStyle name="40% - Accent1 7 4 4 2" xfId="4560"/>
    <cellStyle name="40% - Accent1 7 4 5" xfId="4561"/>
    <cellStyle name="40% - Accent1 7 5" xfId="4562"/>
    <cellStyle name="40% - Accent1 7 5 2" xfId="4563"/>
    <cellStyle name="40% - Accent1 7 5 2 2" xfId="4564"/>
    <cellStyle name="40% - Accent1 7 5 2 2 2" xfId="4565"/>
    <cellStyle name="40% - Accent1 7 5 3" xfId="4566"/>
    <cellStyle name="40% - Accent1 7 5 3 2" xfId="4567"/>
    <cellStyle name="40% - Accent1 7 5 4" xfId="4568"/>
    <cellStyle name="40% - Accent1 7 6" xfId="4569"/>
    <cellStyle name="40% - Accent1 7 6 2" xfId="4570"/>
    <cellStyle name="40% - Accent1 7 7" xfId="4571"/>
    <cellStyle name="40% - Accent1 7 7 2" xfId="4572"/>
    <cellStyle name="40% - Accent1 7 8" xfId="4573"/>
    <cellStyle name="40% - Accent1 7 8 2" xfId="4574"/>
    <cellStyle name="40% - Accent1 7 9" xfId="4575"/>
    <cellStyle name="40% - Accent1 8" xfId="4576"/>
    <cellStyle name="40% - Accent1 8 2" xfId="4577"/>
    <cellStyle name="40% - Accent1 8 2 2" xfId="4578"/>
    <cellStyle name="40% - Accent1 8 2 2 2" xfId="4579"/>
    <cellStyle name="40% - Accent1 8 2 2 2 2" xfId="4580"/>
    <cellStyle name="40% - Accent1 8 2 2 3" xfId="4581"/>
    <cellStyle name="40% - Accent1 8 2 2 3 2" xfId="4582"/>
    <cellStyle name="40% - Accent1 8 2 2 4" xfId="4583"/>
    <cellStyle name="40% - Accent1 8 2 3" xfId="4584"/>
    <cellStyle name="40% - Accent1 8 2 3 2" xfId="4585"/>
    <cellStyle name="40% - Accent1 8 2 3 2 2" xfId="4586"/>
    <cellStyle name="40% - Accent1 8 2 3 3" xfId="4587"/>
    <cellStyle name="40% - Accent1 8 2 4" xfId="4588"/>
    <cellStyle name="40% - Accent1 8 2 4 2" xfId="4589"/>
    <cellStyle name="40% - Accent1 8 2 4 2 2" xfId="4590"/>
    <cellStyle name="40% - Accent1 8 2 4 3" xfId="4591"/>
    <cellStyle name="40% - Accent1 8 2 4 3 2" xfId="4592"/>
    <cellStyle name="40% - Accent1 8 2 4 4" xfId="4593"/>
    <cellStyle name="40% - Accent1 8 2 5" xfId="4594"/>
    <cellStyle name="40% - Accent1 8 2 5 2" xfId="4595"/>
    <cellStyle name="40% - Accent1 8 2 6" xfId="4596"/>
    <cellStyle name="40% - Accent1 8 3" xfId="4597"/>
    <cellStyle name="40% - Accent1 8 3 2" xfId="4598"/>
    <cellStyle name="40% - Accent1 8 3 2 2" xfId="4599"/>
    <cellStyle name="40% - Accent1 8 3 2 2 2" xfId="4600"/>
    <cellStyle name="40% - Accent1 8 3 2 3" xfId="4601"/>
    <cellStyle name="40% - Accent1 8 3 2 3 2" xfId="4602"/>
    <cellStyle name="40% - Accent1 8 3 2 4" xfId="4603"/>
    <cellStyle name="40% - Accent1 8 3 3" xfId="4604"/>
    <cellStyle name="40% - Accent1 8 3 3 2" xfId="4605"/>
    <cellStyle name="40% - Accent1 8 3 3 2 2" xfId="4606"/>
    <cellStyle name="40% - Accent1 8 3 3 3" xfId="4607"/>
    <cellStyle name="40% - Accent1 8 3 3 3 2" xfId="4608"/>
    <cellStyle name="40% - Accent1 8 3 3 4" xfId="4609"/>
    <cellStyle name="40% - Accent1 8 3 4" xfId="4610"/>
    <cellStyle name="40% - Accent1 8 3 4 2" xfId="4611"/>
    <cellStyle name="40% - Accent1 8 3 5" xfId="4612"/>
    <cellStyle name="40% - Accent1 8 3 5 2" xfId="4613"/>
    <cellStyle name="40% - Accent1 8 3 6" xfId="4614"/>
    <cellStyle name="40% - Accent1 8 4" xfId="4615"/>
    <cellStyle name="40% - Accent1 8 4 2" xfId="4616"/>
    <cellStyle name="40% - Accent1 8 4 2 2" xfId="4617"/>
    <cellStyle name="40% - Accent1 8 4 3" xfId="4618"/>
    <cellStyle name="40% - Accent1 8 5" xfId="4619"/>
    <cellStyle name="40% - Accent1 8 5 2" xfId="4620"/>
    <cellStyle name="40% - Accent1 8 6" xfId="4621"/>
    <cellStyle name="40% - Accent1 8 6 2" xfId="4622"/>
    <cellStyle name="40% - Accent1 8 7" xfId="4623"/>
    <cellStyle name="40% - Accent1 9" xfId="4624"/>
    <cellStyle name="40% - Accent1 9 2" xfId="4625"/>
    <cellStyle name="40% - Accent1 9 2 2" xfId="4626"/>
    <cellStyle name="40% - Accent1 9 2 2 2" xfId="4627"/>
    <cellStyle name="40% - Accent1 9 2 3" xfId="4628"/>
    <cellStyle name="40% - Accent1 9 2 3 2" xfId="4629"/>
    <cellStyle name="40% - Accent1 9 2 4" xfId="4630"/>
    <cellStyle name="40% - Accent1 9 2 4 2" xfId="4631"/>
    <cellStyle name="40% - Accent1 9 2 5" xfId="4632"/>
    <cellStyle name="40% - Accent1 9 3" xfId="4633"/>
    <cellStyle name="40% - Accent1 9 3 2" xfId="4634"/>
    <cellStyle name="40% - Accent1 9 3 2 2" xfId="4635"/>
    <cellStyle name="40% - Accent1 9 3 3" xfId="4636"/>
    <cellStyle name="40% - Accent1 9 3 3 2" xfId="4637"/>
    <cellStyle name="40% - Accent1 9 3 4" xfId="4638"/>
    <cellStyle name="40% - Accent1 9 4" xfId="4639"/>
    <cellStyle name="40% - Accent1 9 4 2" xfId="4640"/>
    <cellStyle name="40% - Accent1 9 4 2 2" xfId="4641"/>
    <cellStyle name="40% - Accent1 9 4 3" xfId="4642"/>
    <cellStyle name="40% - Accent1 9 5" xfId="4643"/>
    <cellStyle name="40% - Accent1 9 5 2" xfId="4644"/>
    <cellStyle name="40% - Accent1 9 6" xfId="4645"/>
    <cellStyle name="40% - Accent1 9 7" xfId="4646"/>
    <cellStyle name="40% - Accent2 10" xfId="4647"/>
    <cellStyle name="40% - Accent2 10 2" xfId="4648"/>
    <cellStyle name="40% - Accent2 10 2 2" xfId="4649"/>
    <cellStyle name="40% - Accent2 10 2 2 2" xfId="4650"/>
    <cellStyle name="40% - Accent2 10 2 3" xfId="4651"/>
    <cellStyle name="40% - Accent2 10 2 3 2" xfId="4652"/>
    <cellStyle name="40% - Accent2 10 2 4" xfId="4653"/>
    <cellStyle name="40% - Accent2 10 2 4 2" xfId="4654"/>
    <cellStyle name="40% - Accent2 10 2 5" xfId="4655"/>
    <cellStyle name="40% - Accent2 10 3" xfId="4656"/>
    <cellStyle name="40% - Accent2 10 3 2" xfId="4657"/>
    <cellStyle name="40% - Accent2 10 3 2 2" xfId="4658"/>
    <cellStyle name="40% - Accent2 10 3 3" xfId="4659"/>
    <cellStyle name="40% - Accent2 10 4" xfId="4660"/>
    <cellStyle name="40% - Accent2 10 4 2" xfId="4661"/>
    <cellStyle name="40% - Accent2 10 5" xfId="4662"/>
    <cellStyle name="40% - Accent2 10 5 2" xfId="4663"/>
    <cellStyle name="40% - Accent2 10 6" xfId="4664"/>
    <cellStyle name="40% - Accent2 10 7" xfId="4665"/>
    <cellStyle name="40% - Accent2 11" xfId="4666"/>
    <cellStyle name="40% - Accent2 11 2" xfId="4667"/>
    <cellStyle name="40% - Accent2 11 2 2" xfId="4668"/>
    <cellStyle name="40% - Accent2 11 3" xfId="4669"/>
    <cellStyle name="40% - Accent2 12" xfId="4670"/>
    <cellStyle name="40% - Accent2 12 2" xfId="4671"/>
    <cellStyle name="40% - Accent2 13" xfId="4672"/>
    <cellStyle name="40% - Accent2 13 2" xfId="4673"/>
    <cellStyle name="40% - Accent2 14" xfId="4674"/>
    <cellStyle name="40% - Accent2 14 2" xfId="4675"/>
    <cellStyle name="40% - Accent2 14 3" xfId="4676"/>
    <cellStyle name="40% - Accent2 15" xfId="4677"/>
    <cellStyle name="40% - Accent2 15 2" xfId="4678"/>
    <cellStyle name="40% - Accent2 16" xfId="4679"/>
    <cellStyle name="40% - Accent2 16 2" xfId="4680"/>
    <cellStyle name="40% - Accent2 17" xfId="4681"/>
    <cellStyle name="40% - Accent2 17 2" xfId="4682"/>
    <cellStyle name="40% - Accent2 18" xfId="4683"/>
    <cellStyle name="40% - Accent2 19" xfId="4684"/>
    <cellStyle name="40% - Accent2 2" xfId="4685"/>
    <cellStyle name="40% - Accent2 2 10" xfId="4686"/>
    <cellStyle name="40% - Accent2 2 10 2" xfId="4687"/>
    <cellStyle name="40% - Accent2 2 11" xfId="4688"/>
    <cellStyle name="40% - Accent2 2 12" xfId="4689"/>
    <cellStyle name="40% - Accent2 2 12 2" xfId="4690"/>
    <cellStyle name="40% - Accent2 2 12 2 2" xfId="4691"/>
    <cellStyle name="40% - Accent2 2 12 2 2 2" xfId="4692"/>
    <cellStyle name="40% - Accent2 2 12 2 3" xfId="4693"/>
    <cellStyle name="40% - Accent2 2 12 3" xfId="4694"/>
    <cellStyle name="40% - Accent2 2 12 3 2" xfId="4695"/>
    <cellStyle name="40% - Accent2 2 12 4" xfId="4696"/>
    <cellStyle name="40% - Accent2 2 12 4 2" xfId="4697"/>
    <cellStyle name="40% - Accent2 2 12 4 3" xfId="4698"/>
    <cellStyle name="40% - Accent2 2 13" xfId="4699"/>
    <cellStyle name="40% - Accent2 2 13 2" xfId="4700"/>
    <cellStyle name="40% - Accent2 2 13 3" xfId="4701"/>
    <cellStyle name="40% - Accent2 2 14" xfId="4702"/>
    <cellStyle name="40% - Accent2 2 14 2" xfId="4703"/>
    <cellStyle name="40% - Accent2 2 15" xfId="4704"/>
    <cellStyle name="40% - Accent2 2 15 2" xfId="4705"/>
    <cellStyle name="40% - Accent2 2 16" xfId="4706"/>
    <cellStyle name="40% - Accent2 2 17" xfId="4707"/>
    <cellStyle name="40% - Accent2 2 2" xfId="4708"/>
    <cellStyle name="40% - Accent2 2 2 2" xfId="4709"/>
    <cellStyle name="40% - Accent2 2 2 2 2" xfId="4710"/>
    <cellStyle name="40% - Accent2 2 2 2 2 2" xfId="4711"/>
    <cellStyle name="40% - Accent2 2 2 2 2 3" xfId="4712"/>
    <cellStyle name="40% - Accent2 2 2 2 3" xfId="4713"/>
    <cellStyle name="40% - Accent2 2 2 2 3 2" xfId="4714"/>
    <cellStyle name="40% - Accent2 2 2 2 4" xfId="4715"/>
    <cellStyle name="40% - Accent2 2 2 2 5" xfId="4716"/>
    <cellStyle name="40% - Accent2 2 2 3" xfId="4717"/>
    <cellStyle name="40% - Accent2 2 2 3 2" xfId="4718"/>
    <cellStyle name="40% - Accent2 2 2 3 2 2" xfId="4719"/>
    <cellStyle name="40% - Accent2 2 2 3 2 3" xfId="4720"/>
    <cellStyle name="40% - Accent2 2 2 3 3" xfId="4721"/>
    <cellStyle name="40% - Accent2 2 2 3 3 2" xfId="4722"/>
    <cellStyle name="40% - Accent2 2 2 3 4" xfId="4723"/>
    <cellStyle name="40% - Accent2 2 2 3 5" xfId="4724"/>
    <cellStyle name="40% - Accent2 2 2 4" xfId="4725"/>
    <cellStyle name="40% - Accent2 2 2 4 2" xfId="4726"/>
    <cellStyle name="40% - Accent2 2 2 4 2 2" xfId="4727"/>
    <cellStyle name="40% - Accent2 2 2 4 3" xfId="4728"/>
    <cellStyle name="40% - Accent2 2 2 4 4" xfId="4729"/>
    <cellStyle name="40% - Accent2 2 2 5" xfId="4730"/>
    <cellStyle name="40% - Accent2 2 2 5 2" xfId="4731"/>
    <cellStyle name="40% - Accent2 2 2 6" xfId="4732"/>
    <cellStyle name="40% - Accent2 2 2 6 2" xfId="4733"/>
    <cellStyle name="40% - Accent2 2 2 7" xfId="4734"/>
    <cellStyle name="40% - Accent2 2 2 8" xfId="4735"/>
    <cellStyle name="40% - Accent2 2 3" xfId="4736"/>
    <cellStyle name="40% - Accent2 2 3 2" xfId="4737"/>
    <cellStyle name="40% - Accent2 2 3 2 2" xfId="4738"/>
    <cellStyle name="40% - Accent2 2 3 2 2 2" xfId="4739"/>
    <cellStyle name="40% - Accent2 2 3 2 2 3" xfId="4740"/>
    <cellStyle name="40% - Accent2 2 3 2 3" xfId="4741"/>
    <cellStyle name="40% - Accent2 2 3 2 3 2" xfId="4742"/>
    <cellStyle name="40% - Accent2 2 3 2 4" xfId="4743"/>
    <cellStyle name="40% - Accent2 2 3 2 5" xfId="4744"/>
    <cellStyle name="40% - Accent2 2 3 3" xfId="4745"/>
    <cellStyle name="40% - Accent2 2 3 3 2" xfId="4746"/>
    <cellStyle name="40% - Accent2 2 3 3 2 2" xfId="4747"/>
    <cellStyle name="40% - Accent2 2 3 3 3" xfId="4748"/>
    <cellStyle name="40% - Accent2 2 3 3 4" xfId="4749"/>
    <cellStyle name="40% - Accent2 2 3 4" xfId="4750"/>
    <cellStyle name="40% - Accent2 2 3 5" xfId="4751"/>
    <cellStyle name="40% - Accent2 2 3 5 2" xfId="4752"/>
    <cellStyle name="40% - Accent2 2 3 6" xfId="4753"/>
    <cellStyle name="40% - Accent2 2 3 7" xfId="4754"/>
    <cellStyle name="40% - Accent2 2 4" xfId="4755"/>
    <cellStyle name="40% - Accent2 2 4 2" xfId="4756"/>
    <cellStyle name="40% - Accent2 2 4 2 2" xfId="4757"/>
    <cellStyle name="40% - Accent2 2 4 2 2 2" xfId="4758"/>
    <cellStyle name="40% - Accent2 2 4 2 3" xfId="4759"/>
    <cellStyle name="40% - Accent2 2 4 2 4" xfId="4760"/>
    <cellStyle name="40% - Accent2 2 4 3" xfId="4761"/>
    <cellStyle name="40% - Accent2 2 4 3 2" xfId="4762"/>
    <cellStyle name="40% - Accent2 2 4 4" xfId="4763"/>
    <cellStyle name="40% - Accent2 2 4 4 2" xfId="4764"/>
    <cellStyle name="40% - Accent2 2 4 5" xfId="4765"/>
    <cellStyle name="40% - Accent2 2 4 6" xfId="4766"/>
    <cellStyle name="40% - Accent2 2 5" xfId="4767"/>
    <cellStyle name="40% - Accent2 2 5 2" xfId="4768"/>
    <cellStyle name="40% - Accent2 2 5 2 2" xfId="4769"/>
    <cellStyle name="40% - Accent2 2 5 3" xfId="4770"/>
    <cellStyle name="40% - Accent2 2 5 4" xfId="4771"/>
    <cellStyle name="40% - Accent2 2 6" xfId="4772"/>
    <cellStyle name="40% - Accent2 2 6 10" xfId="4773"/>
    <cellStyle name="40% - Accent2 2 6 2" xfId="4774"/>
    <cellStyle name="40% - Accent2 2 6 2 2" xfId="4775"/>
    <cellStyle name="40% - Accent2 2 6 2 2 2" xfId="4776"/>
    <cellStyle name="40% - Accent2 2 6 2 2 2 2" xfId="4777"/>
    <cellStyle name="40% - Accent2 2 6 2 2 3" xfId="4778"/>
    <cellStyle name="40% - Accent2 2 6 2 2 3 2" xfId="4779"/>
    <cellStyle name="40% - Accent2 2 6 2 2 4" xfId="4780"/>
    <cellStyle name="40% - Accent2 2 6 2 2 5" xfId="4781"/>
    <cellStyle name="40% - Accent2 2 6 2 3" xfId="4782"/>
    <cellStyle name="40% - Accent2 2 6 2 3 2" xfId="4783"/>
    <cellStyle name="40% - Accent2 2 6 2 3 2 2" xfId="4784"/>
    <cellStyle name="40% - Accent2 2 6 2 3 3" xfId="4785"/>
    <cellStyle name="40% - Accent2 2 6 2 4" xfId="4786"/>
    <cellStyle name="40% - Accent2 2 6 2 4 2" xfId="4787"/>
    <cellStyle name="40% - Accent2 2 6 2 5" xfId="4788"/>
    <cellStyle name="40% - Accent2 2 6 2 5 2" xfId="4789"/>
    <cellStyle name="40% - Accent2 2 6 2 6" xfId="4790"/>
    <cellStyle name="40% - Accent2 2 6 3" xfId="4791"/>
    <cellStyle name="40% - Accent2 2 6 3 2" xfId="4792"/>
    <cellStyle name="40% - Accent2 2 6 3 2 2" xfId="4793"/>
    <cellStyle name="40% - Accent2 2 6 3 2 2 2" xfId="4794"/>
    <cellStyle name="40% - Accent2 2 6 3 2 3" xfId="4795"/>
    <cellStyle name="40% - Accent2 2 6 3 2 3 2" xfId="4796"/>
    <cellStyle name="40% - Accent2 2 6 3 2 4" xfId="4797"/>
    <cellStyle name="40% - Accent2 2 6 3 2 5" xfId="4798"/>
    <cellStyle name="40% - Accent2 2 6 3 3" xfId="4799"/>
    <cellStyle name="40% - Accent2 2 6 3 3 2" xfId="4800"/>
    <cellStyle name="40% - Accent2 2 6 3 3 2 2" xfId="4801"/>
    <cellStyle name="40% - Accent2 2 6 3 3 3" xfId="4802"/>
    <cellStyle name="40% - Accent2 2 6 3 4" xfId="4803"/>
    <cellStyle name="40% - Accent2 2 6 3 4 2" xfId="4804"/>
    <cellStyle name="40% - Accent2 2 6 3 5" xfId="4805"/>
    <cellStyle name="40% - Accent2 2 6 3 5 2" xfId="4806"/>
    <cellStyle name="40% - Accent2 2 6 3 6" xfId="4807"/>
    <cellStyle name="40% - Accent2 2 6 4" xfId="4808"/>
    <cellStyle name="40% - Accent2 2 6 4 2" xfId="4809"/>
    <cellStyle name="40% - Accent2 2 6 4 2 2" xfId="4810"/>
    <cellStyle name="40% - Accent2 2 6 4 2 2 2" xfId="4811"/>
    <cellStyle name="40% - Accent2 2 6 4 2 3" xfId="4812"/>
    <cellStyle name="40% - Accent2 2 6 4 3" xfId="4813"/>
    <cellStyle name="40% - Accent2 2 6 4 3 2" xfId="4814"/>
    <cellStyle name="40% - Accent2 2 6 4 4" xfId="4815"/>
    <cellStyle name="40% - Accent2 2 6 4 4 2" xfId="4816"/>
    <cellStyle name="40% - Accent2 2 6 4 5" xfId="4817"/>
    <cellStyle name="40% - Accent2 2 6 5" xfId="4818"/>
    <cellStyle name="40% - Accent2 2 6 5 2" xfId="4819"/>
    <cellStyle name="40% - Accent2 2 6 5 2 2" xfId="4820"/>
    <cellStyle name="40% - Accent2 2 6 5 3" xfId="4821"/>
    <cellStyle name="40% - Accent2 2 6 5 3 2" xfId="4822"/>
    <cellStyle name="40% - Accent2 2 6 5 4" xfId="4823"/>
    <cellStyle name="40% - Accent2 2 6 6" xfId="4824"/>
    <cellStyle name="40% - Accent2 2 6 6 2" xfId="4825"/>
    <cellStyle name="40% - Accent2 2 6 6 2 2" xfId="4826"/>
    <cellStyle name="40% - Accent2 2 6 6 3" xfId="4827"/>
    <cellStyle name="40% - Accent2 2 6 7" xfId="4828"/>
    <cellStyle name="40% - Accent2 2 6 7 2" xfId="4829"/>
    <cellStyle name="40% - Accent2 2 6 7 3" xfId="4830"/>
    <cellStyle name="40% - Accent2 2 6 8" xfId="4831"/>
    <cellStyle name="40% - Accent2 2 6 8 2" xfId="4832"/>
    <cellStyle name="40% - Accent2 2 6 9" xfId="4833"/>
    <cellStyle name="40% - Accent2 2 7" xfId="4834"/>
    <cellStyle name="40% - Accent2 2 7 2" xfId="4835"/>
    <cellStyle name="40% - Accent2 2 7 2 2" xfId="4836"/>
    <cellStyle name="40% - Accent2 2 7 3" xfId="4837"/>
    <cellStyle name="40% - Accent2 2 7 4" xfId="4838"/>
    <cellStyle name="40% - Accent2 2 8" xfId="4839"/>
    <cellStyle name="40% - Accent2 2 8 2" xfId="4840"/>
    <cellStyle name="40% - Accent2 2 9" xfId="4841"/>
    <cellStyle name="40% - Accent2 2 9 2" xfId="4842"/>
    <cellStyle name="40% - Accent2 20" xfId="4843"/>
    <cellStyle name="40% - Accent2 3" xfId="4844"/>
    <cellStyle name="40% - Accent2 3 2" xfId="4845"/>
    <cellStyle name="40% - Accent2 3 2 2" xfId="4846"/>
    <cellStyle name="40% - Accent2 3 2 2 2" xfId="4847"/>
    <cellStyle name="40% - Accent2 3 2 2 2 2" xfId="4848"/>
    <cellStyle name="40% - Accent2 3 2 2 3" xfId="4849"/>
    <cellStyle name="40% - Accent2 3 2 2 4" xfId="4850"/>
    <cellStyle name="40% - Accent2 3 2 2 5" xfId="4851"/>
    <cellStyle name="40% - Accent2 3 2 3" xfId="4852"/>
    <cellStyle name="40% - Accent2 3 2 3 2" xfId="4853"/>
    <cellStyle name="40% - Accent2 3 2 3 2 2" xfId="4854"/>
    <cellStyle name="40% - Accent2 3 2 3 3" xfId="4855"/>
    <cellStyle name="40% - Accent2 3 2 3 4" xfId="4856"/>
    <cellStyle name="40% - Accent2 3 2 4" xfId="4857"/>
    <cellStyle name="40% - Accent2 3 2 4 2" xfId="4858"/>
    <cellStyle name="40% - Accent2 3 2 5" xfId="4859"/>
    <cellStyle name="40% - Accent2 3 2 5 2" xfId="4860"/>
    <cellStyle name="40% - Accent2 3 2 6" xfId="4861"/>
    <cellStyle name="40% - Accent2 3 2 7" xfId="4862"/>
    <cellStyle name="40% - Accent2 3 2 8" xfId="4863"/>
    <cellStyle name="40% - Accent2 3 3" xfId="4864"/>
    <cellStyle name="40% - Accent2 3 3 2" xfId="4865"/>
    <cellStyle name="40% - Accent2 3 3 2 2" xfId="4866"/>
    <cellStyle name="40% - Accent2 3 3 2 2 2" xfId="4867"/>
    <cellStyle name="40% - Accent2 3 3 2 3" xfId="4868"/>
    <cellStyle name="40% - Accent2 3 3 2 4" xfId="4869"/>
    <cellStyle name="40% - Accent2 3 3 3" xfId="4870"/>
    <cellStyle name="40% - Accent2 3 3 3 2" xfId="4871"/>
    <cellStyle name="40% - Accent2 3 3 4" xfId="4872"/>
    <cellStyle name="40% - Accent2 3 3 4 2" xfId="4873"/>
    <cellStyle name="40% - Accent2 3 3 5" xfId="4874"/>
    <cellStyle name="40% - Accent2 3 3 6" xfId="4875"/>
    <cellStyle name="40% - Accent2 3 3 7" xfId="4876"/>
    <cellStyle name="40% - Accent2 3 4" xfId="4877"/>
    <cellStyle name="40% - Accent2 3 4 2" xfId="4878"/>
    <cellStyle name="40% - Accent2 3 4 2 2" xfId="4879"/>
    <cellStyle name="40% - Accent2 3 4 3" xfId="4880"/>
    <cellStyle name="40% - Accent2 3 4 4" xfId="4881"/>
    <cellStyle name="40% - Accent2 3 5" xfId="4882"/>
    <cellStyle name="40% - Accent2 3 5 2" xfId="4883"/>
    <cellStyle name="40% - Accent2 3 6" xfId="4884"/>
    <cellStyle name="40% - Accent2 3 6 2" xfId="4885"/>
    <cellStyle name="40% - Accent2 3 7" xfId="4886"/>
    <cellStyle name="40% - Accent2 3 7 2" xfId="4887"/>
    <cellStyle name="40% - Accent2 3 8" xfId="4888"/>
    <cellStyle name="40% - Accent2 3 9" xfId="4889"/>
    <cellStyle name="40% - Accent2 4" xfId="4890"/>
    <cellStyle name="40% - Accent2 4 2" xfId="4891"/>
    <cellStyle name="40% - Accent2 4 2 2" xfId="4892"/>
    <cellStyle name="40% - Accent2 4 2 2 2" xfId="4893"/>
    <cellStyle name="40% - Accent2 4 2 2 2 2" xfId="4894"/>
    <cellStyle name="40% - Accent2 4 2 2 3" xfId="4895"/>
    <cellStyle name="40% - Accent2 4 2 2 4" xfId="4896"/>
    <cellStyle name="40% - Accent2 4 2 3" xfId="4897"/>
    <cellStyle name="40% - Accent2 4 2 3 2" xfId="4898"/>
    <cellStyle name="40% - Accent2 4 2 4" xfId="4899"/>
    <cellStyle name="40% - Accent2 4 2 4 2" xfId="4900"/>
    <cellStyle name="40% - Accent2 4 2 5" xfId="4901"/>
    <cellStyle name="40% - Accent2 4 2 6" xfId="4902"/>
    <cellStyle name="40% - Accent2 4 3" xfId="4903"/>
    <cellStyle name="40% - Accent2 4 3 2" xfId="4904"/>
    <cellStyle name="40% - Accent2 4 3 3" xfId="4905"/>
    <cellStyle name="40% - Accent2 4 3 3 2" xfId="4906"/>
    <cellStyle name="40% - Accent2 4 3 4" xfId="4907"/>
    <cellStyle name="40% - Accent2 4 4" xfId="4908"/>
    <cellStyle name="40% - Accent2 4 4 2" xfId="4909"/>
    <cellStyle name="40% - Accent2 4 4 2 2" xfId="4910"/>
    <cellStyle name="40% - Accent2 4 4 3" xfId="4911"/>
    <cellStyle name="40% - Accent2 4 4 4" xfId="4912"/>
    <cellStyle name="40% - Accent2 4 5" xfId="4913"/>
    <cellStyle name="40% - Accent2 4 5 2" xfId="4914"/>
    <cellStyle name="40% - Accent2 4 6" xfId="4915"/>
    <cellStyle name="40% - Accent2 4 6 2" xfId="4916"/>
    <cellStyle name="40% - Accent2 4 7" xfId="4917"/>
    <cellStyle name="40% - Accent2 4 7 2" xfId="4918"/>
    <cellStyle name="40% - Accent2 4 8" xfId="4919"/>
    <cellStyle name="40% - Accent2 4 9" xfId="4920"/>
    <cellStyle name="40% - Accent2 5" xfId="4921"/>
    <cellStyle name="40% - Accent2 5 2" xfId="4922"/>
    <cellStyle name="40% - Accent2 5 2 2" xfId="4923"/>
    <cellStyle name="40% - Accent2 5 2 2 2" xfId="4924"/>
    <cellStyle name="40% - Accent2 5 2 2 2 2" xfId="4925"/>
    <cellStyle name="40% - Accent2 5 2 2 2 2 2" xfId="4926"/>
    <cellStyle name="40% - Accent2 5 2 2 2 3" xfId="4927"/>
    <cellStyle name="40% - Accent2 5 2 2 2 3 2" xfId="4928"/>
    <cellStyle name="40% - Accent2 5 2 2 2 4" xfId="4929"/>
    <cellStyle name="40% - Accent2 5 2 2 2 4 2" xfId="4930"/>
    <cellStyle name="40% - Accent2 5 2 2 2 5" xfId="4931"/>
    <cellStyle name="40% - Accent2 5 2 2 3" xfId="4932"/>
    <cellStyle name="40% - Accent2 5 2 2 3 2" xfId="4933"/>
    <cellStyle name="40% - Accent2 5 2 2 3 2 2" xfId="4934"/>
    <cellStyle name="40% - Accent2 5 2 2 3 3" xfId="4935"/>
    <cellStyle name="40% - Accent2 5 2 2 3 3 2" xfId="4936"/>
    <cellStyle name="40% - Accent2 5 2 2 3 4" xfId="4937"/>
    <cellStyle name="40% - Accent2 5 2 2 4" xfId="4938"/>
    <cellStyle name="40% - Accent2 5 2 2 4 2" xfId="4939"/>
    <cellStyle name="40% - Accent2 5 2 2 4 2 2" xfId="4940"/>
    <cellStyle name="40% - Accent2 5 2 2 4 3" xfId="4941"/>
    <cellStyle name="40% - Accent2 5 2 2 4 3 2" xfId="4942"/>
    <cellStyle name="40% - Accent2 5 2 2 4 4" xfId="4943"/>
    <cellStyle name="40% - Accent2 5 2 2 5" xfId="4944"/>
    <cellStyle name="40% - Accent2 5 2 2 5 2" xfId="4945"/>
    <cellStyle name="40% - Accent2 5 2 2 5 2 2" xfId="4946"/>
    <cellStyle name="40% - Accent2 5 2 2 5 3" xfId="4947"/>
    <cellStyle name="40% - Accent2 5 2 2 5 3 2" xfId="4948"/>
    <cellStyle name="40% - Accent2 5 2 2 5 4" xfId="4949"/>
    <cellStyle name="40% - Accent2 5 2 2 6" xfId="4950"/>
    <cellStyle name="40% - Accent2 5 2 2 7" xfId="4951"/>
    <cellStyle name="40% - Accent2 5 2 3" xfId="4952"/>
    <cellStyle name="40% - Accent2 5 2 4" xfId="4953"/>
    <cellStyle name="40% - Accent2 5 2 5" xfId="4954"/>
    <cellStyle name="40% - Accent2 5 2 5 2" xfId="4955"/>
    <cellStyle name="40% - Accent2 5 2 6" xfId="4956"/>
    <cellStyle name="40% - Accent2 5 3" xfId="4957"/>
    <cellStyle name="40% - Accent2 5 3 2" xfId="4958"/>
    <cellStyle name="40% - Accent2 5 3 3" xfId="4959"/>
    <cellStyle name="40% - Accent2 5 3 4" xfId="4960"/>
    <cellStyle name="40% - Accent2 5 3 4 2" xfId="4961"/>
    <cellStyle name="40% - Accent2 5 3 5" xfId="4962"/>
    <cellStyle name="40% - Accent2 5 4" xfId="4963"/>
    <cellStyle name="40% - Accent2 5 4 2" xfId="4964"/>
    <cellStyle name="40% - Accent2 5 4 2 2" xfId="4965"/>
    <cellStyle name="40% - Accent2 5 4 2 2 2" xfId="4966"/>
    <cellStyle name="40% - Accent2 5 4 2 3" xfId="4967"/>
    <cellStyle name="40% - Accent2 5 4 2 3 2" xfId="4968"/>
    <cellStyle name="40% - Accent2 5 4 2 4" xfId="4969"/>
    <cellStyle name="40% - Accent2 5 4 2 4 2" xfId="4970"/>
    <cellStyle name="40% - Accent2 5 4 2 5" xfId="4971"/>
    <cellStyle name="40% - Accent2 5 4 3" xfId="4972"/>
    <cellStyle name="40% - Accent2 5 4 3 2" xfId="4973"/>
    <cellStyle name="40% - Accent2 5 4 3 2 2" xfId="4974"/>
    <cellStyle name="40% - Accent2 5 4 3 3" xfId="4975"/>
    <cellStyle name="40% - Accent2 5 4 3 3 2" xfId="4976"/>
    <cellStyle name="40% - Accent2 5 4 3 4" xfId="4977"/>
    <cellStyle name="40% - Accent2 5 4 4" xfId="4978"/>
    <cellStyle name="40% - Accent2 5 4 4 2" xfId="4979"/>
    <cellStyle name="40% - Accent2 5 4 4 2 2" xfId="4980"/>
    <cellStyle name="40% - Accent2 5 4 4 3" xfId="4981"/>
    <cellStyle name="40% - Accent2 5 4 4 3 2" xfId="4982"/>
    <cellStyle name="40% - Accent2 5 4 4 4" xfId="4983"/>
    <cellStyle name="40% - Accent2 5 4 5" xfId="4984"/>
    <cellStyle name="40% - Accent2 5 4 5 2" xfId="4985"/>
    <cellStyle name="40% - Accent2 5 4 5 2 2" xfId="4986"/>
    <cellStyle name="40% - Accent2 5 4 5 3" xfId="4987"/>
    <cellStyle name="40% - Accent2 5 4 5 3 2" xfId="4988"/>
    <cellStyle name="40% - Accent2 5 4 5 4" xfId="4989"/>
    <cellStyle name="40% - Accent2 5 4 6" xfId="4990"/>
    <cellStyle name="40% - Accent2 5 5" xfId="4991"/>
    <cellStyle name="40% - Accent2 5 5 2" xfId="4992"/>
    <cellStyle name="40% - Accent2 5 5 2 2" xfId="4993"/>
    <cellStyle name="40% - Accent2 5 5 2 2 2" xfId="4994"/>
    <cellStyle name="40% - Accent2 5 5 2 2 2 2" xfId="4995"/>
    <cellStyle name="40% - Accent2 5 5 2 2 3" xfId="4996"/>
    <cellStyle name="40% - Accent2 5 5 2 2 3 2" xfId="4997"/>
    <cellStyle name="40% - Accent2 5 5 2 2 4" xfId="4998"/>
    <cellStyle name="40% - Accent2 5 5 2 2 5" xfId="4999"/>
    <cellStyle name="40% - Accent2 5 5 2 3" xfId="5000"/>
    <cellStyle name="40% - Accent2 5 5 2 3 2" xfId="5001"/>
    <cellStyle name="40% - Accent2 5 5 2 3 2 2" xfId="5002"/>
    <cellStyle name="40% - Accent2 5 5 2 3 3" xfId="5003"/>
    <cellStyle name="40% - Accent2 5 5 2 4" xfId="5004"/>
    <cellStyle name="40% - Accent2 5 5 2 4 2" xfId="5005"/>
    <cellStyle name="40% - Accent2 5 5 2 5" xfId="5006"/>
    <cellStyle name="40% - Accent2 5 5 2 5 2" xfId="5007"/>
    <cellStyle name="40% - Accent2 5 5 2 6" xfId="5008"/>
    <cellStyle name="40% - Accent2 5 5 3" xfId="5009"/>
    <cellStyle name="40% - Accent2 5 5 3 2" xfId="5010"/>
    <cellStyle name="40% - Accent2 5 5 3 2 2" xfId="5011"/>
    <cellStyle name="40% - Accent2 5 5 3 2 2 2" xfId="5012"/>
    <cellStyle name="40% - Accent2 5 5 3 2 3" xfId="5013"/>
    <cellStyle name="40% - Accent2 5 5 3 2 3 2" xfId="5014"/>
    <cellStyle name="40% - Accent2 5 5 3 2 4" xfId="5015"/>
    <cellStyle name="40% - Accent2 5 5 3 2 5" xfId="5016"/>
    <cellStyle name="40% - Accent2 5 5 3 3" xfId="5017"/>
    <cellStyle name="40% - Accent2 5 5 3 3 2" xfId="5018"/>
    <cellStyle name="40% - Accent2 5 5 3 3 2 2" xfId="5019"/>
    <cellStyle name="40% - Accent2 5 5 3 3 3" xfId="5020"/>
    <cellStyle name="40% - Accent2 5 5 3 4" xfId="5021"/>
    <cellStyle name="40% - Accent2 5 5 3 4 2" xfId="5022"/>
    <cellStyle name="40% - Accent2 5 5 3 5" xfId="5023"/>
    <cellStyle name="40% - Accent2 5 5 3 5 2" xfId="5024"/>
    <cellStyle name="40% - Accent2 5 5 3 6" xfId="5025"/>
    <cellStyle name="40% - Accent2 5 5 4" xfId="5026"/>
    <cellStyle name="40% - Accent2 5 5 4 2" xfId="5027"/>
    <cellStyle name="40% - Accent2 5 5 4 2 2" xfId="5028"/>
    <cellStyle name="40% - Accent2 5 5 4 3" xfId="5029"/>
    <cellStyle name="40% - Accent2 5 5 4 3 2" xfId="5030"/>
    <cellStyle name="40% - Accent2 5 5 4 4" xfId="5031"/>
    <cellStyle name="40% - Accent2 5 5 5" xfId="5032"/>
    <cellStyle name="40% - Accent2 5 5 5 2" xfId="5033"/>
    <cellStyle name="40% - Accent2 5 5 5 3" xfId="5034"/>
    <cellStyle name="40% - Accent2 5 5 6" xfId="5035"/>
    <cellStyle name="40% - Accent2 5 5 6 2" xfId="5036"/>
    <cellStyle name="40% - Accent2 5 5 6 3" xfId="5037"/>
    <cellStyle name="40% - Accent2 5 5 7" xfId="5038"/>
    <cellStyle name="40% - Accent2 5 5 7 2" xfId="5039"/>
    <cellStyle name="40% - Accent2 5 5 7 3" xfId="5040"/>
    <cellStyle name="40% - Accent2 5 5 8" xfId="5041"/>
    <cellStyle name="40% - Accent2 5 6" xfId="5042"/>
    <cellStyle name="40% - Accent2 5 6 2" xfId="5043"/>
    <cellStyle name="40% - Accent2 5 6 2 2" xfId="5044"/>
    <cellStyle name="40% - Accent2 5 6 2 2 2" xfId="5045"/>
    <cellStyle name="40% - Accent2 5 6 2 3" xfId="5046"/>
    <cellStyle name="40% - Accent2 5 6 2 3 2" xfId="5047"/>
    <cellStyle name="40% - Accent2 5 6 2 4" xfId="5048"/>
    <cellStyle name="40% - Accent2 5 6 2 4 2" xfId="5049"/>
    <cellStyle name="40% - Accent2 5 6 2 5" xfId="5050"/>
    <cellStyle name="40% - Accent2 5 6 3" xfId="5051"/>
    <cellStyle name="40% - Accent2 5 6 3 2" xfId="5052"/>
    <cellStyle name="40% - Accent2 5 6 3 2 2" xfId="5053"/>
    <cellStyle name="40% - Accent2 5 6 3 3" xfId="5054"/>
    <cellStyle name="40% - Accent2 5 6 3 3 2" xfId="5055"/>
    <cellStyle name="40% - Accent2 5 6 3 4" xfId="5056"/>
    <cellStyle name="40% - Accent2 5 6 4" xfId="5057"/>
    <cellStyle name="40% - Accent2 5 6 4 2" xfId="5058"/>
    <cellStyle name="40% - Accent2 5 6 5" xfId="5059"/>
    <cellStyle name="40% - Accent2 5 6 5 2" xfId="5060"/>
    <cellStyle name="40% - Accent2 5 6 6" xfId="5061"/>
    <cellStyle name="40% - Accent2 5 6 7" xfId="5062"/>
    <cellStyle name="40% - Accent2 5 7" xfId="5063"/>
    <cellStyle name="40% - Accent2 5 7 2" xfId="5064"/>
    <cellStyle name="40% - Accent2 5 7 2 2" xfId="5065"/>
    <cellStyle name="40% - Accent2 5 7 2 2 2" xfId="5066"/>
    <cellStyle name="40% - Accent2 5 7 2 3" xfId="5067"/>
    <cellStyle name="40% - Accent2 5 7 2 3 2" xfId="5068"/>
    <cellStyle name="40% - Accent2 5 7 2 4" xfId="5069"/>
    <cellStyle name="40% - Accent2 5 7 3" xfId="5070"/>
    <cellStyle name="40% - Accent2 5 7 3 2" xfId="5071"/>
    <cellStyle name="40% - Accent2 5 7 4" xfId="5072"/>
    <cellStyle name="40% - Accent2 5 8" xfId="5073"/>
    <cellStyle name="40% - Accent2 5 8 2" xfId="5074"/>
    <cellStyle name="40% - Accent2 5 9" xfId="5075"/>
    <cellStyle name="40% - Accent2 6" xfId="5076"/>
    <cellStyle name="40% - Accent2 6 10" xfId="5077"/>
    <cellStyle name="40% - Accent2 6 2" xfId="5078"/>
    <cellStyle name="40% - Accent2 6 2 2" xfId="5079"/>
    <cellStyle name="40% - Accent2 6 2 2 2" xfId="5080"/>
    <cellStyle name="40% - Accent2 6 2 3" xfId="5081"/>
    <cellStyle name="40% - Accent2 6 2 4" xfId="5082"/>
    <cellStyle name="40% - Accent2 6 2 5" xfId="5083"/>
    <cellStyle name="40% - Accent2 6 2 5 2" xfId="5084"/>
    <cellStyle name="40% - Accent2 6 2 5 2 2" xfId="5085"/>
    <cellStyle name="40% - Accent2 6 2 5 3" xfId="5086"/>
    <cellStyle name="40% - Accent2 6 2 5 3 2" xfId="5087"/>
    <cellStyle name="40% - Accent2 6 2 5 4" xfId="5088"/>
    <cellStyle name="40% - Accent2 6 2 5 5" xfId="5089"/>
    <cellStyle name="40% - Accent2 6 2 6" xfId="5090"/>
    <cellStyle name="40% - Accent2 6 2 6 2" xfId="5091"/>
    <cellStyle name="40% - Accent2 6 2 7" xfId="5092"/>
    <cellStyle name="40% - Accent2 6 2 7 2" xfId="5093"/>
    <cellStyle name="40% - Accent2 6 2 8" xfId="5094"/>
    <cellStyle name="40% - Accent2 6 2 8 2" xfId="5095"/>
    <cellStyle name="40% - Accent2 6 2 9" xfId="5096"/>
    <cellStyle name="40% - Accent2 6 3" xfId="5097"/>
    <cellStyle name="40% - Accent2 6 3 2" xfId="5098"/>
    <cellStyle name="40% - Accent2 6 3 3" xfId="5099"/>
    <cellStyle name="40% - Accent2 6 3 4" xfId="5100"/>
    <cellStyle name="40% - Accent2 6 3 4 2" xfId="5101"/>
    <cellStyle name="40% - Accent2 6 3 5" xfId="5102"/>
    <cellStyle name="40% - Accent2 6 3 5 2" xfId="5103"/>
    <cellStyle name="40% - Accent2 6 4" xfId="5104"/>
    <cellStyle name="40% - Accent2 6 4 2" xfId="5105"/>
    <cellStyle name="40% - Accent2 6 4 2 2" xfId="5106"/>
    <cellStyle name="40% - Accent2 6 4 2 2 2" xfId="5107"/>
    <cellStyle name="40% - Accent2 6 4 2 2 2 2" xfId="5108"/>
    <cellStyle name="40% - Accent2 6 4 2 2 3" xfId="5109"/>
    <cellStyle name="40% - Accent2 6 4 2 2 3 2" xfId="5110"/>
    <cellStyle name="40% - Accent2 6 4 2 2 4" xfId="5111"/>
    <cellStyle name="40% - Accent2 6 4 2 2 5" xfId="5112"/>
    <cellStyle name="40% - Accent2 6 4 2 3" xfId="5113"/>
    <cellStyle name="40% - Accent2 6 4 2 3 2" xfId="5114"/>
    <cellStyle name="40% - Accent2 6 4 2 3 2 2" xfId="5115"/>
    <cellStyle name="40% - Accent2 6 4 2 3 3" xfId="5116"/>
    <cellStyle name="40% - Accent2 6 4 2 4" xfId="5117"/>
    <cellStyle name="40% - Accent2 6 4 2 4 2" xfId="5118"/>
    <cellStyle name="40% - Accent2 6 4 2 5" xfId="5119"/>
    <cellStyle name="40% - Accent2 6 4 2 5 2" xfId="5120"/>
    <cellStyle name="40% - Accent2 6 4 2 6" xfId="5121"/>
    <cellStyle name="40% - Accent2 6 4 3" xfId="5122"/>
    <cellStyle name="40% - Accent2 6 4 3 2" xfId="5123"/>
    <cellStyle name="40% - Accent2 6 4 3 2 2" xfId="5124"/>
    <cellStyle name="40% - Accent2 6 4 3 3" xfId="5125"/>
    <cellStyle name="40% - Accent2 6 4 3 3 2" xfId="5126"/>
    <cellStyle name="40% - Accent2 6 4 3 4" xfId="5127"/>
    <cellStyle name="40% - Accent2 6 4 4" xfId="5128"/>
    <cellStyle name="40% - Accent2 6 4 4 2" xfId="5129"/>
    <cellStyle name="40% - Accent2 6 4 4 3" xfId="5130"/>
    <cellStyle name="40% - Accent2 6 4 5" xfId="5131"/>
    <cellStyle name="40% - Accent2 6 4 5 2" xfId="5132"/>
    <cellStyle name="40% - Accent2 6 4 5 3" xfId="5133"/>
    <cellStyle name="40% - Accent2 6 4 6" xfId="5134"/>
    <cellStyle name="40% - Accent2 6 4 6 2" xfId="5135"/>
    <cellStyle name="40% - Accent2 6 4 6 3" xfId="5136"/>
    <cellStyle name="40% - Accent2 6 4 7" xfId="5137"/>
    <cellStyle name="40% - Accent2 6 4 8" xfId="5138"/>
    <cellStyle name="40% - Accent2 6 5" xfId="5139"/>
    <cellStyle name="40% - Accent2 6 5 2" xfId="5140"/>
    <cellStyle name="40% - Accent2 6 5 2 2" xfId="5141"/>
    <cellStyle name="40% - Accent2 6 5 2 2 2" xfId="5142"/>
    <cellStyle name="40% - Accent2 6 5 2 3" xfId="5143"/>
    <cellStyle name="40% - Accent2 6 5 2 3 2" xfId="5144"/>
    <cellStyle name="40% - Accent2 6 5 2 4" xfId="5145"/>
    <cellStyle name="40% - Accent2 6 5 3" xfId="5146"/>
    <cellStyle name="40% - Accent2 6 5 3 2" xfId="5147"/>
    <cellStyle name="40% - Accent2 6 5 3 3" xfId="5148"/>
    <cellStyle name="40% - Accent2 6 5 4" xfId="5149"/>
    <cellStyle name="40% - Accent2 6 5 4 2" xfId="5150"/>
    <cellStyle name="40% - Accent2 6 5 4 3" xfId="5151"/>
    <cellStyle name="40% - Accent2 6 5 5" xfId="5152"/>
    <cellStyle name="40% - Accent2 6 5 5 2" xfId="5153"/>
    <cellStyle name="40% - Accent2 6 5 5 3" xfId="5154"/>
    <cellStyle name="40% - Accent2 6 5 6" xfId="5155"/>
    <cellStyle name="40% - Accent2 6 6" xfId="5156"/>
    <cellStyle name="40% - Accent2 6 7" xfId="5157"/>
    <cellStyle name="40% - Accent2 6 7 2" xfId="5158"/>
    <cellStyle name="40% - Accent2 6 7 2 2" xfId="5159"/>
    <cellStyle name="40% - Accent2 6 7 3" xfId="5160"/>
    <cellStyle name="40% - Accent2 6 7 3 2" xfId="5161"/>
    <cellStyle name="40% - Accent2 6 7 4" xfId="5162"/>
    <cellStyle name="40% - Accent2 6 7 5" xfId="5163"/>
    <cellStyle name="40% - Accent2 6 8" xfId="5164"/>
    <cellStyle name="40% - Accent2 6 8 2" xfId="5165"/>
    <cellStyle name="40% - Accent2 6 8 2 2" xfId="5166"/>
    <cellStyle name="40% - Accent2 6 8 3" xfId="5167"/>
    <cellStyle name="40% - Accent2 6 9" xfId="5168"/>
    <cellStyle name="40% - Accent2 6 9 2" xfId="5169"/>
    <cellStyle name="40% - Accent2 7" xfId="5170"/>
    <cellStyle name="40% - Accent2 7 2" xfId="5171"/>
    <cellStyle name="40% - Accent2 7 2 2" xfId="5172"/>
    <cellStyle name="40% - Accent2 7 2 2 2" xfId="5173"/>
    <cellStyle name="40% - Accent2 7 2 2 2 2" xfId="5174"/>
    <cellStyle name="40% - Accent2 7 2 2 3" xfId="5175"/>
    <cellStyle name="40% - Accent2 7 2 2 3 2" xfId="5176"/>
    <cellStyle name="40% - Accent2 7 2 2 4" xfId="5177"/>
    <cellStyle name="40% - Accent2 7 2 3" xfId="5178"/>
    <cellStyle name="40% - Accent2 7 2 3 2" xfId="5179"/>
    <cellStyle name="40% - Accent2 7 2 3 2 2" xfId="5180"/>
    <cellStyle name="40% - Accent2 7 2 3 3" xfId="5181"/>
    <cellStyle name="40% - Accent2 7 2 4" xfId="5182"/>
    <cellStyle name="40% - Accent2 7 2 4 2" xfId="5183"/>
    <cellStyle name="40% - Accent2 7 2 4 2 2" xfId="5184"/>
    <cellStyle name="40% - Accent2 7 2 4 3" xfId="5185"/>
    <cellStyle name="40% - Accent2 7 2 4 3 2" xfId="5186"/>
    <cellStyle name="40% - Accent2 7 2 4 4" xfId="5187"/>
    <cellStyle name="40% - Accent2 7 2 5" xfId="5188"/>
    <cellStyle name="40% - Accent2 7 2 5 2" xfId="5189"/>
    <cellStyle name="40% - Accent2 7 2 5 2 2" xfId="5190"/>
    <cellStyle name="40% - Accent2 7 2 6" xfId="5191"/>
    <cellStyle name="40% - Accent2 7 3" xfId="5192"/>
    <cellStyle name="40% - Accent2 7 3 2" xfId="5193"/>
    <cellStyle name="40% - Accent2 7 3 2 2" xfId="5194"/>
    <cellStyle name="40% - Accent2 7 3 2 2 2" xfId="5195"/>
    <cellStyle name="40% - Accent2 7 3 2 3" xfId="5196"/>
    <cellStyle name="40% - Accent2 7 3 2 3 2" xfId="5197"/>
    <cellStyle name="40% - Accent2 7 3 2 4" xfId="5198"/>
    <cellStyle name="40% - Accent2 7 3 3" xfId="5199"/>
    <cellStyle name="40% - Accent2 7 3 3 2" xfId="5200"/>
    <cellStyle name="40% - Accent2 7 3 3 2 2" xfId="5201"/>
    <cellStyle name="40% - Accent2 7 3 3 3" xfId="5202"/>
    <cellStyle name="40% - Accent2 7 3 3 3 2" xfId="5203"/>
    <cellStyle name="40% - Accent2 7 3 3 4" xfId="5204"/>
    <cellStyle name="40% - Accent2 7 3 4" xfId="5205"/>
    <cellStyle name="40% - Accent2 7 4" xfId="5206"/>
    <cellStyle name="40% - Accent2 7 4 2" xfId="5207"/>
    <cellStyle name="40% - Accent2 7 4 2 2" xfId="5208"/>
    <cellStyle name="40% - Accent2 7 4 3" xfId="5209"/>
    <cellStyle name="40% - Accent2 7 4 3 2" xfId="5210"/>
    <cellStyle name="40% - Accent2 7 4 4" xfId="5211"/>
    <cellStyle name="40% - Accent2 7 4 4 2" xfId="5212"/>
    <cellStyle name="40% - Accent2 7 4 5" xfId="5213"/>
    <cellStyle name="40% - Accent2 7 5" xfId="5214"/>
    <cellStyle name="40% - Accent2 7 5 2" xfId="5215"/>
    <cellStyle name="40% - Accent2 7 5 2 2" xfId="5216"/>
    <cellStyle name="40% - Accent2 7 5 2 2 2" xfId="5217"/>
    <cellStyle name="40% - Accent2 7 5 3" xfId="5218"/>
    <cellStyle name="40% - Accent2 7 5 3 2" xfId="5219"/>
    <cellStyle name="40% - Accent2 7 5 4" xfId="5220"/>
    <cellStyle name="40% - Accent2 7 6" xfId="5221"/>
    <cellStyle name="40% - Accent2 7 6 2" xfId="5222"/>
    <cellStyle name="40% - Accent2 7 7" xfId="5223"/>
    <cellStyle name="40% - Accent2 7 7 2" xfId="5224"/>
    <cellStyle name="40% - Accent2 7 8" xfId="5225"/>
    <cellStyle name="40% - Accent2 7 8 2" xfId="5226"/>
    <cellStyle name="40% - Accent2 7 9" xfId="5227"/>
    <cellStyle name="40% - Accent2 8" xfId="5228"/>
    <cellStyle name="40% - Accent2 8 2" xfId="5229"/>
    <cellStyle name="40% - Accent2 8 2 2" xfId="5230"/>
    <cellStyle name="40% - Accent2 8 2 2 2" xfId="5231"/>
    <cellStyle name="40% - Accent2 8 2 2 2 2" xfId="5232"/>
    <cellStyle name="40% - Accent2 8 2 2 3" xfId="5233"/>
    <cellStyle name="40% - Accent2 8 2 2 3 2" xfId="5234"/>
    <cellStyle name="40% - Accent2 8 2 2 4" xfId="5235"/>
    <cellStyle name="40% - Accent2 8 2 3" xfId="5236"/>
    <cellStyle name="40% - Accent2 8 2 3 2" xfId="5237"/>
    <cellStyle name="40% - Accent2 8 2 3 2 2" xfId="5238"/>
    <cellStyle name="40% - Accent2 8 2 3 3" xfId="5239"/>
    <cellStyle name="40% - Accent2 8 2 4" xfId="5240"/>
    <cellStyle name="40% - Accent2 8 2 4 2" xfId="5241"/>
    <cellStyle name="40% - Accent2 8 2 4 2 2" xfId="5242"/>
    <cellStyle name="40% - Accent2 8 2 4 3" xfId="5243"/>
    <cellStyle name="40% - Accent2 8 2 4 3 2" xfId="5244"/>
    <cellStyle name="40% - Accent2 8 2 4 4" xfId="5245"/>
    <cellStyle name="40% - Accent2 8 2 5" xfId="5246"/>
    <cellStyle name="40% - Accent2 8 2 5 2" xfId="5247"/>
    <cellStyle name="40% - Accent2 8 2 6" xfId="5248"/>
    <cellStyle name="40% - Accent2 8 3" xfId="5249"/>
    <cellStyle name="40% - Accent2 8 3 2" xfId="5250"/>
    <cellStyle name="40% - Accent2 8 3 2 2" xfId="5251"/>
    <cellStyle name="40% - Accent2 8 3 2 2 2" xfId="5252"/>
    <cellStyle name="40% - Accent2 8 3 2 3" xfId="5253"/>
    <cellStyle name="40% - Accent2 8 3 2 3 2" xfId="5254"/>
    <cellStyle name="40% - Accent2 8 3 2 4" xfId="5255"/>
    <cellStyle name="40% - Accent2 8 3 3" xfId="5256"/>
    <cellStyle name="40% - Accent2 8 3 3 2" xfId="5257"/>
    <cellStyle name="40% - Accent2 8 3 3 2 2" xfId="5258"/>
    <cellStyle name="40% - Accent2 8 3 3 3" xfId="5259"/>
    <cellStyle name="40% - Accent2 8 3 3 3 2" xfId="5260"/>
    <cellStyle name="40% - Accent2 8 3 3 4" xfId="5261"/>
    <cellStyle name="40% - Accent2 8 3 4" xfId="5262"/>
    <cellStyle name="40% - Accent2 8 3 4 2" xfId="5263"/>
    <cellStyle name="40% - Accent2 8 3 5" xfId="5264"/>
    <cellStyle name="40% - Accent2 8 3 5 2" xfId="5265"/>
    <cellStyle name="40% - Accent2 8 3 6" xfId="5266"/>
    <cellStyle name="40% - Accent2 8 4" xfId="5267"/>
    <cellStyle name="40% - Accent2 8 4 2" xfId="5268"/>
    <cellStyle name="40% - Accent2 8 4 2 2" xfId="5269"/>
    <cellStyle name="40% - Accent2 8 4 3" xfId="5270"/>
    <cellStyle name="40% - Accent2 8 5" xfId="5271"/>
    <cellStyle name="40% - Accent2 8 5 2" xfId="5272"/>
    <cellStyle name="40% - Accent2 8 6" xfId="5273"/>
    <cellStyle name="40% - Accent2 8 6 2" xfId="5274"/>
    <cellStyle name="40% - Accent2 8 7" xfId="5275"/>
    <cellStyle name="40% - Accent2 9" xfId="5276"/>
    <cellStyle name="40% - Accent2 9 2" xfId="5277"/>
    <cellStyle name="40% - Accent2 9 2 2" xfId="5278"/>
    <cellStyle name="40% - Accent2 9 2 2 2" xfId="5279"/>
    <cellStyle name="40% - Accent2 9 2 3" xfId="5280"/>
    <cellStyle name="40% - Accent2 9 2 3 2" xfId="5281"/>
    <cellStyle name="40% - Accent2 9 2 4" xfId="5282"/>
    <cellStyle name="40% - Accent2 9 2 4 2" xfId="5283"/>
    <cellStyle name="40% - Accent2 9 2 5" xfId="5284"/>
    <cellStyle name="40% - Accent2 9 3" xfId="5285"/>
    <cellStyle name="40% - Accent2 9 3 2" xfId="5286"/>
    <cellStyle name="40% - Accent2 9 3 2 2" xfId="5287"/>
    <cellStyle name="40% - Accent2 9 3 3" xfId="5288"/>
    <cellStyle name="40% - Accent2 9 3 3 2" xfId="5289"/>
    <cellStyle name="40% - Accent2 9 3 4" xfId="5290"/>
    <cellStyle name="40% - Accent2 9 4" xfId="5291"/>
    <cellStyle name="40% - Accent2 9 4 2" xfId="5292"/>
    <cellStyle name="40% - Accent2 9 4 2 2" xfId="5293"/>
    <cellStyle name="40% - Accent2 9 4 3" xfId="5294"/>
    <cellStyle name="40% - Accent2 9 5" xfId="5295"/>
    <cellStyle name="40% - Accent2 9 5 2" xfId="5296"/>
    <cellStyle name="40% - Accent2 9 6" xfId="5297"/>
    <cellStyle name="40% - Accent2 9 7" xfId="5298"/>
    <cellStyle name="40% - Accent3 10" xfId="5299"/>
    <cellStyle name="40% - Accent3 10 2" xfId="5300"/>
    <cellStyle name="40% - Accent3 10 2 2" xfId="5301"/>
    <cellStyle name="40% - Accent3 10 2 2 2" xfId="5302"/>
    <cellStyle name="40% - Accent3 10 2 3" xfId="5303"/>
    <cellStyle name="40% - Accent3 10 2 3 2" xfId="5304"/>
    <cellStyle name="40% - Accent3 10 2 4" xfId="5305"/>
    <cellStyle name="40% - Accent3 10 2 4 2" xfId="5306"/>
    <cellStyle name="40% - Accent3 10 2 5" xfId="5307"/>
    <cellStyle name="40% - Accent3 10 3" xfId="5308"/>
    <cellStyle name="40% - Accent3 10 3 2" xfId="5309"/>
    <cellStyle name="40% - Accent3 10 3 2 2" xfId="5310"/>
    <cellStyle name="40% - Accent3 10 3 3" xfId="5311"/>
    <cellStyle name="40% - Accent3 10 4" xfId="5312"/>
    <cellStyle name="40% - Accent3 10 4 2" xfId="5313"/>
    <cellStyle name="40% - Accent3 10 5" xfId="5314"/>
    <cellStyle name="40% - Accent3 10 5 2" xfId="5315"/>
    <cellStyle name="40% - Accent3 10 6" xfId="5316"/>
    <cellStyle name="40% - Accent3 10 7" xfId="5317"/>
    <cellStyle name="40% - Accent3 11" xfId="5318"/>
    <cellStyle name="40% - Accent3 11 2" xfId="5319"/>
    <cellStyle name="40% - Accent3 11 2 2" xfId="5320"/>
    <cellStyle name="40% - Accent3 11 3" xfId="5321"/>
    <cellStyle name="40% - Accent3 12" xfId="5322"/>
    <cellStyle name="40% - Accent3 12 2" xfId="5323"/>
    <cellStyle name="40% - Accent3 13" xfId="5324"/>
    <cellStyle name="40% - Accent3 13 2" xfId="5325"/>
    <cellStyle name="40% - Accent3 14" xfId="5326"/>
    <cellStyle name="40% - Accent3 14 2" xfId="5327"/>
    <cellStyle name="40% - Accent3 14 3" xfId="5328"/>
    <cellStyle name="40% - Accent3 15" xfId="5329"/>
    <cellStyle name="40% - Accent3 15 2" xfId="5330"/>
    <cellStyle name="40% - Accent3 16" xfId="5331"/>
    <cellStyle name="40% - Accent3 16 2" xfId="5332"/>
    <cellStyle name="40% - Accent3 17" xfId="5333"/>
    <cellStyle name="40% - Accent3 17 2" xfId="5334"/>
    <cellStyle name="40% - Accent3 18" xfId="5335"/>
    <cellStyle name="40% - Accent3 19" xfId="5336"/>
    <cellStyle name="40% - Accent3 2" xfId="5337"/>
    <cellStyle name="40% - Accent3 2 10" xfId="5338"/>
    <cellStyle name="40% - Accent3 2 10 2" xfId="5339"/>
    <cellStyle name="40% - Accent3 2 11" xfId="5340"/>
    <cellStyle name="40% - Accent3 2 12" xfId="5341"/>
    <cellStyle name="40% - Accent3 2 12 2" xfId="5342"/>
    <cellStyle name="40% - Accent3 2 12 2 2" xfId="5343"/>
    <cellStyle name="40% - Accent3 2 12 3" xfId="5344"/>
    <cellStyle name="40% - Accent3 2 12 4" xfId="5345"/>
    <cellStyle name="40% - Accent3 2 12 4 2" xfId="5346"/>
    <cellStyle name="40% - Accent3 2 12 5" xfId="5347"/>
    <cellStyle name="40% - Accent3 2 13" xfId="5348"/>
    <cellStyle name="40% - Accent3 2 13 2" xfId="5349"/>
    <cellStyle name="40% - Accent3 2 13 2 2" xfId="5350"/>
    <cellStyle name="40% - Accent3 2 13 3" xfId="5351"/>
    <cellStyle name="40% - Accent3 2 14" xfId="5352"/>
    <cellStyle name="40% - Accent3 2 15" xfId="5353"/>
    <cellStyle name="40% - Accent3 2 2" xfId="5354"/>
    <cellStyle name="40% - Accent3 2 2 10" xfId="5355"/>
    <cellStyle name="40% - Accent3 2 2 10 2" xfId="5356"/>
    <cellStyle name="40% - Accent3 2 2 11" xfId="5357"/>
    <cellStyle name="40% - Accent3 2 2 2" xfId="5358"/>
    <cellStyle name="40% - Accent3 2 2 2 2" xfId="5359"/>
    <cellStyle name="40% - Accent3 2 2 2 2 2" xfId="5360"/>
    <cellStyle name="40% - Accent3 2 2 2 2 3" xfId="5361"/>
    <cellStyle name="40% - Accent3 2 2 2 3" xfId="5362"/>
    <cellStyle name="40% - Accent3 2 2 2 3 2" xfId="5363"/>
    <cellStyle name="40% - Accent3 2 2 2 4" xfId="5364"/>
    <cellStyle name="40% - Accent3 2 2 2 5" xfId="5365"/>
    <cellStyle name="40% - Accent3 2 2 3" xfId="5366"/>
    <cellStyle name="40% - Accent3 2 2 3 2" xfId="5367"/>
    <cellStyle name="40% - Accent3 2 2 3 2 2" xfId="5368"/>
    <cellStyle name="40% - Accent3 2 2 3 2 3" xfId="5369"/>
    <cellStyle name="40% - Accent3 2 2 3 3" xfId="5370"/>
    <cellStyle name="40% - Accent3 2 2 3 3 2" xfId="5371"/>
    <cellStyle name="40% - Accent3 2 2 3 4" xfId="5372"/>
    <cellStyle name="40% - Accent3 2 2 3 5" xfId="5373"/>
    <cellStyle name="40% - Accent3 2 2 4" xfId="5374"/>
    <cellStyle name="40% - Accent3 2 2 4 2" xfId="5375"/>
    <cellStyle name="40% - Accent3 2 2 4 2 2" xfId="5376"/>
    <cellStyle name="40% - Accent3 2 2 4 3" xfId="5377"/>
    <cellStyle name="40% - Accent3 2 2 4 4" xfId="5378"/>
    <cellStyle name="40% - Accent3 2 2 5" xfId="5379"/>
    <cellStyle name="40% - Accent3 2 2 5 2" xfId="5380"/>
    <cellStyle name="40% - Accent3 2 2 6" xfId="5381"/>
    <cellStyle name="40% - Accent3 2 2 6 2" xfId="5382"/>
    <cellStyle name="40% - Accent3 2 2 7" xfId="5383"/>
    <cellStyle name="40% - Accent3 2 2 8" xfId="5384"/>
    <cellStyle name="40% - Accent3 2 2 9" xfId="5385"/>
    <cellStyle name="40% - Accent3 2 2 9 2" xfId="5386"/>
    <cellStyle name="40% - Accent3 2 3" xfId="5387"/>
    <cellStyle name="40% - Accent3 2 3 2" xfId="5388"/>
    <cellStyle name="40% - Accent3 2 3 2 2" xfId="5389"/>
    <cellStyle name="40% - Accent3 2 3 2 2 2" xfId="5390"/>
    <cellStyle name="40% - Accent3 2 3 2 2 3" xfId="5391"/>
    <cellStyle name="40% - Accent3 2 3 2 3" xfId="5392"/>
    <cellStyle name="40% - Accent3 2 3 2 3 2" xfId="5393"/>
    <cellStyle name="40% - Accent3 2 3 2 4" xfId="5394"/>
    <cellStyle name="40% - Accent3 2 3 2 5" xfId="5395"/>
    <cellStyle name="40% - Accent3 2 3 3" xfId="5396"/>
    <cellStyle name="40% - Accent3 2 3 3 2" xfId="5397"/>
    <cellStyle name="40% - Accent3 2 3 3 2 2" xfId="5398"/>
    <cellStyle name="40% - Accent3 2 3 3 3" xfId="5399"/>
    <cellStyle name="40% - Accent3 2 3 3 4" xfId="5400"/>
    <cellStyle name="40% - Accent3 2 3 4" xfId="5401"/>
    <cellStyle name="40% - Accent3 2 3 5" xfId="5402"/>
    <cellStyle name="40% - Accent3 2 3 5 2" xfId="5403"/>
    <cellStyle name="40% - Accent3 2 3 6" xfId="5404"/>
    <cellStyle name="40% - Accent3 2 3 7" xfId="5405"/>
    <cellStyle name="40% - Accent3 2 3 8" xfId="5406"/>
    <cellStyle name="40% - Accent3 2 4" xfId="5407"/>
    <cellStyle name="40% - Accent3 2 4 2" xfId="5408"/>
    <cellStyle name="40% - Accent3 2 4 2 2" xfId="5409"/>
    <cellStyle name="40% - Accent3 2 4 2 2 2" xfId="5410"/>
    <cellStyle name="40% - Accent3 2 4 2 3" xfId="5411"/>
    <cellStyle name="40% - Accent3 2 4 2 4" xfId="5412"/>
    <cellStyle name="40% - Accent3 2 4 3" xfId="5413"/>
    <cellStyle name="40% - Accent3 2 4 3 2" xfId="5414"/>
    <cellStyle name="40% - Accent3 2 4 4" xfId="5415"/>
    <cellStyle name="40% - Accent3 2 4 4 2" xfId="5416"/>
    <cellStyle name="40% - Accent3 2 4 5" xfId="5417"/>
    <cellStyle name="40% - Accent3 2 4 6" xfId="5418"/>
    <cellStyle name="40% - Accent3 2 5" xfId="5419"/>
    <cellStyle name="40% - Accent3 2 5 2" xfId="5420"/>
    <cellStyle name="40% - Accent3 2 5 2 2" xfId="5421"/>
    <cellStyle name="40% - Accent3 2 5 3" xfId="5422"/>
    <cellStyle name="40% - Accent3 2 5 4" xfId="5423"/>
    <cellStyle name="40% - Accent3 2 6" xfId="5424"/>
    <cellStyle name="40% - Accent3 2 6 10" xfId="5425"/>
    <cellStyle name="40% - Accent3 2 6 2" xfId="5426"/>
    <cellStyle name="40% - Accent3 2 6 2 2" xfId="5427"/>
    <cellStyle name="40% - Accent3 2 6 2 2 2" xfId="5428"/>
    <cellStyle name="40% - Accent3 2 6 2 2 2 2" xfId="5429"/>
    <cellStyle name="40% - Accent3 2 6 2 2 3" xfId="5430"/>
    <cellStyle name="40% - Accent3 2 6 2 2 3 2" xfId="5431"/>
    <cellStyle name="40% - Accent3 2 6 2 2 4" xfId="5432"/>
    <cellStyle name="40% - Accent3 2 6 2 2 5" xfId="5433"/>
    <cellStyle name="40% - Accent3 2 6 2 3" xfId="5434"/>
    <cellStyle name="40% - Accent3 2 6 2 3 2" xfId="5435"/>
    <cellStyle name="40% - Accent3 2 6 2 3 2 2" xfId="5436"/>
    <cellStyle name="40% - Accent3 2 6 2 3 3" xfId="5437"/>
    <cellStyle name="40% - Accent3 2 6 2 4" xfId="5438"/>
    <cellStyle name="40% - Accent3 2 6 2 4 2" xfId="5439"/>
    <cellStyle name="40% - Accent3 2 6 2 5" xfId="5440"/>
    <cellStyle name="40% - Accent3 2 6 2 5 2" xfId="5441"/>
    <cellStyle name="40% - Accent3 2 6 2 6" xfId="5442"/>
    <cellStyle name="40% - Accent3 2 6 3" xfId="5443"/>
    <cellStyle name="40% - Accent3 2 6 3 2" xfId="5444"/>
    <cellStyle name="40% - Accent3 2 6 3 2 2" xfId="5445"/>
    <cellStyle name="40% - Accent3 2 6 3 2 2 2" xfId="5446"/>
    <cellStyle name="40% - Accent3 2 6 3 2 3" xfId="5447"/>
    <cellStyle name="40% - Accent3 2 6 3 2 3 2" xfId="5448"/>
    <cellStyle name="40% - Accent3 2 6 3 2 4" xfId="5449"/>
    <cellStyle name="40% - Accent3 2 6 3 2 5" xfId="5450"/>
    <cellStyle name="40% - Accent3 2 6 3 3" xfId="5451"/>
    <cellStyle name="40% - Accent3 2 6 3 3 2" xfId="5452"/>
    <cellStyle name="40% - Accent3 2 6 3 3 2 2" xfId="5453"/>
    <cellStyle name="40% - Accent3 2 6 3 3 3" xfId="5454"/>
    <cellStyle name="40% - Accent3 2 6 3 4" xfId="5455"/>
    <cellStyle name="40% - Accent3 2 6 3 4 2" xfId="5456"/>
    <cellStyle name="40% - Accent3 2 6 3 5" xfId="5457"/>
    <cellStyle name="40% - Accent3 2 6 3 5 2" xfId="5458"/>
    <cellStyle name="40% - Accent3 2 6 3 6" xfId="5459"/>
    <cellStyle name="40% - Accent3 2 6 4" xfId="5460"/>
    <cellStyle name="40% - Accent3 2 6 4 2" xfId="5461"/>
    <cellStyle name="40% - Accent3 2 6 4 2 2" xfId="5462"/>
    <cellStyle name="40% - Accent3 2 6 4 2 2 2" xfId="5463"/>
    <cellStyle name="40% - Accent3 2 6 4 2 3" xfId="5464"/>
    <cellStyle name="40% - Accent3 2 6 4 3" xfId="5465"/>
    <cellStyle name="40% - Accent3 2 6 4 3 2" xfId="5466"/>
    <cellStyle name="40% - Accent3 2 6 4 4" xfId="5467"/>
    <cellStyle name="40% - Accent3 2 6 4 4 2" xfId="5468"/>
    <cellStyle name="40% - Accent3 2 6 4 5" xfId="5469"/>
    <cellStyle name="40% - Accent3 2 6 5" xfId="5470"/>
    <cellStyle name="40% - Accent3 2 6 5 2" xfId="5471"/>
    <cellStyle name="40% - Accent3 2 6 5 2 2" xfId="5472"/>
    <cellStyle name="40% - Accent3 2 6 5 3" xfId="5473"/>
    <cellStyle name="40% - Accent3 2 6 5 3 2" xfId="5474"/>
    <cellStyle name="40% - Accent3 2 6 5 4" xfId="5475"/>
    <cellStyle name="40% - Accent3 2 6 6" xfId="5476"/>
    <cellStyle name="40% - Accent3 2 6 6 2" xfId="5477"/>
    <cellStyle name="40% - Accent3 2 6 6 2 2" xfId="5478"/>
    <cellStyle name="40% - Accent3 2 6 6 3" xfId="5479"/>
    <cellStyle name="40% - Accent3 2 6 7" xfId="5480"/>
    <cellStyle name="40% - Accent3 2 6 7 2" xfId="5481"/>
    <cellStyle name="40% - Accent3 2 6 7 3" xfId="5482"/>
    <cellStyle name="40% - Accent3 2 6 8" xfId="5483"/>
    <cellStyle name="40% - Accent3 2 6 8 2" xfId="5484"/>
    <cellStyle name="40% - Accent3 2 6 9" xfId="5485"/>
    <cellStyle name="40% - Accent3 2 7" xfId="5486"/>
    <cellStyle name="40% - Accent3 2 7 2" xfId="5487"/>
    <cellStyle name="40% - Accent3 2 7 2 2" xfId="5488"/>
    <cellStyle name="40% - Accent3 2 7 3" xfId="5489"/>
    <cellStyle name="40% - Accent3 2 7 4" xfId="5490"/>
    <cellStyle name="40% - Accent3 2 8" xfId="5491"/>
    <cellStyle name="40% - Accent3 2 8 2" xfId="5492"/>
    <cellStyle name="40% - Accent3 2 9" xfId="5493"/>
    <cellStyle name="40% - Accent3 2 9 2" xfId="5494"/>
    <cellStyle name="40% - Accent3 20" xfId="5495"/>
    <cellStyle name="40% - Accent3 3" xfId="5496"/>
    <cellStyle name="40% - Accent3 3 10" xfId="5497"/>
    <cellStyle name="40% - Accent3 3 2" xfId="5498"/>
    <cellStyle name="40% - Accent3 3 2 2" xfId="5499"/>
    <cellStyle name="40% - Accent3 3 2 2 2" xfId="5500"/>
    <cellStyle name="40% - Accent3 3 2 2 2 2" xfId="5501"/>
    <cellStyle name="40% - Accent3 3 2 2 3" xfId="5502"/>
    <cellStyle name="40% - Accent3 3 2 2 4" xfId="5503"/>
    <cellStyle name="40% - Accent3 3 2 2 5" xfId="5504"/>
    <cellStyle name="40% - Accent3 3 2 3" xfId="5505"/>
    <cellStyle name="40% - Accent3 3 2 3 2" xfId="5506"/>
    <cellStyle name="40% - Accent3 3 2 3 2 2" xfId="5507"/>
    <cellStyle name="40% - Accent3 3 2 3 3" xfId="5508"/>
    <cellStyle name="40% - Accent3 3 2 3 4" xfId="5509"/>
    <cellStyle name="40% - Accent3 3 2 4" xfId="5510"/>
    <cellStyle name="40% - Accent3 3 2 4 2" xfId="5511"/>
    <cellStyle name="40% - Accent3 3 2 5" xfId="5512"/>
    <cellStyle name="40% - Accent3 3 2 5 2" xfId="5513"/>
    <cellStyle name="40% - Accent3 3 2 6" xfId="5514"/>
    <cellStyle name="40% - Accent3 3 2 7" xfId="5515"/>
    <cellStyle name="40% - Accent3 3 2 8" xfId="5516"/>
    <cellStyle name="40% - Accent3 3 3" xfId="5517"/>
    <cellStyle name="40% - Accent3 3 3 2" xfId="5518"/>
    <cellStyle name="40% - Accent3 3 3 2 2" xfId="5519"/>
    <cellStyle name="40% - Accent3 3 3 2 2 2" xfId="5520"/>
    <cellStyle name="40% - Accent3 3 3 2 3" xfId="5521"/>
    <cellStyle name="40% - Accent3 3 3 2 4" xfId="5522"/>
    <cellStyle name="40% - Accent3 3 3 3" xfId="5523"/>
    <cellStyle name="40% - Accent3 3 3 3 2" xfId="5524"/>
    <cellStyle name="40% - Accent3 3 3 4" xfId="5525"/>
    <cellStyle name="40% - Accent3 3 3 4 2" xfId="5526"/>
    <cellStyle name="40% - Accent3 3 3 5" xfId="5527"/>
    <cellStyle name="40% - Accent3 3 3 6" xfId="5528"/>
    <cellStyle name="40% - Accent3 3 3 7" xfId="5529"/>
    <cellStyle name="40% - Accent3 3 4" xfId="5530"/>
    <cellStyle name="40% - Accent3 3 4 2" xfId="5531"/>
    <cellStyle name="40% - Accent3 3 4 2 2" xfId="5532"/>
    <cellStyle name="40% - Accent3 3 4 3" xfId="5533"/>
    <cellStyle name="40% - Accent3 3 4 4" xfId="5534"/>
    <cellStyle name="40% - Accent3 3 5" xfId="5535"/>
    <cellStyle name="40% - Accent3 3 5 2" xfId="5536"/>
    <cellStyle name="40% - Accent3 3 6" xfId="5537"/>
    <cellStyle name="40% - Accent3 3 7" xfId="5538"/>
    <cellStyle name="40% - Accent3 3 7 2" xfId="5539"/>
    <cellStyle name="40% - Accent3 3 8" xfId="5540"/>
    <cellStyle name="40% - Accent3 3 9" xfId="5541"/>
    <cellStyle name="40% - Accent3 3 9 2" xfId="5542"/>
    <cellStyle name="40% - Accent3 4" xfId="5543"/>
    <cellStyle name="40% - Accent3 4 2" xfId="5544"/>
    <cellStyle name="40% - Accent3 4 2 2" xfId="5545"/>
    <cellStyle name="40% - Accent3 4 2 2 2" xfId="5546"/>
    <cellStyle name="40% - Accent3 4 2 2 2 2" xfId="5547"/>
    <cellStyle name="40% - Accent3 4 2 2 3" xfId="5548"/>
    <cellStyle name="40% - Accent3 4 2 2 4" xfId="5549"/>
    <cellStyle name="40% - Accent3 4 2 3" xfId="5550"/>
    <cellStyle name="40% - Accent3 4 2 3 2" xfId="5551"/>
    <cellStyle name="40% - Accent3 4 2 4" xfId="5552"/>
    <cellStyle name="40% - Accent3 4 2 4 2" xfId="5553"/>
    <cellStyle name="40% - Accent3 4 2 5" xfId="5554"/>
    <cellStyle name="40% - Accent3 4 2 6" xfId="5555"/>
    <cellStyle name="40% - Accent3 4 3" xfId="5556"/>
    <cellStyle name="40% - Accent3 4 3 2" xfId="5557"/>
    <cellStyle name="40% - Accent3 4 3 3" xfId="5558"/>
    <cellStyle name="40% - Accent3 4 3 3 2" xfId="5559"/>
    <cellStyle name="40% - Accent3 4 3 4" xfId="5560"/>
    <cellStyle name="40% - Accent3 4 4" xfId="5561"/>
    <cellStyle name="40% - Accent3 4 4 2" xfId="5562"/>
    <cellStyle name="40% - Accent3 4 4 2 2" xfId="5563"/>
    <cellStyle name="40% - Accent3 4 4 3" xfId="5564"/>
    <cellStyle name="40% - Accent3 4 4 4" xfId="5565"/>
    <cellStyle name="40% - Accent3 4 5" xfId="5566"/>
    <cellStyle name="40% - Accent3 4 5 2" xfId="5567"/>
    <cellStyle name="40% - Accent3 4 6" xfId="5568"/>
    <cellStyle name="40% - Accent3 4 6 2" xfId="5569"/>
    <cellStyle name="40% - Accent3 4 7" xfId="5570"/>
    <cellStyle name="40% - Accent3 4 7 2" xfId="5571"/>
    <cellStyle name="40% - Accent3 4 8" xfId="5572"/>
    <cellStyle name="40% - Accent3 4 9" xfId="5573"/>
    <cellStyle name="40% - Accent3 5" xfId="5574"/>
    <cellStyle name="40% - Accent3 5 10" xfId="5575"/>
    <cellStyle name="40% - Accent3 5 11" xfId="5576"/>
    <cellStyle name="40% - Accent3 5 2" xfId="5577"/>
    <cellStyle name="40% - Accent3 5 2 2" xfId="5578"/>
    <cellStyle name="40% - Accent3 5 2 2 2" xfId="5579"/>
    <cellStyle name="40% - Accent3 5 2 2 2 2" xfId="5580"/>
    <cellStyle name="40% - Accent3 5 2 2 2 2 2" xfId="5581"/>
    <cellStyle name="40% - Accent3 5 2 2 2 3" xfId="5582"/>
    <cellStyle name="40% - Accent3 5 2 2 2 3 2" xfId="5583"/>
    <cellStyle name="40% - Accent3 5 2 2 2 4" xfId="5584"/>
    <cellStyle name="40% - Accent3 5 2 2 2 4 2" xfId="5585"/>
    <cellStyle name="40% - Accent3 5 2 2 2 5" xfId="5586"/>
    <cellStyle name="40% - Accent3 5 2 2 3" xfId="5587"/>
    <cellStyle name="40% - Accent3 5 2 2 3 2" xfId="5588"/>
    <cellStyle name="40% - Accent3 5 2 2 3 2 2" xfId="5589"/>
    <cellStyle name="40% - Accent3 5 2 2 3 3" xfId="5590"/>
    <cellStyle name="40% - Accent3 5 2 2 3 3 2" xfId="5591"/>
    <cellStyle name="40% - Accent3 5 2 2 3 4" xfId="5592"/>
    <cellStyle name="40% - Accent3 5 2 2 4" xfId="5593"/>
    <cellStyle name="40% - Accent3 5 2 2 4 2" xfId="5594"/>
    <cellStyle name="40% - Accent3 5 2 2 4 2 2" xfId="5595"/>
    <cellStyle name="40% - Accent3 5 2 2 4 3" xfId="5596"/>
    <cellStyle name="40% - Accent3 5 2 2 4 3 2" xfId="5597"/>
    <cellStyle name="40% - Accent3 5 2 2 4 4" xfId="5598"/>
    <cellStyle name="40% - Accent3 5 2 2 5" xfId="5599"/>
    <cellStyle name="40% - Accent3 5 2 2 5 2" xfId="5600"/>
    <cellStyle name="40% - Accent3 5 2 2 5 2 2" xfId="5601"/>
    <cellStyle name="40% - Accent3 5 2 2 5 3" xfId="5602"/>
    <cellStyle name="40% - Accent3 5 2 2 5 3 2" xfId="5603"/>
    <cellStyle name="40% - Accent3 5 2 2 5 4" xfId="5604"/>
    <cellStyle name="40% - Accent3 5 2 2 6" xfId="5605"/>
    <cellStyle name="40% - Accent3 5 2 2 7" xfId="5606"/>
    <cellStyle name="40% - Accent3 5 2 3" xfId="5607"/>
    <cellStyle name="40% - Accent3 5 2 4" xfId="5608"/>
    <cellStyle name="40% - Accent3 5 2 5" xfId="5609"/>
    <cellStyle name="40% - Accent3 5 2 5 2" xfId="5610"/>
    <cellStyle name="40% - Accent3 5 2 6" xfId="5611"/>
    <cellStyle name="40% - Accent3 5 3" xfId="5612"/>
    <cellStyle name="40% - Accent3 5 3 2" xfId="5613"/>
    <cellStyle name="40% - Accent3 5 3 2 2" xfId="5614"/>
    <cellStyle name="40% - Accent3 5 3 3" xfId="5615"/>
    <cellStyle name="40% - Accent3 5 3 4" xfId="5616"/>
    <cellStyle name="40% - Accent3 5 3 5" xfId="5617"/>
    <cellStyle name="40% - Accent3 5 3 5 2" xfId="5618"/>
    <cellStyle name="40% - Accent3 5 3 6" xfId="5619"/>
    <cellStyle name="40% - Accent3 5 4" xfId="5620"/>
    <cellStyle name="40% - Accent3 5 4 2" xfId="5621"/>
    <cellStyle name="40% - Accent3 5 5" xfId="5622"/>
    <cellStyle name="40% - Accent3 5 5 2" xfId="5623"/>
    <cellStyle name="40% - Accent3 5 5 2 2" xfId="5624"/>
    <cellStyle name="40% - Accent3 5 5 2 2 2" xfId="5625"/>
    <cellStyle name="40% - Accent3 5 5 2 3" xfId="5626"/>
    <cellStyle name="40% - Accent3 5 5 2 3 2" xfId="5627"/>
    <cellStyle name="40% - Accent3 5 5 2 4" xfId="5628"/>
    <cellStyle name="40% - Accent3 5 5 2 4 2" xfId="5629"/>
    <cellStyle name="40% - Accent3 5 5 2 5" xfId="5630"/>
    <cellStyle name="40% - Accent3 5 5 3" xfId="5631"/>
    <cellStyle name="40% - Accent3 5 5 3 2" xfId="5632"/>
    <cellStyle name="40% - Accent3 5 5 3 2 2" xfId="5633"/>
    <cellStyle name="40% - Accent3 5 5 3 3" xfId="5634"/>
    <cellStyle name="40% - Accent3 5 5 3 3 2" xfId="5635"/>
    <cellStyle name="40% - Accent3 5 5 3 4" xfId="5636"/>
    <cellStyle name="40% - Accent3 5 5 4" xfId="5637"/>
    <cellStyle name="40% - Accent3 5 5 4 2" xfId="5638"/>
    <cellStyle name="40% - Accent3 5 5 4 2 2" xfId="5639"/>
    <cellStyle name="40% - Accent3 5 5 4 3" xfId="5640"/>
    <cellStyle name="40% - Accent3 5 5 4 3 2" xfId="5641"/>
    <cellStyle name="40% - Accent3 5 5 4 4" xfId="5642"/>
    <cellStyle name="40% - Accent3 5 5 5" xfId="5643"/>
    <cellStyle name="40% - Accent3 5 5 5 2" xfId="5644"/>
    <cellStyle name="40% - Accent3 5 5 5 2 2" xfId="5645"/>
    <cellStyle name="40% - Accent3 5 5 5 3" xfId="5646"/>
    <cellStyle name="40% - Accent3 5 5 5 3 2" xfId="5647"/>
    <cellStyle name="40% - Accent3 5 5 5 4" xfId="5648"/>
    <cellStyle name="40% - Accent3 5 5 6" xfId="5649"/>
    <cellStyle name="40% - Accent3 5 6" xfId="5650"/>
    <cellStyle name="40% - Accent3 5 6 2" xfId="5651"/>
    <cellStyle name="40% - Accent3 5 6 2 2" xfId="5652"/>
    <cellStyle name="40% - Accent3 5 6 2 2 2" xfId="5653"/>
    <cellStyle name="40% - Accent3 5 6 2 2 2 2" xfId="5654"/>
    <cellStyle name="40% - Accent3 5 6 2 2 3" xfId="5655"/>
    <cellStyle name="40% - Accent3 5 6 2 2 3 2" xfId="5656"/>
    <cellStyle name="40% - Accent3 5 6 2 2 4" xfId="5657"/>
    <cellStyle name="40% - Accent3 5 6 2 2 5" xfId="5658"/>
    <cellStyle name="40% - Accent3 5 6 2 3" xfId="5659"/>
    <cellStyle name="40% - Accent3 5 6 2 3 2" xfId="5660"/>
    <cellStyle name="40% - Accent3 5 6 2 3 2 2" xfId="5661"/>
    <cellStyle name="40% - Accent3 5 6 2 3 3" xfId="5662"/>
    <cellStyle name="40% - Accent3 5 6 2 4" xfId="5663"/>
    <cellStyle name="40% - Accent3 5 6 2 4 2" xfId="5664"/>
    <cellStyle name="40% - Accent3 5 6 2 5" xfId="5665"/>
    <cellStyle name="40% - Accent3 5 6 2 5 2" xfId="5666"/>
    <cellStyle name="40% - Accent3 5 6 2 6" xfId="5667"/>
    <cellStyle name="40% - Accent3 5 6 3" xfId="5668"/>
    <cellStyle name="40% - Accent3 5 6 3 2" xfId="5669"/>
    <cellStyle name="40% - Accent3 5 6 3 2 2" xfId="5670"/>
    <cellStyle name="40% - Accent3 5 6 3 2 2 2" xfId="5671"/>
    <cellStyle name="40% - Accent3 5 6 3 2 3" xfId="5672"/>
    <cellStyle name="40% - Accent3 5 6 3 2 3 2" xfId="5673"/>
    <cellStyle name="40% - Accent3 5 6 3 2 4" xfId="5674"/>
    <cellStyle name="40% - Accent3 5 6 3 2 5" xfId="5675"/>
    <cellStyle name="40% - Accent3 5 6 3 3" xfId="5676"/>
    <cellStyle name="40% - Accent3 5 6 3 3 2" xfId="5677"/>
    <cellStyle name="40% - Accent3 5 6 3 3 2 2" xfId="5678"/>
    <cellStyle name="40% - Accent3 5 6 3 3 3" xfId="5679"/>
    <cellStyle name="40% - Accent3 5 6 3 4" xfId="5680"/>
    <cellStyle name="40% - Accent3 5 6 3 4 2" xfId="5681"/>
    <cellStyle name="40% - Accent3 5 6 3 5" xfId="5682"/>
    <cellStyle name="40% - Accent3 5 6 3 5 2" xfId="5683"/>
    <cellStyle name="40% - Accent3 5 6 3 6" xfId="5684"/>
    <cellStyle name="40% - Accent3 5 6 4" xfId="5685"/>
    <cellStyle name="40% - Accent3 5 6 4 2" xfId="5686"/>
    <cellStyle name="40% - Accent3 5 6 4 2 2" xfId="5687"/>
    <cellStyle name="40% - Accent3 5 6 4 3" xfId="5688"/>
    <cellStyle name="40% - Accent3 5 6 4 3 2" xfId="5689"/>
    <cellStyle name="40% - Accent3 5 6 4 4" xfId="5690"/>
    <cellStyle name="40% - Accent3 5 6 5" xfId="5691"/>
    <cellStyle name="40% - Accent3 5 6 5 2" xfId="5692"/>
    <cellStyle name="40% - Accent3 5 6 5 3" xfId="5693"/>
    <cellStyle name="40% - Accent3 5 6 6" xfId="5694"/>
    <cellStyle name="40% - Accent3 5 6 6 2" xfId="5695"/>
    <cellStyle name="40% - Accent3 5 6 6 3" xfId="5696"/>
    <cellStyle name="40% - Accent3 5 6 7" xfId="5697"/>
    <cellStyle name="40% - Accent3 5 6 7 2" xfId="5698"/>
    <cellStyle name="40% - Accent3 5 6 7 3" xfId="5699"/>
    <cellStyle name="40% - Accent3 5 6 8" xfId="5700"/>
    <cellStyle name="40% - Accent3 5 7" xfId="5701"/>
    <cellStyle name="40% - Accent3 5 7 2" xfId="5702"/>
    <cellStyle name="40% - Accent3 5 7 2 2" xfId="5703"/>
    <cellStyle name="40% - Accent3 5 7 2 2 2" xfId="5704"/>
    <cellStyle name="40% - Accent3 5 7 2 3" xfId="5705"/>
    <cellStyle name="40% - Accent3 5 7 2 3 2" xfId="5706"/>
    <cellStyle name="40% - Accent3 5 7 2 4" xfId="5707"/>
    <cellStyle name="40% - Accent3 5 7 2 4 2" xfId="5708"/>
    <cellStyle name="40% - Accent3 5 7 2 5" xfId="5709"/>
    <cellStyle name="40% - Accent3 5 7 3" xfId="5710"/>
    <cellStyle name="40% - Accent3 5 7 3 2" xfId="5711"/>
    <cellStyle name="40% - Accent3 5 7 3 2 2" xfId="5712"/>
    <cellStyle name="40% - Accent3 5 7 3 3" xfId="5713"/>
    <cellStyle name="40% - Accent3 5 7 3 3 2" xfId="5714"/>
    <cellStyle name="40% - Accent3 5 7 3 4" xfId="5715"/>
    <cellStyle name="40% - Accent3 5 7 4" xfId="5716"/>
    <cellStyle name="40% - Accent3 5 7 4 2" xfId="5717"/>
    <cellStyle name="40% - Accent3 5 7 5" xfId="5718"/>
    <cellStyle name="40% - Accent3 5 7 5 2" xfId="5719"/>
    <cellStyle name="40% - Accent3 5 7 6" xfId="5720"/>
    <cellStyle name="40% - Accent3 5 7 7" xfId="5721"/>
    <cellStyle name="40% - Accent3 5 8" xfId="5722"/>
    <cellStyle name="40% - Accent3 5 8 2" xfId="5723"/>
    <cellStyle name="40% - Accent3 5 8 2 2" xfId="5724"/>
    <cellStyle name="40% - Accent3 5 8 2 2 2" xfId="5725"/>
    <cellStyle name="40% - Accent3 5 8 2 3" xfId="5726"/>
    <cellStyle name="40% - Accent3 5 8 2 3 2" xfId="5727"/>
    <cellStyle name="40% - Accent3 5 8 2 4" xfId="5728"/>
    <cellStyle name="40% - Accent3 5 8 3" xfId="5729"/>
    <cellStyle name="40% - Accent3 5 8 3 2" xfId="5730"/>
    <cellStyle name="40% - Accent3 5 8 4" xfId="5731"/>
    <cellStyle name="40% - Accent3 5 9" xfId="5732"/>
    <cellStyle name="40% - Accent3 5 9 2" xfId="5733"/>
    <cellStyle name="40% - Accent3 6" xfId="5734"/>
    <cellStyle name="40% - Accent3 6 10" xfId="5735"/>
    <cellStyle name="40% - Accent3 6 2" xfId="5736"/>
    <cellStyle name="40% - Accent3 6 2 2" xfId="5737"/>
    <cellStyle name="40% - Accent3 6 2 2 2" xfId="5738"/>
    <cellStyle name="40% - Accent3 6 2 3" xfId="5739"/>
    <cellStyle name="40% - Accent3 6 2 4" xfId="5740"/>
    <cellStyle name="40% - Accent3 6 2 5" xfId="5741"/>
    <cellStyle name="40% - Accent3 6 2 5 2" xfId="5742"/>
    <cellStyle name="40% - Accent3 6 2 5 2 2" xfId="5743"/>
    <cellStyle name="40% - Accent3 6 2 5 3" xfId="5744"/>
    <cellStyle name="40% - Accent3 6 2 5 3 2" xfId="5745"/>
    <cellStyle name="40% - Accent3 6 2 5 4" xfId="5746"/>
    <cellStyle name="40% - Accent3 6 2 5 5" xfId="5747"/>
    <cellStyle name="40% - Accent3 6 2 6" xfId="5748"/>
    <cellStyle name="40% - Accent3 6 2 6 2" xfId="5749"/>
    <cellStyle name="40% - Accent3 6 2 7" xfId="5750"/>
    <cellStyle name="40% - Accent3 6 2 7 2" xfId="5751"/>
    <cellStyle name="40% - Accent3 6 2 8" xfId="5752"/>
    <cellStyle name="40% - Accent3 6 2 8 2" xfId="5753"/>
    <cellStyle name="40% - Accent3 6 2 9" xfId="5754"/>
    <cellStyle name="40% - Accent3 6 3" xfId="5755"/>
    <cellStyle name="40% - Accent3 6 3 2" xfId="5756"/>
    <cellStyle name="40% - Accent3 6 3 3" xfId="5757"/>
    <cellStyle name="40% - Accent3 6 3 4" xfId="5758"/>
    <cellStyle name="40% - Accent3 6 3 4 2" xfId="5759"/>
    <cellStyle name="40% - Accent3 6 3 5" xfId="5760"/>
    <cellStyle name="40% - Accent3 6 3 5 2" xfId="5761"/>
    <cellStyle name="40% - Accent3 6 4" xfId="5762"/>
    <cellStyle name="40% - Accent3 6 4 2" xfId="5763"/>
    <cellStyle name="40% - Accent3 6 4 2 2" xfId="5764"/>
    <cellStyle name="40% - Accent3 6 4 2 2 2" xfId="5765"/>
    <cellStyle name="40% - Accent3 6 4 2 2 2 2" xfId="5766"/>
    <cellStyle name="40% - Accent3 6 4 2 2 3" xfId="5767"/>
    <cellStyle name="40% - Accent3 6 4 2 2 3 2" xfId="5768"/>
    <cellStyle name="40% - Accent3 6 4 2 2 4" xfId="5769"/>
    <cellStyle name="40% - Accent3 6 4 2 2 5" xfId="5770"/>
    <cellStyle name="40% - Accent3 6 4 2 3" xfId="5771"/>
    <cellStyle name="40% - Accent3 6 4 2 3 2" xfId="5772"/>
    <cellStyle name="40% - Accent3 6 4 2 3 2 2" xfId="5773"/>
    <cellStyle name="40% - Accent3 6 4 2 3 3" xfId="5774"/>
    <cellStyle name="40% - Accent3 6 4 2 4" xfId="5775"/>
    <cellStyle name="40% - Accent3 6 4 2 4 2" xfId="5776"/>
    <cellStyle name="40% - Accent3 6 4 2 5" xfId="5777"/>
    <cellStyle name="40% - Accent3 6 4 2 5 2" xfId="5778"/>
    <cellStyle name="40% - Accent3 6 4 2 6" xfId="5779"/>
    <cellStyle name="40% - Accent3 6 4 3" xfId="5780"/>
    <cellStyle name="40% - Accent3 6 4 3 2" xfId="5781"/>
    <cellStyle name="40% - Accent3 6 4 3 2 2" xfId="5782"/>
    <cellStyle name="40% - Accent3 6 4 3 3" xfId="5783"/>
    <cellStyle name="40% - Accent3 6 4 3 3 2" xfId="5784"/>
    <cellStyle name="40% - Accent3 6 4 3 4" xfId="5785"/>
    <cellStyle name="40% - Accent3 6 4 4" xfId="5786"/>
    <cellStyle name="40% - Accent3 6 4 4 2" xfId="5787"/>
    <cellStyle name="40% - Accent3 6 4 4 3" xfId="5788"/>
    <cellStyle name="40% - Accent3 6 4 5" xfId="5789"/>
    <cellStyle name="40% - Accent3 6 4 5 2" xfId="5790"/>
    <cellStyle name="40% - Accent3 6 4 5 3" xfId="5791"/>
    <cellStyle name="40% - Accent3 6 4 6" xfId="5792"/>
    <cellStyle name="40% - Accent3 6 4 6 2" xfId="5793"/>
    <cellStyle name="40% - Accent3 6 4 6 3" xfId="5794"/>
    <cellStyle name="40% - Accent3 6 4 7" xfId="5795"/>
    <cellStyle name="40% - Accent3 6 4 8" xfId="5796"/>
    <cellStyle name="40% - Accent3 6 5" xfId="5797"/>
    <cellStyle name="40% - Accent3 6 5 2" xfId="5798"/>
    <cellStyle name="40% - Accent3 6 5 2 2" xfId="5799"/>
    <cellStyle name="40% - Accent3 6 5 2 2 2" xfId="5800"/>
    <cellStyle name="40% - Accent3 6 5 2 3" xfId="5801"/>
    <cellStyle name="40% - Accent3 6 5 2 3 2" xfId="5802"/>
    <cellStyle name="40% - Accent3 6 5 2 4" xfId="5803"/>
    <cellStyle name="40% - Accent3 6 5 3" xfId="5804"/>
    <cellStyle name="40% - Accent3 6 5 3 2" xfId="5805"/>
    <cellStyle name="40% - Accent3 6 5 3 3" xfId="5806"/>
    <cellStyle name="40% - Accent3 6 5 4" xfId="5807"/>
    <cellStyle name="40% - Accent3 6 5 4 2" xfId="5808"/>
    <cellStyle name="40% - Accent3 6 5 4 3" xfId="5809"/>
    <cellStyle name="40% - Accent3 6 5 5" xfId="5810"/>
    <cellStyle name="40% - Accent3 6 5 5 2" xfId="5811"/>
    <cellStyle name="40% - Accent3 6 5 5 3" xfId="5812"/>
    <cellStyle name="40% - Accent3 6 5 6" xfId="5813"/>
    <cellStyle name="40% - Accent3 6 6" xfId="5814"/>
    <cellStyle name="40% - Accent3 6 7" xfId="5815"/>
    <cellStyle name="40% - Accent3 6 7 2" xfId="5816"/>
    <cellStyle name="40% - Accent3 6 7 2 2" xfId="5817"/>
    <cellStyle name="40% - Accent3 6 7 3" xfId="5818"/>
    <cellStyle name="40% - Accent3 6 7 3 2" xfId="5819"/>
    <cellStyle name="40% - Accent3 6 7 4" xfId="5820"/>
    <cellStyle name="40% - Accent3 6 7 5" xfId="5821"/>
    <cellStyle name="40% - Accent3 6 8" xfId="5822"/>
    <cellStyle name="40% - Accent3 6 8 2" xfId="5823"/>
    <cellStyle name="40% - Accent3 6 8 2 2" xfId="5824"/>
    <cellStyle name="40% - Accent3 6 8 3" xfId="5825"/>
    <cellStyle name="40% - Accent3 6 9" xfId="5826"/>
    <cellStyle name="40% - Accent3 6 9 2" xfId="5827"/>
    <cellStyle name="40% - Accent3 7" xfId="5828"/>
    <cellStyle name="40% - Accent3 7 2" xfId="5829"/>
    <cellStyle name="40% - Accent3 7 2 2" xfId="5830"/>
    <cellStyle name="40% - Accent3 7 2 2 2" xfId="5831"/>
    <cellStyle name="40% - Accent3 7 2 2 2 2" xfId="5832"/>
    <cellStyle name="40% - Accent3 7 2 2 3" xfId="5833"/>
    <cellStyle name="40% - Accent3 7 2 2 3 2" xfId="5834"/>
    <cellStyle name="40% - Accent3 7 2 2 4" xfId="5835"/>
    <cellStyle name="40% - Accent3 7 2 3" xfId="5836"/>
    <cellStyle name="40% - Accent3 7 2 3 2" xfId="5837"/>
    <cellStyle name="40% - Accent3 7 2 3 2 2" xfId="5838"/>
    <cellStyle name="40% - Accent3 7 2 3 3" xfId="5839"/>
    <cellStyle name="40% - Accent3 7 2 4" xfId="5840"/>
    <cellStyle name="40% - Accent3 7 2 4 2" xfId="5841"/>
    <cellStyle name="40% - Accent3 7 2 4 2 2" xfId="5842"/>
    <cellStyle name="40% - Accent3 7 2 4 3" xfId="5843"/>
    <cellStyle name="40% - Accent3 7 2 4 3 2" xfId="5844"/>
    <cellStyle name="40% - Accent3 7 2 4 4" xfId="5845"/>
    <cellStyle name="40% - Accent3 7 2 5" xfId="5846"/>
    <cellStyle name="40% - Accent3 7 2 5 2" xfId="5847"/>
    <cellStyle name="40% - Accent3 7 2 5 2 2" xfId="5848"/>
    <cellStyle name="40% - Accent3 7 2 6" xfId="5849"/>
    <cellStyle name="40% - Accent3 7 3" xfId="5850"/>
    <cellStyle name="40% - Accent3 7 3 2" xfId="5851"/>
    <cellStyle name="40% - Accent3 7 3 2 2" xfId="5852"/>
    <cellStyle name="40% - Accent3 7 3 2 2 2" xfId="5853"/>
    <cellStyle name="40% - Accent3 7 3 2 3" xfId="5854"/>
    <cellStyle name="40% - Accent3 7 3 2 3 2" xfId="5855"/>
    <cellStyle name="40% - Accent3 7 3 2 4" xfId="5856"/>
    <cellStyle name="40% - Accent3 7 3 3" xfId="5857"/>
    <cellStyle name="40% - Accent3 7 3 3 2" xfId="5858"/>
    <cellStyle name="40% - Accent3 7 3 3 2 2" xfId="5859"/>
    <cellStyle name="40% - Accent3 7 3 3 3" xfId="5860"/>
    <cellStyle name="40% - Accent3 7 3 3 3 2" xfId="5861"/>
    <cellStyle name="40% - Accent3 7 3 3 4" xfId="5862"/>
    <cellStyle name="40% - Accent3 7 3 4" xfId="5863"/>
    <cellStyle name="40% - Accent3 7 4" xfId="5864"/>
    <cellStyle name="40% - Accent3 7 4 2" xfId="5865"/>
    <cellStyle name="40% - Accent3 7 4 2 2" xfId="5866"/>
    <cellStyle name="40% - Accent3 7 4 3" xfId="5867"/>
    <cellStyle name="40% - Accent3 7 4 3 2" xfId="5868"/>
    <cellStyle name="40% - Accent3 7 4 4" xfId="5869"/>
    <cellStyle name="40% - Accent3 7 4 4 2" xfId="5870"/>
    <cellStyle name="40% - Accent3 7 4 5" xfId="5871"/>
    <cellStyle name="40% - Accent3 7 5" xfId="5872"/>
    <cellStyle name="40% - Accent3 7 5 2" xfId="5873"/>
    <cellStyle name="40% - Accent3 7 5 2 2" xfId="5874"/>
    <cellStyle name="40% - Accent3 7 5 2 2 2" xfId="5875"/>
    <cellStyle name="40% - Accent3 7 5 3" xfId="5876"/>
    <cellStyle name="40% - Accent3 7 5 3 2" xfId="5877"/>
    <cellStyle name="40% - Accent3 7 5 4" xfId="5878"/>
    <cellStyle name="40% - Accent3 7 6" xfId="5879"/>
    <cellStyle name="40% - Accent3 7 6 2" xfId="5880"/>
    <cellStyle name="40% - Accent3 7 7" xfId="5881"/>
    <cellStyle name="40% - Accent3 7 7 2" xfId="5882"/>
    <cellStyle name="40% - Accent3 7 8" xfId="5883"/>
    <cellStyle name="40% - Accent3 7 8 2" xfId="5884"/>
    <cellStyle name="40% - Accent3 7 9" xfId="5885"/>
    <cellStyle name="40% - Accent3 8" xfId="5886"/>
    <cellStyle name="40% - Accent3 8 2" xfId="5887"/>
    <cellStyle name="40% - Accent3 8 2 2" xfId="5888"/>
    <cellStyle name="40% - Accent3 8 2 2 2" xfId="5889"/>
    <cellStyle name="40% - Accent3 8 2 2 2 2" xfId="5890"/>
    <cellStyle name="40% - Accent3 8 2 2 3" xfId="5891"/>
    <cellStyle name="40% - Accent3 8 2 2 3 2" xfId="5892"/>
    <cellStyle name="40% - Accent3 8 2 2 4" xfId="5893"/>
    <cellStyle name="40% - Accent3 8 2 3" xfId="5894"/>
    <cellStyle name="40% - Accent3 8 2 3 2" xfId="5895"/>
    <cellStyle name="40% - Accent3 8 2 3 2 2" xfId="5896"/>
    <cellStyle name="40% - Accent3 8 2 3 3" xfId="5897"/>
    <cellStyle name="40% - Accent3 8 2 4" xfId="5898"/>
    <cellStyle name="40% - Accent3 8 2 4 2" xfId="5899"/>
    <cellStyle name="40% - Accent3 8 2 4 2 2" xfId="5900"/>
    <cellStyle name="40% - Accent3 8 2 4 3" xfId="5901"/>
    <cellStyle name="40% - Accent3 8 2 4 3 2" xfId="5902"/>
    <cellStyle name="40% - Accent3 8 2 4 4" xfId="5903"/>
    <cellStyle name="40% - Accent3 8 2 5" xfId="5904"/>
    <cellStyle name="40% - Accent3 8 2 5 2" xfId="5905"/>
    <cellStyle name="40% - Accent3 8 2 6" xfId="5906"/>
    <cellStyle name="40% - Accent3 8 3" xfId="5907"/>
    <cellStyle name="40% - Accent3 8 3 2" xfId="5908"/>
    <cellStyle name="40% - Accent3 8 3 2 2" xfId="5909"/>
    <cellStyle name="40% - Accent3 8 3 2 2 2" xfId="5910"/>
    <cellStyle name="40% - Accent3 8 3 2 3" xfId="5911"/>
    <cellStyle name="40% - Accent3 8 3 2 3 2" xfId="5912"/>
    <cellStyle name="40% - Accent3 8 3 2 4" xfId="5913"/>
    <cellStyle name="40% - Accent3 8 3 3" xfId="5914"/>
    <cellStyle name="40% - Accent3 8 3 3 2" xfId="5915"/>
    <cellStyle name="40% - Accent3 8 3 3 2 2" xfId="5916"/>
    <cellStyle name="40% - Accent3 8 3 3 3" xfId="5917"/>
    <cellStyle name="40% - Accent3 8 3 3 3 2" xfId="5918"/>
    <cellStyle name="40% - Accent3 8 3 3 4" xfId="5919"/>
    <cellStyle name="40% - Accent3 8 3 4" xfId="5920"/>
    <cellStyle name="40% - Accent3 8 3 4 2" xfId="5921"/>
    <cellStyle name="40% - Accent3 8 3 5" xfId="5922"/>
    <cellStyle name="40% - Accent3 8 3 5 2" xfId="5923"/>
    <cellStyle name="40% - Accent3 8 3 6" xfId="5924"/>
    <cellStyle name="40% - Accent3 8 4" xfId="5925"/>
    <cellStyle name="40% - Accent3 8 4 2" xfId="5926"/>
    <cellStyle name="40% - Accent3 8 4 2 2" xfId="5927"/>
    <cellStyle name="40% - Accent3 8 4 3" xfId="5928"/>
    <cellStyle name="40% - Accent3 8 5" xfId="5929"/>
    <cellStyle name="40% - Accent3 8 5 2" xfId="5930"/>
    <cellStyle name="40% - Accent3 8 6" xfId="5931"/>
    <cellStyle name="40% - Accent3 8 6 2" xfId="5932"/>
    <cellStyle name="40% - Accent3 8 7" xfId="5933"/>
    <cellStyle name="40% - Accent3 9" xfId="5934"/>
    <cellStyle name="40% - Accent3 9 2" xfId="5935"/>
    <cellStyle name="40% - Accent3 9 2 2" xfId="5936"/>
    <cellStyle name="40% - Accent3 9 2 2 2" xfId="5937"/>
    <cellStyle name="40% - Accent3 9 2 3" xfId="5938"/>
    <cellStyle name="40% - Accent3 9 2 3 2" xfId="5939"/>
    <cellStyle name="40% - Accent3 9 2 4" xfId="5940"/>
    <cellStyle name="40% - Accent3 9 2 4 2" xfId="5941"/>
    <cellStyle name="40% - Accent3 9 2 5" xfId="5942"/>
    <cellStyle name="40% - Accent3 9 3" xfId="5943"/>
    <cellStyle name="40% - Accent3 9 3 2" xfId="5944"/>
    <cellStyle name="40% - Accent3 9 3 2 2" xfId="5945"/>
    <cellStyle name="40% - Accent3 9 3 3" xfId="5946"/>
    <cellStyle name="40% - Accent3 9 3 3 2" xfId="5947"/>
    <cellStyle name="40% - Accent3 9 3 4" xfId="5948"/>
    <cellStyle name="40% - Accent3 9 4" xfId="5949"/>
    <cellStyle name="40% - Accent3 9 4 2" xfId="5950"/>
    <cellStyle name="40% - Accent3 9 4 2 2" xfId="5951"/>
    <cellStyle name="40% - Accent3 9 4 3" xfId="5952"/>
    <cellStyle name="40% - Accent3 9 5" xfId="5953"/>
    <cellStyle name="40% - Accent3 9 5 2" xfId="5954"/>
    <cellStyle name="40% - Accent3 9 6" xfId="5955"/>
    <cellStyle name="40% - Accent3 9 7" xfId="5956"/>
    <cellStyle name="40% - Accent4 10" xfId="5957"/>
    <cellStyle name="40% - Accent4 10 2" xfId="5958"/>
    <cellStyle name="40% - Accent4 10 2 2" xfId="5959"/>
    <cellStyle name="40% - Accent4 10 2 2 2" xfId="5960"/>
    <cellStyle name="40% - Accent4 10 2 3" xfId="5961"/>
    <cellStyle name="40% - Accent4 10 2 3 2" xfId="5962"/>
    <cellStyle name="40% - Accent4 10 2 4" xfId="5963"/>
    <cellStyle name="40% - Accent4 10 2 4 2" xfId="5964"/>
    <cellStyle name="40% - Accent4 10 2 5" xfId="5965"/>
    <cellStyle name="40% - Accent4 10 3" xfId="5966"/>
    <cellStyle name="40% - Accent4 10 3 2" xfId="5967"/>
    <cellStyle name="40% - Accent4 10 3 2 2" xfId="5968"/>
    <cellStyle name="40% - Accent4 10 3 3" xfId="5969"/>
    <cellStyle name="40% - Accent4 10 4" xfId="5970"/>
    <cellStyle name="40% - Accent4 10 4 2" xfId="5971"/>
    <cellStyle name="40% - Accent4 10 5" xfId="5972"/>
    <cellStyle name="40% - Accent4 10 5 2" xfId="5973"/>
    <cellStyle name="40% - Accent4 10 6" xfId="5974"/>
    <cellStyle name="40% - Accent4 10 7" xfId="5975"/>
    <cellStyle name="40% - Accent4 11" xfId="5976"/>
    <cellStyle name="40% - Accent4 11 2" xfId="5977"/>
    <cellStyle name="40% - Accent4 11 2 2" xfId="5978"/>
    <cellStyle name="40% - Accent4 11 3" xfId="5979"/>
    <cellStyle name="40% - Accent4 12" xfId="5980"/>
    <cellStyle name="40% - Accent4 12 2" xfId="5981"/>
    <cellStyle name="40% - Accent4 13" xfId="5982"/>
    <cellStyle name="40% - Accent4 13 2" xfId="5983"/>
    <cellStyle name="40% - Accent4 14" xfId="5984"/>
    <cellStyle name="40% - Accent4 14 2" xfId="5985"/>
    <cellStyle name="40% - Accent4 14 3" xfId="5986"/>
    <cellStyle name="40% - Accent4 15" xfId="5987"/>
    <cellStyle name="40% - Accent4 15 2" xfId="5988"/>
    <cellStyle name="40% - Accent4 16" xfId="5989"/>
    <cellStyle name="40% - Accent4 16 2" xfId="5990"/>
    <cellStyle name="40% - Accent4 17" xfId="5991"/>
    <cellStyle name="40% - Accent4 17 2" xfId="5992"/>
    <cellStyle name="40% - Accent4 18" xfId="5993"/>
    <cellStyle name="40% - Accent4 19" xfId="5994"/>
    <cellStyle name="40% - Accent4 2" xfId="5995"/>
    <cellStyle name="40% - Accent4 2 10" xfId="5996"/>
    <cellStyle name="40% - Accent4 2 10 2" xfId="5997"/>
    <cellStyle name="40% - Accent4 2 11" xfId="5998"/>
    <cellStyle name="40% - Accent4 2 12" xfId="5999"/>
    <cellStyle name="40% - Accent4 2 12 2" xfId="6000"/>
    <cellStyle name="40% - Accent4 2 12 2 2" xfId="6001"/>
    <cellStyle name="40% - Accent4 2 12 3" xfId="6002"/>
    <cellStyle name="40% - Accent4 2 12 4" xfId="6003"/>
    <cellStyle name="40% - Accent4 2 12 4 2" xfId="6004"/>
    <cellStyle name="40% - Accent4 2 12 5" xfId="6005"/>
    <cellStyle name="40% - Accent4 2 13" xfId="6006"/>
    <cellStyle name="40% - Accent4 2 13 2" xfId="6007"/>
    <cellStyle name="40% - Accent4 2 13 2 2" xfId="6008"/>
    <cellStyle name="40% - Accent4 2 13 3" xfId="6009"/>
    <cellStyle name="40% - Accent4 2 14" xfId="6010"/>
    <cellStyle name="40% - Accent4 2 15" xfId="6011"/>
    <cellStyle name="40% - Accent4 2 2" xfId="6012"/>
    <cellStyle name="40% - Accent4 2 2 10" xfId="6013"/>
    <cellStyle name="40% - Accent4 2 2 10 2" xfId="6014"/>
    <cellStyle name="40% - Accent4 2 2 11" xfId="6015"/>
    <cellStyle name="40% - Accent4 2 2 2" xfId="6016"/>
    <cellStyle name="40% - Accent4 2 2 2 2" xfId="6017"/>
    <cellStyle name="40% - Accent4 2 2 2 2 2" xfId="6018"/>
    <cellStyle name="40% - Accent4 2 2 2 2 3" xfId="6019"/>
    <cellStyle name="40% - Accent4 2 2 2 3" xfId="6020"/>
    <cellStyle name="40% - Accent4 2 2 2 3 2" xfId="6021"/>
    <cellStyle name="40% - Accent4 2 2 2 4" xfId="6022"/>
    <cellStyle name="40% - Accent4 2 2 2 5" xfId="6023"/>
    <cellStyle name="40% - Accent4 2 2 3" xfId="6024"/>
    <cellStyle name="40% - Accent4 2 2 3 2" xfId="6025"/>
    <cellStyle name="40% - Accent4 2 2 3 2 2" xfId="6026"/>
    <cellStyle name="40% - Accent4 2 2 3 2 3" xfId="6027"/>
    <cellStyle name="40% - Accent4 2 2 3 3" xfId="6028"/>
    <cellStyle name="40% - Accent4 2 2 3 3 2" xfId="6029"/>
    <cellStyle name="40% - Accent4 2 2 3 4" xfId="6030"/>
    <cellStyle name="40% - Accent4 2 2 3 5" xfId="6031"/>
    <cellStyle name="40% - Accent4 2 2 4" xfId="6032"/>
    <cellStyle name="40% - Accent4 2 2 4 2" xfId="6033"/>
    <cellStyle name="40% - Accent4 2 2 4 2 2" xfId="6034"/>
    <cellStyle name="40% - Accent4 2 2 4 3" xfId="6035"/>
    <cellStyle name="40% - Accent4 2 2 4 4" xfId="6036"/>
    <cellStyle name="40% - Accent4 2 2 5" xfId="6037"/>
    <cellStyle name="40% - Accent4 2 2 5 2" xfId="6038"/>
    <cellStyle name="40% - Accent4 2 2 6" xfId="6039"/>
    <cellStyle name="40% - Accent4 2 2 6 2" xfId="6040"/>
    <cellStyle name="40% - Accent4 2 2 7" xfId="6041"/>
    <cellStyle name="40% - Accent4 2 2 8" xfId="6042"/>
    <cellStyle name="40% - Accent4 2 2 9" xfId="6043"/>
    <cellStyle name="40% - Accent4 2 2 9 2" xfId="6044"/>
    <cellStyle name="40% - Accent4 2 3" xfId="6045"/>
    <cellStyle name="40% - Accent4 2 3 2" xfId="6046"/>
    <cellStyle name="40% - Accent4 2 3 2 2" xfId="6047"/>
    <cellStyle name="40% - Accent4 2 3 2 2 2" xfId="6048"/>
    <cellStyle name="40% - Accent4 2 3 2 2 3" xfId="6049"/>
    <cellStyle name="40% - Accent4 2 3 2 3" xfId="6050"/>
    <cellStyle name="40% - Accent4 2 3 2 3 2" xfId="6051"/>
    <cellStyle name="40% - Accent4 2 3 2 4" xfId="6052"/>
    <cellStyle name="40% - Accent4 2 3 2 5" xfId="6053"/>
    <cellStyle name="40% - Accent4 2 3 3" xfId="6054"/>
    <cellStyle name="40% - Accent4 2 3 3 2" xfId="6055"/>
    <cellStyle name="40% - Accent4 2 3 3 2 2" xfId="6056"/>
    <cellStyle name="40% - Accent4 2 3 3 3" xfId="6057"/>
    <cellStyle name="40% - Accent4 2 3 3 4" xfId="6058"/>
    <cellStyle name="40% - Accent4 2 3 4" xfId="6059"/>
    <cellStyle name="40% - Accent4 2 3 5" xfId="6060"/>
    <cellStyle name="40% - Accent4 2 3 5 2" xfId="6061"/>
    <cellStyle name="40% - Accent4 2 3 6" xfId="6062"/>
    <cellStyle name="40% - Accent4 2 3 7" xfId="6063"/>
    <cellStyle name="40% - Accent4 2 3 8" xfId="6064"/>
    <cellStyle name="40% - Accent4 2 4" xfId="6065"/>
    <cellStyle name="40% - Accent4 2 4 2" xfId="6066"/>
    <cellStyle name="40% - Accent4 2 4 2 2" xfId="6067"/>
    <cellStyle name="40% - Accent4 2 4 2 2 2" xfId="6068"/>
    <cellStyle name="40% - Accent4 2 4 2 3" xfId="6069"/>
    <cellStyle name="40% - Accent4 2 4 2 4" xfId="6070"/>
    <cellStyle name="40% - Accent4 2 4 3" xfId="6071"/>
    <cellStyle name="40% - Accent4 2 4 3 2" xfId="6072"/>
    <cellStyle name="40% - Accent4 2 4 4" xfId="6073"/>
    <cellStyle name="40% - Accent4 2 4 4 2" xfId="6074"/>
    <cellStyle name="40% - Accent4 2 4 5" xfId="6075"/>
    <cellStyle name="40% - Accent4 2 4 6" xfId="6076"/>
    <cellStyle name="40% - Accent4 2 5" xfId="6077"/>
    <cellStyle name="40% - Accent4 2 5 2" xfId="6078"/>
    <cellStyle name="40% - Accent4 2 5 2 2" xfId="6079"/>
    <cellStyle name="40% - Accent4 2 5 3" xfId="6080"/>
    <cellStyle name="40% - Accent4 2 5 4" xfId="6081"/>
    <cellStyle name="40% - Accent4 2 6" xfId="6082"/>
    <cellStyle name="40% - Accent4 2 6 10" xfId="6083"/>
    <cellStyle name="40% - Accent4 2 6 2" xfId="6084"/>
    <cellStyle name="40% - Accent4 2 6 2 2" xfId="6085"/>
    <cellStyle name="40% - Accent4 2 6 2 2 2" xfId="6086"/>
    <cellStyle name="40% - Accent4 2 6 2 2 2 2" xfId="6087"/>
    <cellStyle name="40% - Accent4 2 6 2 2 3" xfId="6088"/>
    <cellStyle name="40% - Accent4 2 6 2 2 3 2" xfId="6089"/>
    <cellStyle name="40% - Accent4 2 6 2 2 4" xfId="6090"/>
    <cellStyle name="40% - Accent4 2 6 2 2 5" xfId="6091"/>
    <cellStyle name="40% - Accent4 2 6 2 3" xfId="6092"/>
    <cellStyle name="40% - Accent4 2 6 2 3 2" xfId="6093"/>
    <cellStyle name="40% - Accent4 2 6 2 3 2 2" xfId="6094"/>
    <cellStyle name="40% - Accent4 2 6 2 3 3" xfId="6095"/>
    <cellStyle name="40% - Accent4 2 6 2 4" xfId="6096"/>
    <cellStyle name="40% - Accent4 2 6 2 4 2" xfId="6097"/>
    <cellStyle name="40% - Accent4 2 6 2 5" xfId="6098"/>
    <cellStyle name="40% - Accent4 2 6 2 5 2" xfId="6099"/>
    <cellStyle name="40% - Accent4 2 6 2 6" xfId="6100"/>
    <cellStyle name="40% - Accent4 2 6 3" xfId="6101"/>
    <cellStyle name="40% - Accent4 2 6 3 2" xfId="6102"/>
    <cellStyle name="40% - Accent4 2 6 3 2 2" xfId="6103"/>
    <cellStyle name="40% - Accent4 2 6 3 2 2 2" xfId="6104"/>
    <cellStyle name="40% - Accent4 2 6 3 2 3" xfId="6105"/>
    <cellStyle name="40% - Accent4 2 6 3 2 3 2" xfId="6106"/>
    <cellStyle name="40% - Accent4 2 6 3 2 4" xfId="6107"/>
    <cellStyle name="40% - Accent4 2 6 3 2 5" xfId="6108"/>
    <cellStyle name="40% - Accent4 2 6 3 3" xfId="6109"/>
    <cellStyle name="40% - Accent4 2 6 3 3 2" xfId="6110"/>
    <cellStyle name="40% - Accent4 2 6 3 3 2 2" xfId="6111"/>
    <cellStyle name="40% - Accent4 2 6 3 3 3" xfId="6112"/>
    <cellStyle name="40% - Accent4 2 6 3 4" xfId="6113"/>
    <cellStyle name="40% - Accent4 2 6 3 4 2" xfId="6114"/>
    <cellStyle name="40% - Accent4 2 6 3 5" xfId="6115"/>
    <cellStyle name="40% - Accent4 2 6 3 5 2" xfId="6116"/>
    <cellStyle name="40% - Accent4 2 6 3 6" xfId="6117"/>
    <cellStyle name="40% - Accent4 2 6 4" xfId="6118"/>
    <cellStyle name="40% - Accent4 2 6 4 2" xfId="6119"/>
    <cellStyle name="40% - Accent4 2 6 4 2 2" xfId="6120"/>
    <cellStyle name="40% - Accent4 2 6 4 2 2 2" xfId="6121"/>
    <cellStyle name="40% - Accent4 2 6 4 2 3" xfId="6122"/>
    <cellStyle name="40% - Accent4 2 6 4 3" xfId="6123"/>
    <cellStyle name="40% - Accent4 2 6 4 3 2" xfId="6124"/>
    <cellStyle name="40% - Accent4 2 6 4 4" xfId="6125"/>
    <cellStyle name="40% - Accent4 2 6 4 4 2" xfId="6126"/>
    <cellStyle name="40% - Accent4 2 6 4 5" xfId="6127"/>
    <cellStyle name="40% - Accent4 2 6 5" xfId="6128"/>
    <cellStyle name="40% - Accent4 2 6 5 2" xfId="6129"/>
    <cellStyle name="40% - Accent4 2 6 5 2 2" xfId="6130"/>
    <cellStyle name="40% - Accent4 2 6 5 3" xfId="6131"/>
    <cellStyle name="40% - Accent4 2 6 5 3 2" xfId="6132"/>
    <cellStyle name="40% - Accent4 2 6 5 4" xfId="6133"/>
    <cellStyle name="40% - Accent4 2 6 6" xfId="6134"/>
    <cellStyle name="40% - Accent4 2 6 6 2" xfId="6135"/>
    <cellStyle name="40% - Accent4 2 6 6 2 2" xfId="6136"/>
    <cellStyle name="40% - Accent4 2 6 6 3" xfId="6137"/>
    <cellStyle name="40% - Accent4 2 6 7" xfId="6138"/>
    <cellStyle name="40% - Accent4 2 6 7 2" xfId="6139"/>
    <cellStyle name="40% - Accent4 2 6 7 3" xfId="6140"/>
    <cellStyle name="40% - Accent4 2 6 8" xfId="6141"/>
    <cellStyle name="40% - Accent4 2 6 8 2" xfId="6142"/>
    <cellStyle name="40% - Accent4 2 6 9" xfId="6143"/>
    <cellStyle name="40% - Accent4 2 7" xfId="6144"/>
    <cellStyle name="40% - Accent4 2 7 2" xfId="6145"/>
    <cellStyle name="40% - Accent4 2 7 2 2" xfId="6146"/>
    <cellStyle name="40% - Accent4 2 7 3" xfId="6147"/>
    <cellStyle name="40% - Accent4 2 7 4" xfId="6148"/>
    <cellStyle name="40% - Accent4 2 8" xfId="6149"/>
    <cellStyle name="40% - Accent4 2 8 2" xfId="6150"/>
    <cellStyle name="40% - Accent4 2 9" xfId="6151"/>
    <cellStyle name="40% - Accent4 2 9 2" xfId="6152"/>
    <cellStyle name="40% - Accent4 20" xfId="6153"/>
    <cellStyle name="40% - Accent4 3" xfId="6154"/>
    <cellStyle name="40% - Accent4 3 10" xfId="6155"/>
    <cellStyle name="40% - Accent4 3 2" xfId="6156"/>
    <cellStyle name="40% - Accent4 3 2 2" xfId="6157"/>
    <cellStyle name="40% - Accent4 3 2 2 2" xfId="6158"/>
    <cellStyle name="40% - Accent4 3 2 2 2 2" xfId="6159"/>
    <cellStyle name="40% - Accent4 3 2 2 3" xfId="6160"/>
    <cellStyle name="40% - Accent4 3 2 2 4" xfId="6161"/>
    <cellStyle name="40% - Accent4 3 2 2 5" xfId="6162"/>
    <cellStyle name="40% - Accent4 3 2 3" xfId="6163"/>
    <cellStyle name="40% - Accent4 3 2 3 2" xfId="6164"/>
    <cellStyle name="40% - Accent4 3 2 3 2 2" xfId="6165"/>
    <cellStyle name="40% - Accent4 3 2 3 3" xfId="6166"/>
    <cellStyle name="40% - Accent4 3 2 3 4" xfId="6167"/>
    <cellStyle name="40% - Accent4 3 2 4" xfId="6168"/>
    <cellStyle name="40% - Accent4 3 2 4 2" xfId="6169"/>
    <cellStyle name="40% - Accent4 3 2 5" xfId="6170"/>
    <cellStyle name="40% - Accent4 3 2 5 2" xfId="6171"/>
    <cellStyle name="40% - Accent4 3 2 6" xfId="6172"/>
    <cellStyle name="40% - Accent4 3 2 7" xfId="6173"/>
    <cellStyle name="40% - Accent4 3 2 8" xfId="6174"/>
    <cellStyle name="40% - Accent4 3 3" xfId="6175"/>
    <cellStyle name="40% - Accent4 3 3 2" xfId="6176"/>
    <cellStyle name="40% - Accent4 3 3 2 2" xfId="6177"/>
    <cellStyle name="40% - Accent4 3 3 2 2 2" xfId="6178"/>
    <cellStyle name="40% - Accent4 3 3 2 3" xfId="6179"/>
    <cellStyle name="40% - Accent4 3 3 2 4" xfId="6180"/>
    <cellStyle name="40% - Accent4 3 3 3" xfId="6181"/>
    <cellStyle name="40% - Accent4 3 3 3 2" xfId="6182"/>
    <cellStyle name="40% - Accent4 3 3 4" xfId="6183"/>
    <cellStyle name="40% - Accent4 3 3 4 2" xfId="6184"/>
    <cellStyle name="40% - Accent4 3 3 5" xfId="6185"/>
    <cellStyle name="40% - Accent4 3 3 6" xfId="6186"/>
    <cellStyle name="40% - Accent4 3 3 7" xfId="6187"/>
    <cellStyle name="40% - Accent4 3 4" xfId="6188"/>
    <cellStyle name="40% - Accent4 3 4 2" xfId="6189"/>
    <cellStyle name="40% - Accent4 3 4 2 2" xfId="6190"/>
    <cellStyle name="40% - Accent4 3 4 3" xfId="6191"/>
    <cellStyle name="40% - Accent4 3 4 4" xfId="6192"/>
    <cellStyle name="40% - Accent4 3 5" xfId="6193"/>
    <cellStyle name="40% - Accent4 3 5 2" xfId="6194"/>
    <cellStyle name="40% - Accent4 3 6" xfId="6195"/>
    <cellStyle name="40% - Accent4 3 7" xfId="6196"/>
    <cellStyle name="40% - Accent4 3 7 2" xfId="6197"/>
    <cellStyle name="40% - Accent4 3 8" xfId="6198"/>
    <cellStyle name="40% - Accent4 3 9" xfId="6199"/>
    <cellStyle name="40% - Accent4 3 9 2" xfId="6200"/>
    <cellStyle name="40% - Accent4 4" xfId="6201"/>
    <cellStyle name="40% - Accent4 4 2" xfId="6202"/>
    <cellStyle name="40% - Accent4 4 2 2" xfId="6203"/>
    <cellStyle name="40% - Accent4 4 2 2 2" xfId="6204"/>
    <cellStyle name="40% - Accent4 4 2 2 2 2" xfId="6205"/>
    <cellStyle name="40% - Accent4 4 2 2 3" xfId="6206"/>
    <cellStyle name="40% - Accent4 4 2 2 4" xfId="6207"/>
    <cellStyle name="40% - Accent4 4 2 3" xfId="6208"/>
    <cellStyle name="40% - Accent4 4 2 3 2" xfId="6209"/>
    <cellStyle name="40% - Accent4 4 2 4" xfId="6210"/>
    <cellStyle name="40% - Accent4 4 2 4 2" xfId="6211"/>
    <cellStyle name="40% - Accent4 4 2 5" xfId="6212"/>
    <cellStyle name="40% - Accent4 4 2 6" xfId="6213"/>
    <cellStyle name="40% - Accent4 4 3" xfId="6214"/>
    <cellStyle name="40% - Accent4 4 3 2" xfId="6215"/>
    <cellStyle name="40% - Accent4 4 3 3" xfId="6216"/>
    <cellStyle name="40% - Accent4 4 3 3 2" xfId="6217"/>
    <cellStyle name="40% - Accent4 4 3 4" xfId="6218"/>
    <cellStyle name="40% - Accent4 4 4" xfId="6219"/>
    <cellStyle name="40% - Accent4 4 4 2" xfId="6220"/>
    <cellStyle name="40% - Accent4 4 4 2 2" xfId="6221"/>
    <cellStyle name="40% - Accent4 4 4 3" xfId="6222"/>
    <cellStyle name="40% - Accent4 4 4 4" xfId="6223"/>
    <cellStyle name="40% - Accent4 4 5" xfId="6224"/>
    <cellStyle name="40% - Accent4 4 5 2" xfId="6225"/>
    <cellStyle name="40% - Accent4 4 6" xfId="6226"/>
    <cellStyle name="40% - Accent4 4 6 2" xfId="6227"/>
    <cellStyle name="40% - Accent4 4 7" xfId="6228"/>
    <cellStyle name="40% - Accent4 4 7 2" xfId="6229"/>
    <cellStyle name="40% - Accent4 4 8" xfId="6230"/>
    <cellStyle name="40% - Accent4 4 9" xfId="6231"/>
    <cellStyle name="40% - Accent4 5" xfId="6232"/>
    <cellStyle name="40% - Accent4 5 10" xfId="6233"/>
    <cellStyle name="40% - Accent4 5 11" xfId="6234"/>
    <cellStyle name="40% - Accent4 5 2" xfId="6235"/>
    <cellStyle name="40% - Accent4 5 2 2" xfId="6236"/>
    <cellStyle name="40% - Accent4 5 2 2 2" xfId="6237"/>
    <cellStyle name="40% - Accent4 5 2 2 2 2" xfId="6238"/>
    <cellStyle name="40% - Accent4 5 2 2 2 2 2" xfId="6239"/>
    <cellStyle name="40% - Accent4 5 2 2 2 3" xfId="6240"/>
    <cellStyle name="40% - Accent4 5 2 2 2 3 2" xfId="6241"/>
    <cellStyle name="40% - Accent4 5 2 2 2 4" xfId="6242"/>
    <cellStyle name="40% - Accent4 5 2 2 2 4 2" xfId="6243"/>
    <cellStyle name="40% - Accent4 5 2 2 2 5" xfId="6244"/>
    <cellStyle name="40% - Accent4 5 2 2 3" xfId="6245"/>
    <cellStyle name="40% - Accent4 5 2 2 3 2" xfId="6246"/>
    <cellStyle name="40% - Accent4 5 2 2 3 2 2" xfId="6247"/>
    <cellStyle name="40% - Accent4 5 2 2 3 3" xfId="6248"/>
    <cellStyle name="40% - Accent4 5 2 2 3 3 2" xfId="6249"/>
    <cellStyle name="40% - Accent4 5 2 2 3 4" xfId="6250"/>
    <cellStyle name="40% - Accent4 5 2 2 4" xfId="6251"/>
    <cellStyle name="40% - Accent4 5 2 2 4 2" xfId="6252"/>
    <cellStyle name="40% - Accent4 5 2 2 4 2 2" xfId="6253"/>
    <cellStyle name="40% - Accent4 5 2 2 4 3" xfId="6254"/>
    <cellStyle name="40% - Accent4 5 2 2 4 3 2" xfId="6255"/>
    <cellStyle name="40% - Accent4 5 2 2 4 4" xfId="6256"/>
    <cellStyle name="40% - Accent4 5 2 2 5" xfId="6257"/>
    <cellStyle name="40% - Accent4 5 2 2 5 2" xfId="6258"/>
    <cellStyle name="40% - Accent4 5 2 2 5 2 2" xfId="6259"/>
    <cellStyle name="40% - Accent4 5 2 2 5 3" xfId="6260"/>
    <cellStyle name="40% - Accent4 5 2 2 5 3 2" xfId="6261"/>
    <cellStyle name="40% - Accent4 5 2 2 5 4" xfId="6262"/>
    <cellStyle name="40% - Accent4 5 2 2 6" xfId="6263"/>
    <cellStyle name="40% - Accent4 5 2 2 7" xfId="6264"/>
    <cellStyle name="40% - Accent4 5 2 3" xfId="6265"/>
    <cellStyle name="40% - Accent4 5 2 4" xfId="6266"/>
    <cellStyle name="40% - Accent4 5 2 5" xfId="6267"/>
    <cellStyle name="40% - Accent4 5 2 5 2" xfId="6268"/>
    <cellStyle name="40% - Accent4 5 2 6" xfId="6269"/>
    <cellStyle name="40% - Accent4 5 3" xfId="6270"/>
    <cellStyle name="40% - Accent4 5 3 2" xfId="6271"/>
    <cellStyle name="40% - Accent4 5 3 2 2" xfId="6272"/>
    <cellStyle name="40% - Accent4 5 3 3" xfId="6273"/>
    <cellStyle name="40% - Accent4 5 3 4" xfId="6274"/>
    <cellStyle name="40% - Accent4 5 3 5" xfId="6275"/>
    <cellStyle name="40% - Accent4 5 3 5 2" xfId="6276"/>
    <cellStyle name="40% - Accent4 5 3 6" xfId="6277"/>
    <cellStyle name="40% - Accent4 5 4" xfId="6278"/>
    <cellStyle name="40% - Accent4 5 4 2" xfId="6279"/>
    <cellStyle name="40% - Accent4 5 5" xfId="6280"/>
    <cellStyle name="40% - Accent4 5 5 2" xfId="6281"/>
    <cellStyle name="40% - Accent4 5 5 2 2" xfId="6282"/>
    <cellStyle name="40% - Accent4 5 5 2 2 2" xfId="6283"/>
    <cellStyle name="40% - Accent4 5 5 2 3" xfId="6284"/>
    <cellStyle name="40% - Accent4 5 5 2 3 2" xfId="6285"/>
    <cellStyle name="40% - Accent4 5 5 2 4" xfId="6286"/>
    <cellStyle name="40% - Accent4 5 5 2 4 2" xfId="6287"/>
    <cellStyle name="40% - Accent4 5 5 2 5" xfId="6288"/>
    <cellStyle name="40% - Accent4 5 5 3" xfId="6289"/>
    <cellStyle name="40% - Accent4 5 5 3 2" xfId="6290"/>
    <cellStyle name="40% - Accent4 5 5 3 2 2" xfId="6291"/>
    <cellStyle name="40% - Accent4 5 5 3 3" xfId="6292"/>
    <cellStyle name="40% - Accent4 5 5 3 3 2" xfId="6293"/>
    <cellStyle name="40% - Accent4 5 5 3 4" xfId="6294"/>
    <cellStyle name="40% - Accent4 5 5 4" xfId="6295"/>
    <cellStyle name="40% - Accent4 5 5 4 2" xfId="6296"/>
    <cellStyle name="40% - Accent4 5 5 4 2 2" xfId="6297"/>
    <cellStyle name="40% - Accent4 5 5 4 3" xfId="6298"/>
    <cellStyle name="40% - Accent4 5 5 4 3 2" xfId="6299"/>
    <cellStyle name="40% - Accent4 5 5 4 4" xfId="6300"/>
    <cellStyle name="40% - Accent4 5 5 5" xfId="6301"/>
    <cellStyle name="40% - Accent4 5 5 5 2" xfId="6302"/>
    <cellStyle name="40% - Accent4 5 5 5 2 2" xfId="6303"/>
    <cellStyle name="40% - Accent4 5 5 5 3" xfId="6304"/>
    <cellStyle name="40% - Accent4 5 5 5 3 2" xfId="6305"/>
    <cellStyle name="40% - Accent4 5 5 5 4" xfId="6306"/>
    <cellStyle name="40% - Accent4 5 5 6" xfId="6307"/>
    <cellStyle name="40% - Accent4 5 6" xfId="6308"/>
    <cellStyle name="40% - Accent4 5 6 2" xfId="6309"/>
    <cellStyle name="40% - Accent4 5 6 2 2" xfId="6310"/>
    <cellStyle name="40% - Accent4 5 6 2 2 2" xfId="6311"/>
    <cellStyle name="40% - Accent4 5 6 2 2 2 2" xfId="6312"/>
    <cellStyle name="40% - Accent4 5 6 2 2 3" xfId="6313"/>
    <cellStyle name="40% - Accent4 5 6 2 2 3 2" xfId="6314"/>
    <cellStyle name="40% - Accent4 5 6 2 2 4" xfId="6315"/>
    <cellStyle name="40% - Accent4 5 6 2 2 5" xfId="6316"/>
    <cellStyle name="40% - Accent4 5 6 2 3" xfId="6317"/>
    <cellStyle name="40% - Accent4 5 6 2 3 2" xfId="6318"/>
    <cellStyle name="40% - Accent4 5 6 2 3 2 2" xfId="6319"/>
    <cellStyle name="40% - Accent4 5 6 2 3 3" xfId="6320"/>
    <cellStyle name="40% - Accent4 5 6 2 4" xfId="6321"/>
    <cellStyle name="40% - Accent4 5 6 2 4 2" xfId="6322"/>
    <cellStyle name="40% - Accent4 5 6 2 5" xfId="6323"/>
    <cellStyle name="40% - Accent4 5 6 2 5 2" xfId="6324"/>
    <cellStyle name="40% - Accent4 5 6 2 6" xfId="6325"/>
    <cellStyle name="40% - Accent4 5 6 3" xfId="6326"/>
    <cellStyle name="40% - Accent4 5 6 3 2" xfId="6327"/>
    <cellStyle name="40% - Accent4 5 6 3 2 2" xfId="6328"/>
    <cellStyle name="40% - Accent4 5 6 3 2 2 2" xfId="6329"/>
    <cellStyle name="40% - Accent4 5 6 3 2 3" xfId="6330"/>
    <cellStyle name="40% - Accent4 5 6 3 2 3 2" xfId="6331"/>
    <cellStyle name="40% - Accent4 5 6 3 2 4" xfId="6332"/>
    <cellStyle name="40% - Accent4 5 6 3 2 5" xfId="6333"/>
    <cellStyle name="40% - Accent4 5 6 3 3" xfId="6334"/>
    <cellStyle name="40% - Accent4 5 6 3 3 2" xfId="6335"/>
    <cellStyle name="40% - Accent4 5 6 3 3 2 2" xfId="6336"/>
    <cellStyle name="40% - Accent4 5 6 3 3 3" xfId="6337"/>
    <cellStyle name="40% - Accent4 5 6 3 4" xfId="6338"/>
    <cellStyle name="40% - Accent4 5 6 3 4 2" xfId="6339"/>
    <cellStyle name="40% - Accent4 5 6 3 5" xfId="6340"/>
    <cellStyle name="40% - Accent4 5 6 3 5 2" xfId="6341"/>
    <cellStyle name="40% - Accent4 5 6 3 6" xfId="6342"/>
    <cellStyle name="40% - Accent4 5 6 4" xfId="6343"/>
    <cellStyle name="40% - Accent4 5 6 4 2" xfId="6344"/>
    <cellStyle name="40% - Accent4 5 6 4 2 2" xfId="6345"/>
    <cellStyle name="40% - Accent4 5 6 4 3" xfId="6346"/>
    <cellStyle name="40% - Accent4 5 6 4 3 2" xfId="6347"/>
    <cellStyle name="40% - Accent4 5 6 4 4" xfId="6348"/>
    <cellStyle name="40% - Accent4 5 6 5" xfId="6349"/>
    <cellStyle name="40% - Accent4 5 6 5 2" xfId="6350"/>
    <cellStyle name="40% - Accent4 5 6 5 3" xfId="6351"/>
    <cellStyle name="40% - Accent4 5 6 6" xfId="6352"/>
    <cellStyle name="40% - Accent4 5 6 6 2" xfId="6353"/>
    <cellStyle name="40% - Accent4 5 6 6 3" xfId="6354"/>
    <cellStyle name="40% - Accent4 5 6 7" xfId="6355"/>
    <cellStyle name="40% - Accent4 5 6 7 2" xfId="6356"/>
    <cellStyle name="40% - Accent4 5 6 7 3" xfId="6357"/>
    <cellStyle name="40% - Accent4 5 6 8" xfId="6358"/>
    <cellStyle name="40% - Accent4 5 7" xfId="6359"/>
    <cellStyle name="40% - Accent4 5 7 2" xfId="6360"/>
    <cellStyle name="40% - Accent4 5 7 2 2" xfId="6361"/>
    <cellStyle name="40% - Accent4 5 7 2 2 2" xfId="6362"/>
    <cellStyle name="40% - Accent4 5 7 2 3" xfId="6363"/>
    <cellStyle name="40% - Accent4 5 7 2 3 2" xfId="6364"/>
    <cellStyle name="40% - Accent4 5 7 2 4" xfId="6365"/>
    <cellStyle name="40% - Accent4 5 7 2 4 2" xfId="6366"/>
    <cellStyle name="40% - Accent4 5 7 2 5" xfId="6367"/>
    <cellStyle name="40% - Accent4 5 7 3" xfId="6368"/>
    <cellStyle name="40% - Accent4 5 7 3 2" xfId="6369"/>
    <cellStyle name="40% - Accent4 5 7 3 2 2" xfId="6370"/>
    <cellStyle name="40% - Accent4 5 7 3 3" xfId="6371"/>
    <cellStyle name="40% - Accent4 5 7 3 3 2" xfId="6372"/>
    <cellStyle name="40% - Accent4 5 7 3 4" xfId="6373"/>
    <cellStyle name="40% - Accent4 5 7 4" xfId="6374"/>
    <cellStyle name="40% - Accent4 5 7 4 2" xfId="6375"/>
    <cellStyle name="40% - Accent4 5 7 5" xfId="6376"/>
    <cellStyle name="40% - Accent4 5 7 5 2" xfId="6377"/>
    <cellStyle name="40% - Accent4 5 7 6" xfId="6378"/>
    <cellStyle name="40% - Accent4 5 7 7" xfId="6379"/>
    <cellStyle name="40% - Accent4 5 8" xfId="6380"/>
    <cellStyle name="40% - Accent4 5 8 2" xfId="6381"/>
    <cellStyle name="40% - Accent4 5 8 2 2" xfId="6382"/>
    <cellStyle name="40% - Accent4 5 8 2 2 2" xfId="6383"/>
    <cellStyle name="40% - Accent4 5 8 2 3" xfId="6384"/>
    <cellStyle name="40% - Accent4 5 8 2 3 2" xfId="6385"/>
    <cellStyle name="40% - Accent4 5 8 2 4" xfId="6386"/>
    <cellStyle name="40% - Accent4 5 8 3" xfId="6387"/>
    <cellStyle name="40% - Accent4 5 8 3 2" xfId="6388"/>
    <cellStyle name="40% - Accent4 5 8 4" xfId="6389"/>
    <cellStyle name="40% - Accent4 5 9" xfId="6390"/>
    <cellStyle name="40% - Accent4 5 9 2" xfId="6391"/>
    <cellStyle name="40% - Accent4 6" xfId="6392"/>
    <cellStyle name="40% - Accent4 6 10" xfId="6393"/>
    <cellStyle name="40% - Accent4 6 2" xfId="6394"/>
    <cellStyle name="40% - Accent4 6 2 2" xfId="6395"/>
    <cellStyle name="40% - Accent4 6 2 2 2" xfId="6396"/>
    <cellStyle name="40% - Accent4 6 2 3" xfId="6397"/>
    <cellStyle name="40% - Accent4 6 2 4" xfId="6398"/>
    <cellStyle name="40% - Accent4 6 2 5" xfId="6399"/>
    <cellStyle name="40% - Accent4 6 2 5 2" xfId="6400"/>
    <cellStyle name="40% - Accent4 6 2 5 2 2" xfId="6401"/>
    <cellStyle name="40% - Accent4 6 2 5 3" xfId="6402"/>
    <cellStyle name="40% - Accent4 6 2 5 3 2" xfId="6403"/>
    <cellStyle name="40% - Accent4 6 2 5 4" xfId="6404"/>
    <cellStyle name="40% - Accent4 6 2 5 5" xfId="6405"/>
    <cellStyle name="40% - Accent4 6 2 6" xfId="6406"/>
    <cellStyle name="40% - Accent4 6 2 6 2" xfId="6407"/>
    <cellStyle name="40% - Accent4 6 2 7" xfId="6408"/>
    <cellStyle name="40% - Accent4 6 2 7 2" xfId="6409"/>
    <cellStyle name="40% - Accent4 6 2 8" xfId="6410"/>
    <cellStyle name="40% - Accent4 6 2 8 2" xfId="6411"/>
    <cellStyle name="40% - Accent4 6 2 9" xfId="6412"/>
    <cellStyle name="40% - Accent4 6 3" xfId="6413"/>
    <cellStyle name="40% - Accent4 6 3 2" xfId="6414"/>
    <cellStyle name="40% - Accent4 6 3 3" xfId="6415"/>
    <cellStyle name="40% - Accent4 6 3 4" xfId="6416"/>
    <cellStyle name="40% - Accent4 6 3 4 2" xfId="6417"/>
    <cellStyle name="40% - Accent4 6 3 5" xfId="6418"/>
    <cellStyle name="40% - Accent4 6 3 5 2" xfId="6419"/>
    <cellStyle name="40% - Accent4 6 4" xfId="6420"/>
    <cellStyle name="40% - Accent4 6 4 2" xfId="6421"/>
    <cellStyle name="40% - Accent4 6 4 2 2" xfId="6422"/>
    <cellStyle name="40% - Accent4 6 4 2 2 2" xfId="6423"/>
    <cellStyle name="40% - Accent4 6 4 2 2 2 2" xfId="6424"/>
    <cellStyle name="40% - Accent4 6 4 2 2 3" xfId="6425"/>
    <cellStyle name="40% - Accent4 6 4 2 2 3 2" xfId="6426"/>
    <cellStyle name="40% - Accent4 6 4 2 2 4" xfId="6427"/>
    <cellStyle name="40% - Accent4 6 4 2 2 5" xfId="6428"/>
    <cellStyle name="40% - Accent4 6 4 2 3" xfId="6429"/>
    <cellStyle name="40% - Accent4 6 4 2 3 2" xfId="6430"/>
    <cellStyle name="40% - Accent4 6 4 2 3 2 2" xfId="6431"/>
    <cellStyle name="40% - Accent4 6 4 2 3 3" xfId="6432"/>
    <cellStyle name="40% - Accent4 6 4 2 4" xfId="6433"/>
    <cellStyle name="40% - Accent4 6 4 2 4 2" xfId="6434"/>
    <cellStyle name="40% - Accent4 6 4 2 5" xfId="6435"/>
    <cellStyle name="40% - Accent4 6 4 2 5 2" xfId="6436"/>
    <cellStyle name="40% - Accent4 6 4 2 6" xfId="6437"/>
    <cellStyle name="40% - Accent4 6 4 3" xfId="6438"/>
    <cellStyle name="40% - Accent4 6 4 3 2" xfId="6439"/>
    <cellStyle name="40% - Accent4 6 4 3 2 2" xfId="6440"/>
    <cellStyle name="40% - Accent4 6 4 3 3" xfId="6441"/>
    <cellStyle name="40% - Accent4 6 4 3 3 2" xfId="6442"/>
    <cellStyle name="40% - Accent4 6 4 3 4" xfId="6443"/>
    <cellStyle name="40% - Accent4 6 4 4" xfId="6444"/>
    <cellStyle name="40% - Accent4 6 4 4 2" xfId="6445"/>
    <cellStyle name="40% - Accent4 6 4 4 3" xfId="6446"/>
    <cellStyle name="40% - Accent4 6 4 5" xfId="6447"/>
    <cellStyle name="40% - Accent4 6 4 5 2" xfId="6448"/>
    <cellStyle name="40% - Accent4 6 4 5 3" xfId="6449"/>
    <cellStyle name="40% - Accent4 6 4 6" xfId="6450"/>
    <cellStyle name="40% - Accent4 6 4 6 2" xfId="6451"/>
    <cellStyle name="40% - Accent4 6 4 6 3" xfId="6452"/>
    <cellStyle name="40% - Accent4 6 4 7" xfId="6453"/>
    <cellStyle name="40% - Accent4 6 4 8" xfId="6454"/>
    <cellStyle name="40% - Accent4 6 5" xfId="6455"/>
    <cellStyle name="40% - Accent4 6 5 2" xfId="6456"/>
    <cellStyle name="40% - Accent4 6 5 2 2" xfId="6457"/>
    <cellStyle name="40% - Accent4 6 5 2 2 2" xfId="6458"/>
    <cellStyle name="40% - Accent4 6 5 2 3" xfId="6459"/>
    <cellStyle name="40% - Accent4 6 5 2 3 2" xfId="6460"/>
    <cellStyle name="40% - Accent4 6 5 2 4" xfId="6461"/>
    <cellStyle name="40% - Accent4 6 5 3" xfId="6462"/>
    <cellStyle name="40% - Accent4 6 5 3 2" xfId="6463"/>
    <cellStyle name="40% - Accent4 6 5 3 3" xfId="6464"/>
    <cellStyle name="40% - Accent4 6 5 4" xfId="6465"/>
    <cellStyle name="40% - Accent4 6 5 4 2" xfId="6466"/>
    <cellStyle name="40% - Accent4 6 5 4 3" xfId="6467"/>
    <cellStyle name="40% - Accent4 6 5 5" xfId="6468"/>
    <cellStyle name="40% - Accent4 6 5 5 2" xfId="6469"/>
    <cellStyle name="40% - Accent4 6 5 5 3" xfId="6470"/>
    <cellStyle name="40% - Accent4 6 5 6" xfId="6471"/>
    <cellStyle name="40% - Accent4 6 6" xfId="6472"/>
    <cellStyle name="40% - Accent4 6 7" xfId="6473"/>
    <cellStyle name="40% - Accent4 6 7 2" xfId="6474"/>
    <cellStyle name="40% - Accent4 6 7 2 2" xfId="6475"/>
    <cellStyle name="40% - Accent4 6 7 3" xfId="6476"/>
    <cellStyle name="40% - Accent4 6 7 3 2" xfId="6477"/>
    <cellStyle name="40% - Accent4 6 7 4" xfId="6478"/>
    <cellStyle name="40% - Accent4 6 7 5" xfId="6479"/>
    <cellStyle name="40% - Accent4 6 8" xfId="6480"/>
    <cellStyle name="40% - Accent4 6 8 2" xfId="6481"/>
    <cellStyle name="40% - Accent4 6 8 2 2" xfId="6482"/>
    <cellStyle name="40% - Accent4 6 8 3" xfId="6483"/>
    <cellStyle name="40% - Accent4 6 9" xfId="6484"/>
    <cellStyle name="40% - Accent4 6 9 2" xfId="6485"/>
    <cellStyle name="40% - Accent4 7" xfId="6486"/>
    <cellStyle name="40% - Accent4 7 2" xfId="6487"/>
    <cellStyle name="40% - Accent4 7 2 2" xfId="6488"/>
    <cellStyle name="40% - Accent4 7 2 2 2" xfId="6489"/>
    <cellStyle name="40% - Accent4 7 2 2 2 2" xfId="6490"/>
    <cellStyle name="40% - Accent4 7 2 2 3" xfId="6491"/>
    <cellStyle name="40% - Accent4 7 2 2 3 2" xfId="6492"/>
    <cellStyle name="40% - Accent4 7 2 2 4" xfId="6493"/>
    <cellStyle name="40% - Accent4 7 2 3" xfId="6494"/>
    <cellStyle name="40% - Accent4 7 2 3 2" xfId="6495"/>
    <cellStyle name="40% - Accent4 7 2 3 2 2" xfId="6496"/>
    <cellStyle name="40% - Accent4 7 2 3 3" xfId="6497"/>
    <cellStyle name="40% - Accent4 7 2 4" xfId="6498"/>
    <cellStyle name="40% - Accent4 7 2 4 2" xfId="6499"/>
    <cellStyle name="40% - Accent4 7 2 4 2 2" xfId="6500"/>
    <cellStyle name="40% - Accent4 7 2 4 3" xfId="6501"/>
    <cellStyle name="40% - Accent4 7 2 4 3 2" xfId="6502"/>
    <cellStyle name="40% - Accent4 7 2 4 4" xfId="6503"/>
    <cellStyle name="40% - Accent4 7 2 5" xfId="6504"/>
    <cellStyle name="40% - Accent4 7 2 5 2" xfId="6505"/>
    <cellStyle name="40% - Accent4 7 2 5 2 2" xfId="6506"/>
    <cellStyle name="40% - Accent4 7 2 6" xfId="6507"/>
    <cellStyle name="40% - Accent4 7 3" xfId="6508"/>
    <cellStyle name="40% - Accent4 7 3 2" xfId="6509"/>
    <cellStyle name="40% - Accent4 7 3 2 2" xfId="6510"/>
    <cellStyle name="40% - Accent4 7 3 2 2 2" xfId="6511"/>
    <cellStyle name="40% - Accent4 7 3 2 3" xfId="6512"/>
    <cellStyle name="40% - Accent4 7 3 2 3 2" xfId="6513"/>
    <cellStyle name="40% - Accent4 7 3 2 4" xfId="6514"/>
    <cellStyle name="40% - Accent4 7 3 3" xfId="6515"/>
    <cellStyle name="40% - Accent4 7 3 3 2" xfId="6516"/>
    <cellStyle name="40% - Accent4 7 3 3 2 2" xfId="6517"/>
    <cellStyle name="40% - Accent4 7 3 3 3" xfId="6518"/>
    <cellStyle name="40% - Accent4 7 3 3 3 2" xfId="6519"/>
    <cellStyle name="40% - Accent4 7 3 3 4" xfId="6520"/>
    <cellStyle name="40% - Accent4 7 3 4" xfId="6521"/>
    <cellStyle name="40% - Accent4 7 4" xfId="6522"/>
    <cellStyle name="40% - Accent4 7 4 2" xfId="6523"/>
    <cellStyle name="40% - Accent4 7 4 2 2" xfId="6524"/>
    <cellStyle name="40% - Accent4 7 4 3" xfId="6525"/>
    <cellStyle name="40% - Accent4 7 4 3 2" xfId="6526"/>
    <cellStyle name="40% - Accent4 7 4 4" xfId="6527"/>
    <cellStyle name="40% - Accent4 7 4 4 2" xfId="6528"/>
    <cellStyle name="40% - Accent4 7 4 5" xfId="6529"/>
    <cellStyle name="40% - Accent4 7 5" xfId="6530"/>
    <cellStyle name="40% - Accent4 7 5 2" xfId="6531"/>
    <cellStyle name="40% - Accent4 7 5 2 2" xfId="6532"/>
    <cellStyle name="40% - Accent4 7 5 2 2 2" xfId="6533"/>
    <cellStyle name="40% - Accent4 7 5 3" xfId="6534"/>
    <cellStyle name="40% - Accent4 7 5 3 2" xfId="6535"/>
    <cellStyle name="40% - Accent4 7 5 4" xfId="6536"/>
    <cellStyle name="40% - Accent4 7 6" xfId="6537"/>
    <cellStyle name="40% - Accent4 7 6 2" xfId="6538"/>
    <cellStyle name="40% - Accent4 7 7" xfId="6539"/>
    <cellStyle name="40% - Accent4 7 7 2" xfId="6540"/>
    <cellStyle name="40% - Accent4 7 8" xfId="6541"/>
    <cellStyle name="40% - Accent4 7 8 2" xfId="6542"/>
    <cellStyle name="40% - Accent4 7 9" xfId="6543"/>
    <cellStyle name="40% - Accent4 8" xfId="6544"/>
    <cellStyle name="40% - Accent4 8 2" xfId="6545"/>
    <cellStyle name="40% - Accent4 8 2 2" xfId="6546"/>
    <cellStyle name="40% - Accent4 8 2 2 2" xfId="6547"/>
    <cellStyle name="40% - Accent4 8 2 2 2 2" xfId="6548"/>
    <cellStyle name="40% - Accent4 8 2 2 3" xfId="6549"/>
    <cellStyle name="40% - Accent4 8 2 2 3 2" xfId="6550"/>
    <cellStyle name="40% - Accent4 8 2 2 4" xfId="6551"/>
    <cellStyle name="40% - Accent4 8 2 3" xfId="6552"/>
    <cellStyle name="40% - Accent4 8 2 3 2" xfId="6553"/>
    <cellStyle name="40% - Accent4 8 2 3 2 2" xfId="6554"/>
    <cellStyle name="40% - Accent4 8 2 3 3" xfId="6555"/>
    <cellStyle name="40% - Accent4 8 2 4" xfId="6556"/>
    <cellStyle name="40% - Accent4 8 2 4 2" xfId="6557"/>
    <cellStyle name="40% - Accent4 8 2 4 2 2" xfId="6558"/>
    <cellStyle name="40% - Accent4 8 2 4 3" xfId="6559"/>
    <cellStyle name="40% - Accent4 8 2 4 3 2" xfId="6560"/>
    <cellStyle name="40% - Accent4 8 2 4 4" xfId="6561"/>
    <cellStyle name="40% - Accent4 8 2 5" xfId="6562"/>
    <cellStyle name="40% - Accent4 8 2 5 2" xfId="6563"/>
    <cellStyle name="40% - Accent4 8 2 6" xfId="6564"/>
    <cellStyle name="40% - Accent4 8 3" xfId="6565"/>
    <cellStyle name="40% - Accent4 8 3 2" xfId="6566"/>
    <cellStyle name="40% - Accent4 8 3 2 2" xfId="6567"/>
    <cellStyle name="40% - Accent4 8 3 2 2 2" xfId="6568"/>
    <cellStyle name="40% - Accent4 8 3 2 3" xfId="6569"/>
    <cellStyle name="40% - Accent4 8 3 2 3 2" xfId="6570"/>
    <cellStyle name="40% - Accent4 8 3 2 4" xfId="6571"/>
    <cellStyle name="40% - Accent4 8 3 3" xfId="6572"/>
    <cellStyle name="40% - Accent4 8 3 3 2" xfId="6573"/>
    <cellStyle name="40% - Accent4 8 3 3 2 2" xfId="6574"/>
    <cellStyle name="40% - Accent4 8 3 3 3" xfId="6575"/>
    <cellStyle name="40% - Accent4 8 3 3 3 2" xfId="6576"/>
    <cellStyle name="40% - Accent4 8 3 3 4" xfId="6577"/>
    <cellStyle name="40% - Accent4 8 3 4" xfId="6578"/>
    <cellStyle name="40% - Accent4 8 3 4 2" xfId="6579"/>
    <cellStyle name="40% - Accent4 8 3 5" xfId="6580"/>
    <cellStyle name="40% - Accent4 8 3 5 2" xfId="6581"/>
    <cellStyle name="40% - Accent4 8 3 6" xfId="6582"/>
    <cellStyle name="40% - Accent4 8 4" xfId="6583"/>
    <cellStyle name="40% - Accent4 8 4 2" xfId="6584"/>
    <cellStyle name="40% - Accent4 8 4 2 2" xfId="6585"/>
    <cellStyle name="40% - Accent4 8 4 3" xfId="6586"/>
    <cellStyle name="40% - Accent4 8 5" xfId="6587"/>
    <cellStyle name="40% - Accent4 8 5 2" xfId="6588"/>
    <cellStyle name="40% - Accent4 8 6" xfId="6589"/>
    <cellStyle name="40% - Accent4 8 6 2" xfId="6590"/>
    <cellStyle name="40% - Accent4 8 7" xfId="6591"/>
    <cellStyle name="40% - Accent4 9" xfId="6592"/>
    <cellStyle name="40% - Accent4 9 2" xfId="6593"/>
    <cellStyle name="40% - Accent4 9 2 2" xfId="6594"/>
    <cellStyle name="40% - Accent4 9 2 2 2" xfId="6595"/>
    <cellStyle name="40% - Accent4 9 2 3" xfId="6596"/>
    <cellStyle name="40% - Accent4 9 2 3 2" xfId="6597"/>
    <cellStyle name="40% - Accent4 9 2 4" xfId="6598"/>
    <cellStyle name="40% - Accent4 9 2 4 2" xfId="6599"/>
    <cellStyle name="40% - Accent4 9 2 5" xfId="6600"/>
    <cellStyle name="40% - Accent4 9 3" xfId="6601"/>
    <cellStyle name="40% - Accent4 9 3 2" xfId="6602"/>
    <cellStyle name="40% - Accent4 9 3 2 2" xfId="6603"/>
    <cellStyle name="40% - Accent4 9 3 3" xfId="6604"/>
    <cellStyle name="40% - Accent4 9 3 3 2" xfId="6605"/>
    <cellStyle name="40% - Accent4 9 3 4" xfId="6606"/>
    <cellStyle name="40% - Accent4 9 4" xfId="6607"/>
    <cellStyle name="40% - Accent4 9 4 2" xfId="6608"/>
    <cellStyle name="40% - Accent4 9 4 2 2" xfId="6609"/>
    <cellStyle name="40% - Accent4 9 4 3" xfId="6610"/>
    <cellStyle name="40% - Accent4 9 5" xfId="6611"/>
    <cellStyle name="40% - Accent4 9 5 2" xfId="6612"/>
    <cellStyle name="40% - Accent4 9 6" xfId="6613"/>
    <cellStyle name="40% - Accent4 9 7" xfId="6614"/>
    <cellStyle name="40% - Accent5 10" xfId="6615"/>
    <cellStyle name="40% - Accent5 10 2" xfId="6616"/>
    <cellStyle name="40% - Accent5 10 2 2" xfId="6617"/>
    <cellStyle name="40% - Accent5 10 2 2 2" xfId="6618"/>
    <cellStyle name="40% - Accent5 10 2 3" xfId="6619"/>
    <cellStyle name="40% - Accent5 10 2 3 2" xfId="6620"/>
    <cellStyle name="40% - Accent5 10 2 4" xfId="6621"/>
    <cellStyle name="40% - Accent5 10 2 4 2" xfId="6622"/>
    <cellStyle name="40% - Accent5 10 2 5" xfId="6623"/>
    <cellStyle name="40% - Accent5 10 3" xfId="6624"/>
    <cellStyle name="40% - Accent5 10 3 2" xfId="6625"/>
    <cellStyle name="40% - Accent5 10 3 2 2" xfId="6626"/>
    <cellStyle name="40% - Accent5 10 3 3" xfId="6627"/>
    <cellStyle name="40% - Accent5 10 4" xfId="6628"/>
    <cellStyle name="40% - Accent5 10 4 2" xfId="6629"/>
    <cellStyle name="40% - Accent5 10 5" xfId="6630"/>
    <cellStyle name="40% - Accent5 10 5 2" xfId="6631"/>
    <cellStyle name="40% - Accent5 10 6" xfId="6632"/>
    <cellStyle name="40% - Accent5 10 7" xfId="6633"/>
    <cellStyle name="40% - Accent5 11" xfId="6634"/>
    <cellStyle name="40% - Accent5 11 2" xfId="6635"/>
    <cellStyle name="40% - Accent5 11 2 2" xfId="6636"/>
    <cellStyle name="40% - Accent5 11 3" xfId="6637"/>
    <cellStyle name="40% - Accent5 12" xfId="6638"/>
    <cellStyle name="40% - Accent5 12 2" xfId="6639"/>
    <cellStyle name="40% - Accent5 13" xfId="6640"/>
    <cellStyle name="40% - Accent5 13 2" xfId="6641"/>
    <cellStyle name="40% - Accent5 14" xfId="6642"/>
    <cellStyle name="40% - Accent5 14 2" xfId="6643"/>
    <cellStyle name="40% - Accent5 14 3" xfId="6644"/>
    <cellStyle name="40% - Accent5 15" xfId="6645"/>
    <cellStyle name="40% - Accent5 15 2" xfId="6646"/>
    <cellStyle name="40% - Accent5 16" xfId="6647"/>
    <cellStyle name="40% - Accent5 16 2" xfId="6648"/>
    <cellStyle name="40% - Accent5 17" xfId="6649"/>
    <cellStyle name="40% - Accent5 17 2" xfId="6650"/>
    <cellStyle name="40% - Accent5 18" xfId="6651"/>
    <cellStyle name="40% - Accent5 19" xfId="6652"/>
    <cellStyle name="40% - Accent5 2" xfId="6653"/>
    <cellStyle name="40% - Accent5 2 10" xfId="6654"/>
    <cellStyle name="40% - Accent5 2 10 2" xfId="6655"/>
    <cellStyle name="40% - Accent5 2 11" xfId="6656"/>
    <cellStyle name="40% - Accent5 2 12" xfId="6657"/>
    <cellStyle name="40% - Accent5 2 12 2" xfId="6658"/>
    <cellStyle name="40% - Accent5 2 12 2 2" xfId="6659"/>
    <cellStyle name="40% - Accent5 2 12 3" xfId="6660"/>
    <cellStyle name="40% - Accent5 2 12 4" xfId="6661"/>
    <cellStyle name="40% - Accent5 2 12 4 2" xfId="6662"/>
    <cellStyle name="40% - Accent5 2 12 5" xfId="6663"/>
    <cellStyle name="40% - Accent5 2 13" xfId="6664"/>
    <cellStyle name="40% - Accent5 2 13 2" xfId="6665"/>
    <cellStyle name="40% - Accent5 2 13 2 2" xfId="6666"/>
    <cellStyle name="40% - Accent5 2 13 3" xfId="6667"/>
    <cellStyle name="40% - Accent5 2 14" xfId="6668"/>
    <cellStyle name="40% - Accent5 2 15" xfId="6669"/>
    <cellStyle name="40% - Accent5 2 2" xfId="6670"/>
    <cellStyle name="40% - Accent5 2 2 10" xfId="6671"/>
    <cellStyle name="40% - Accent5 2 2 10 2" xfId="6672"/>
    <cellStyle name="40% - Accent5 2 2 11" xfId="6673"/>
    <cellStyle name="40% - Accent5 2 2 2" xfId="6674"/>
    <cellStyle name="40% - Accent5 2 2 2 2" xfId="6675"/>
    <cellStyle name="40% - Accent5 2 2 2 2 2" xfId="6676"/>
    <cellStyle name="40% - Accent5 2 2 2 2 3" xfId="6677"/>
    <cellStyle name="40% - Accent5 2 2 2 3" xfId="6678"/>
    <cellStyle name="40% - Accent5 2 2 2 3 2" xfId="6679"/>
    <cellStyle name="40% - Accent5 2 2 2 4" xfId="6680"/>
    <cellStyle name="40% - Accent5 2 2 2 5" xfId="6681"/>
    <cellStyle name="40% - Accent5 2 2 3" xfId="6682"/>
    <cellStyle name="40% - Accent5 2 2 3 2" xfId="6683"/>
    <cellStyle name="40% - Accent5 2 2 3 2 2" xfId="6684"/>
    <cellStyle name="40% - Accent5 2 2 3 2 3" xfId="6685"/>
    <cellStyle name="40% - Accent5 2 2 3 3" xfId="6686"/>
    <cellStyle name="40% - Accent5 2 2 3 3 2" xfId="6687"/>
    <cellStyle name="40% - Accent5 2 2 3 4" xfId="6688"/>
    <cellStyle name="40% - Accent5 2 2 3 5" xfId="6689"/>
    <cellStyle name="40% - Accent5 2 2 4" xfId="6690"/>
    <cellStyle name="40% - Accent5 2 2 4 2" xfId="6691"/>
    <cellStyle name="40% - Accent5 2 2 4 2 2" xfId="6692"/>
    <cellStyle name="40% - Accent5 2 2 4 3" xfId="6693"/>
    <cellStyle name="40% - Accent5 2 2 4 4" xfId="6694"/>
    <cellStyle name="40% - Accent5 2 2 5" xfId="6695"/>
    <cellStyle name="40% - Accent5 2 2 5 2" xfId="6696"/>
    <cellStyle name="40% - Accent5 2 2 6" xfId="6697"/>
    <cellStyle name="40% - Accent5 2 2 6 2" xfId="6698"/>
    <cellStyle name="40% - Accent5 2 2 7" xfId="6699"/>
    <cellStyle name="40% - Accent5 2 2 8" xfId="6700"/>
    <cellStyle name="40% - Accent5 2 2 9" xfId="6701"/>
    <cellStyle name="40% - Accent5 2 2 9 2" xfId="6702"/>
    <cellStyle name="40% - Accent5 2 3" xfId="6703"/>
    <cellStyle name="40% - Accent5 2 3 2" xfId="6704"/>
    <cellStyle name="40% - Accent5 2 3 2 2" xfId="6705"/>
    <cellStyle name="40% - Accent5 2 3 2 2 2" xfId="6706"/>
    <cellStyle name="40% - Accent5 2 3 2 2 3" xfId="6707"/>
    <cellStyle name="40% - Accent5 2 3 2 3" xfId="6708"/>
    <cellStyle name="40% - Accent5 2 3 2 3 2" xfId="6709"/>
    <cellStyle name="40% - Accent5 2 3 2 4" xfId="6710"/>
    <cellStyle name="40% - Accent5 2 3 2 5" xfId="6711"/>
    <cellStyle name="40% - Accent5 2 3 3" xfId="6712"/>
    <cellStyle name="40% - Accent5 2 3 3 2" xfId="6713"/>
    <cellStyle name="40% - Accent5 2 3 3 2 2" xfId="6714"/>
    <cellStyle name="40% - Accent5 2 3 3 3" xfId="6715"/>
    <cellStyle name="40% - Accent5 2 3 3 4" xfId="6716"/>
    <cellStyle name="40% - Accent5 2 3 4" xfId="6717"/>
    <cellStyle name="40% - Accent5 2 3 5" xfId="6718"/>
    <cellStyle name="40% - Accent5 2 3 5 2" xfId="6719"/>
    <cellStyle name="40% - Accent5 2 3 6" xfId="6720"/>
    <cellStyle name="40% - Accent5 2 3 7" xfId="6721"/>
    <cellStyle name="40% - Accent5 2 3 8" xfId="6722"/>
    <cellStyle name="40% - Accent5 2 4" xfId="6723"/>
    <cellStyle name="40% - Accent5 2 4 2" xfId="6724"/>
    <cellStyle name="40% - Accent5 2 4 2 2" xfId="6725"/>
    <cellStyle name="40% - Accent5 2 4 2 2 2" xfId="6726"/>
    <cellStyle name="40% - Accent5 2 4 2 3" xfId="6727"/>
    <cellStyle name="40% - Accent5 2 4 2 4" xfId="6728"/>
    <cellStyle name="40% - Accent5 2 4 3" xfId="6729"/>
    <cellStyle name="40% - Accent5 2 4 3 2" xfId="6730"/>
    <cellStyle name="40% - Accent5 2 4 4" xfId="6731"/>
    <cellStyle name="40% - Accent5 2 4 4 2" xfId="6732"/>
    <cellStyle name="40% - Accent5 2 4 5" xfId="6733"/>
    <cellStyle name="40% - Accent5 2 4 6" xfId="6734"/>
    <cellStyle name="40% - Accent5 2 5" xfId="6735"/>
    <cellStyle name="40% - Accent5 2 5 2" xfId="6736"/>
    <cellStyle name="40% - Accent5 2 5 2 2" xfId="6737"/>
    <cellStyle name="40% - Accent5 2 5 3" xfId="6738"/>
    <cellStyle name="40% - Accent5 2 5 4" xfId="6739"/>
    <cellStyle name="40% - Accent5 2 6" xfId="6740"/>
    <cellStyle name="40% - Accent5 2 6 10" xfId="6741"/>
    <cellStyle name="40% - Accent5 2 6 2" xfId="6742"/>
    <cellStyle name="40% - Accent5 2 6 2 2" xfId="6743"/>
    <cellStyle name="40% - Accent5 2 6 2 2 2" xfId="6744"/>
    <cellStyle name="40% - Accent5 2 6 2 2 2 2" xfId="6745"/>
    <cellStyle name="40% - Accent5 2 6 2 2 3" xfId="6746"/>
    <cellStyle name="40% - Accent5 2 6 2 2 3 2" xfId="6747"/>
    <cellStyle name="40% - Accent5 2 6 2 2 4" xfId="6748"/>
    <cellStyle name="40% - Accent5 2 6 2 2 5" xfId="6749"/>
    <cellStyle name="40% - Accent5 2 6 2 3" xfId="6750"/>
    <cellStyle name="40% - Accent5 2 6 2 3 2" xfId="6751"/>
    <cellStyle name="40% - Accent5 2 6 2 3 2 2" xfId="6752"/>
    <cellStyle name="40% - Accent5 2 6 2 3 3" xfId="6753"/>
    <cellStyle name="40% - Accent5 2 6 2 4" xfId="6754"/>
    <cellStyle name="40% - Accent5 2 6 2 4 2" xfId="6755"/>
    <cellStyle name="40% - Accent5 2 6 2 5" xfId="6756"/>
    <cellStyle name="40% - Accent5 2 6 2 5 2" xfId="6757"/>
    <cellStyle name="40% - Accent5 2 6 2 6" xfId="6758"/>
    <cellStyle name="40% - Accent5 2 6 3" xfId="6759"/>
    <cellStyle name="40% - Accent5 2 6 3 2" xfId="6760"/>
    <cellStyle name="40% - Accent5 2 6 3 2 2" xfId="6761"/>
    <cellStyle name="40% - Accent5 2 6 3 2 2 2" xfId="6762"/>
    <cellStyle name="40% - Accent5 2 6 3 2 3" xfId="6763"/>
    <cellStyle name="40% - Accent5 2 6 3 2 3 2" xfId="6764"/>
    <cellStyle name="40% - Accent5 2 6 3 2 4" xfId="6765"/>
    <cellStyle name="40% - Accent5 2 6 3 2 5" xfId="6766"/>
    <cellStyle name="40% - Accent5 2 6 3 3" xfId="6767"/>
    <cellStyle name="40% - Accent5 2 6 3 3 2" xfId="6768"/>
    <cellStyle name="40% - Accent5 2 6 3 3 2 2" xfId="6769"/>
    <cellStyle name="40% - Accent5 2 6 3 3 3" xfId="6770"/>
    <cellStyle name="40% - Accent5 2 6 3 4" xfId="6771"/>
    <cellStyle name="40% - Accent5 2 6 3 4 2" xfId="6772"/>
    <cellStyle name="40% - Accent5 2 6 3 5" xfId="6773"/>
    <cellStyle name="40% - Accent5 2 6 3 5 2" xfId="6774"/>
    <cellStyle name="40% - Accent5 2 6 3 6" xfId="6775"/>
    <cellStyle name="40% - Accent5 2 6 4" xfId="6776"/>
    <cellStyle name="40% - Accent5 2 6 4 2" xfId="6777"/>
    <cellStyle name="40% - Accent5 2 6 4 2 2" xfId="6778"/>
    <cellStyle name="40% - Accent5 2 6 4 2 2 2" xfId="6779"/>
    <cellStyle name="40% - Accent5 2 6 4 2 3" xfId="6780"/>
    <cellStyle name="40% - Accent5 2 6 4 3" xfId="6781"/>
    <cellStyle name="40% - Accent5 2 6 4 3 2" xfId="6782"/>
    <cellStyle name="40% - Accent5 2 6 4 4" xfId="6783"/>
    <cellStyle name="40% - Accent5 2 6 4 4 2" xfId="6784"/>
    <cellStyle name="40% - Accent5 2 6 4 5" xfId="6785"/>
    <cellStyle name="40% - Accent5 2 6 5" xfId="6786"/>
    <cellStyle name="40% - Accent5 2 6 5 2" xfId="6787"/>
    <cellStyle name="40% - Accent5 2 6 5 2 2" xfId="6788"/>
    <cellStyle name="40% - Accent5 2 6 5 3" xfId="6789"/>
    <cellStyle name="40% - Accent5 2 6 5 3 2" xfId="6790"/>
    <cellStyle name="40% - Accent5 2 6 5 4" xfId="6791"/>
    <cellStyle name="40% - Accent5 2 6 6" xfId="6792"/>
    <cellStyle name="40% - Accent5 2 6 6 2" xfId="6793"/>
    <cellStyle name="40% - Accent5 2 6 6 2 2" xfId="6794"/>
    <cellStyle name="40% - Accent5 2 6 6 3" xfId="6795"/>
    <cellStyle name="40% - Accent5 2 6 7" xfId="6796"/>
    <cellStyle name="40% - Accent5 2 6 7 2" xfId="6797"/>
    <cellStyle name="40% - Accent5 2 6 7 3" xfId="6798"/>
    <cellStyle name="40% - Accent5 2 6 8" xfId="6799"/>
    <cellStyle name="40% - Accent5 2 6 8 2" xfId="6800"/>
    <cellStyle name="40% - Accent5 2 6 9" xfId="6801"/>
    <cellStyle name="40% - Accent5 2 7" xfId="6802"/>
    <cellStyle name="40% - Accent5 2 7 2" xfId="6803"/>
    <cellStyle name="40% - Accent5 2 7 2 2" xfId="6804"/>
    <cellStyle name="40% - Accent5 2 7 3" xfId="6805"/>
    <cellStyle name="40% - Accent5 2 7 4" xfId="6806"/>
    <cellStyle name="40% - Accent5 2 8" xfId="6807"/>
    <cellStyle name="40% - Accent5 2 8 2" xfId="6808"/>
    <cellStyle name="40% - Accent5 2 9" xfId="6809"/>
    <cellStyle name="40% - Accent5 2 9 2" xfId="6810"/>
    <cellStyle name="40% - Accent5 20" xfId="6811"/>
    <cellStyle name="40% - Accent5 3" xfId="6812"/>
    <cellStyle name="40% - Accent5 3 10" xfId="6813"/>
    <cellStyle name="40% - Accent5 3 2" xfId="6814"/>
    <cellStyle name="40% - Accent5 3 2 2" xfId="6815"/>
    <cellStyle name="40% - Accent5 3 2 2 2" xfId="6816"/>
    <cellStyle name="40% - Accent5 3 2 2 2 2" xfId="6817"/>
    <cellStyle name="40% - Accent5 3 2 2 3" xfId="6818"/>
    <cellStyle name="40% - Accent5 3 2 2 4" xfId="6819"/>
    <cellStyle name="40% - Accent5 3 2 2 5" xfId="6820"/>
    <cellStyle name="40% - Accent5 3 2 3" xfId="6821"/>
    <cellStyle name="40% - Accent5 3 2 3 2" xfId="6822"/>
    <cellStyle name="40% - Accent5 3 2 3 2 2" xfId="6823"/>
    <cellStyle name="40% - Accent5 3 2 3 3" xfId="6824"/>
    <cellStyle name="40% - Accent5 3 2 3 4" xfId="6825"/>
    <cellStyle name="40% - Accent5 3 2 4" xfId="6826"/>
    <cellStyle name="40% - Accent5 3 2 4 2" xfId="6827"/>
    <cellStyle name="40% - Accent5 3 2 5" xfId="6828"/>
    <cellStyle name="40% - Accent5 3 2 5 2" xfId="6829"/>
    <cellStyle name="40% - Accent5 3 2 6" xfId="6830"/>
    <cellStyle name="40% - Accent5 3 2 7" xfId="6831"/>
    <cellStyle name="40% - Accent5 3 2 8" xfId="6832"/>
    <cellStyle name="40% - Accent5 3 3" xfId="6833"/>
    <cellStyle name="40% - Accent5 3 3 2" xfId="6834"/>
    <cellStyle name="40% - Accent5 3 3 2 2" xfId="6835"/>
    <cellStyle name="40% - Accent5 3 3 2 2 2" xfId="6836"/>
    <cellStyle name="40% - Accent5 3 3 2 3" xfId="6837"/>
    <cellStyle name="40% - Accent5 3 3 2 4" xfId="6838"/>
    <cellStyle name="40% - Accent5 3 3 3" xfId="6839"/>
    <cellStyle name="40% - Accent5 3 3 3 2" xfId="6840"/>
    <cellStyle name="40% - Accent5 3 3 4" xfId="6841"/>
    <cellStyle name="40% - Accent5 3 3 4 2" xfId="6842"/>
    <cellStyle name="40% - Accent5 3 3 5" xfId="6843"/>
    <cellStyle name="40% - Accent5 3 3 6" xfId="6844"/>
    <cellStyle name="40% - Accent5 3 3 7" xfId="6845"/>
    <cellStyle name="40% - Accent5 3 4" xfId="6846"/>
    <cellStyle name="40% - Accent5 3 4 2" xfId="6847"/>
    <cellStyle name="40% - Accent5 3 4 2 2" xfId="6848"/>
    <cellStyle name="40% - Accent5 3 4 3" xfId="6849"/>
    <cellStyle name="40% - Accent5 3 4 4" xfId="6850"/>
    <cellStyle name="40% - Accent5 3 5" xfId="6851"/>
    <cellStyle name="40% - Accent5 3 5 2" xfId="6852"/>
    <cellStyle name="40% - Accent5 3 6" xfId="6853"/>
    <cellStyle name="40% - Accent5 3 7" xfId="6854"/>
    <cellStyle name="40% - Accent5 3 7 2" xfId="6855"/>
    <cellStyle name="40% - Accent5 3 8" xfId="6856"/>
    <cellStyle name="40% - Accent5 3 9" xfId="6857"/>
    <cellStyle name="40% - Accent5 3 9 2" xfId="6858"/>
    <cellStyle name="40% - Accent5 4" xfId="6859"/>
    <cellStyle name="40% - Accent5 4 2" xfId="6860"/>
    <cellStyle name="40% - Accent5 4 2 2" xfId="6861"/>
    <cellStyle name="40% - Accent5 4 2 2 2" xfId="6862"/>
    <cellStyle name="40% - Accent5 4 2 2 2 2" xfId="6863"/>
    <cellStyle name="40% - Accent5 4 2 2 3" xfId="6864"/>
    <cellStyle name="40% - Accent5 4 2 2 4" xfId="6865"/>
    <cellStyle name="40% - Accent5 4 2 3" xfId="6866"/>
    <cellStyle name="40% - Accent5 4 2 3 2" xfId="6867"/>
    <cellStyle name="40% - Accent5 4 2 4" xfId="6868"/>
    <cellStyle name="40% - Accent5 4 2 4 2" xfId="6869"/>
    <cellStyle name="40% - Accent5 4 2 5" xfId="6870"/>
    <cellStyle name="40% - Accent5 4 2 6" xfId="6871"/>
    <cellStyle name="40% - Accent5 4 3" xfId="6872"/>
    <cellStyle name="40% - Accent5 4 3 2" xfId="6873"/>
    <cellStyle name="40% - Accent5 4 3 3" xfId="6874"/>
    <cellStyle name="40% - Accent5 4 3 3 2" xfId="6875"/>
    <cellStyle name="40% - Accent5 4 3 4" xfId="6876"/>
    <cellStyle name="40% - Accent5 4 4" xfId="6877"/>
    <cellStyle name="40% - Accent5 4 4 2" xfId="6878"/>
    <cellStyle name="40% - Accent5 4 4 2 2" xfId="6879"/>
    <cellStyle name="40% - Accent5 4 4 3" xfId="6880"/>
    <cellStyle name="40% - Accent5 4 4 4" xfId="6881"/>
    <cellStyle name="40% - Accent5 4 5" xfId="6882"/>
    <cellStyle name="40% - Accent5 4 5 2" xfId="6883"/>
    <cellStyle name="40% - Accent5 4 6" xfId="6884"/>
    <cellStyle name="40% - Accent5 4 6 2" xfId="6885"/>
    <cellStyle name="40% - Accent5 4 7" xfId="6886"/>
    <cellStyle name="40% - Accent5 4 7 2" xfId="6887"/>
    <cellStyle name="40% - Accent5 4 8" xfId="6888"/>
    <cellStyle name="40% - Accent5 4 9" xfId="6889"/>
    <cellStyle name="40% - Accent5 5" xfId="6890"/>
    <cellStyle name="40% - Accent5 5 10" xfId="6891"/>
    <cellStyle name="40% - Accent5 5 11" xfId="6892"/>
    <cellStyle name="40% - Accent5 5 2" xfId="6893"/>
    <cellStyle name="40% - Accent5 5 2 2" xfId="6894"/>
    <cellStyle name="40% - Accent5 5 2 2 2" xfId="6895"/>
    <cellStyle name="40% - Accent5 5 2 2 2 2" xfId="6896"/>
    <cellStyle name="40% - Accent5 5 2 2 2 2 2" xfId="6897"/>
    <cellStyle name="40% - Accent5 5 2 2 2 3" xfId="6898"/>
    <cellStyle name="40% - Accent5 5 2 2 2 3 2" xfId="6899"/>
    <cellStyle name="40% - Accent5 5 2 2 2 4" xfId="6900"/>
    <cellStyle name="40% - Accent5 5 2 2 2 4 2" xfId="6901"/>
    <cellStyle name="40% - Accent5 5 2 2 2 5" xfId="6902"/>
    <cellStyle name="40% - Accent5 5 2 2 3" xfId="6903"/>
    <cellStyle name="40% - Accent5 5 2 2 3 2" xfId="6904"/>
    <cellStyle name="40% - Accent5 5 2 2 3 2 2" xfId="6905"/>
    <cellStyle name="40% - Accent5 5 2 2 3 3" xfId="6906"/>
    <cellStyle name="40% - Accent5 5 2 2 3 3 2" xfId="6907"/>
    <cellStyle name="40% - Accent5 5 2 2 3 4" xfId="6908"/>
    <cellStyle name="40% - Accent5 5 2 2 4" xfId="6909"/>
    <cellStyle name="40% - Accent5 5 2 2 4 2" xfId="6910"/>
    <cellStyle name="40% - Accent5 5 2 2 4 2 2" xfId="6911"/>
    <cellStyle name="40% - Accent5 5 2 2 4 3" xfId="6912"/>
    <cellStyle name="40% - Accent5 5 2 2 4 3 2" xfId="6913"/>
    <cellStyle name="40% - Accent5 5 2 2 4 4" xfId="6914"/>
    <cellStyle name="40% - Accent5 5 2 2 5" xfId="6915"/>
    <cellStyle name="40% - Accent5 5 2 2 5 2" xfId="6916"/>
    <cellStyle name="40% - Accent5 5 2 2 5 2 2" xfId="6917"/>
    <cellStyle name="40% - Accent5 5 2 2 5 3" xfId="6918"/>
    <cellStyle name="40% - Accent5 5 2 2 5 3 2" xfId="6919"/>
    <cellStyle name="40% - Accent5 5 2 2 5 4" xfId="6920"/>
    <cellStyle name="40% - Accent5 5 2 2 6" xfId="6921"/>
    <cellStyle name="40% - Accent5 5 2 2 7" xfId="6922"/>
    <cellStyle name="40% - Accent5 5 2 3" xfId="6923"/>
    <cellStyle name="40% - Accent5 5 2 4" xfId="6924"/>
    <cellStyle name="40% - Accent5 5 2 5" xfId="6925"/>
    <cellStyle name="40% - Accent5 5 2 5 2" xfId="6926"/>
    <cellStyle name="40% - Accent5 5 2 6" xfId="6927"/>
    <cellStyle name="40% - Accent5 5 3" xfId="6928"/>
    <cellStyle name="40% - Accent5 5 3 2" xfId="6929"/>
    <cellStyle name="40% - Accent5 5 3 2 2" xfId="6930"/>
    <cellStyle name="40% - Accent5 5 3 3" xfId="6931"/>
    <cellStyle name="40% - Accent5 5 3 4" xfId="6932"/>
    <cellStyle name="40% - Accent5 5 3 5" xfId="6933"/>
    <cellStyle name="40% - Accent5 5 3 5 2" xfId="6934"/>
    <cellStyle name="40% - Accent5 5 3 6" xfId="6935"/>
    <cellStyle name="40% - Accent5 5 4" xfId="6936"/>
    <cellStyle name="40% - Accent5 5 4 2" xfId="6937"/>
    <cellStyle name="40% - Accent5 5 5" xfId="6938"/>
    <cellStyle name="40% - Accent5 5 5 2" xfId="6939"/>
    <cellStyle name="40% - Accent5 5 5 2 2" xfId="6940"/>
    <cellStyle name="40% - Accent5 5 5 2 2 2" xfId="6941"/>
    <cellStyle name="40% - Accent5 5 5 2 3" xfId="6942"/>
    <cellStyle name="40% - Accent5 5 5 2 3 2" xfId="6943"/>
    <cellStyle name="40% - Accent5 5 5 2 4" xfId="6944"/>
    <cellStyle name="40% - Accent5 5 5 2 4 2" xfId="6945"/>
    <cellStyle name="40% - Accent5 5 5 2 5" xfId="6946"/>
    <cellStyle name="40% - Accent5 5 5 3" xfId="6947"/>
    <cellStyle name="40% - Accent5 5 5 3 2" xfId="6948"/>
    <cellStyle name="40% - Accent5 5 5 3 2 2" xfId="6949"/>
    <cellStyle name="40% - Accent5 5 5 3 3" xfId="6950"/>
    <cellStyle name="40% - Accent5 5 5 3 3 2" xfId="6951"/>
    <cellStyle name="40% - Accent5 5 5 3 4" xfId="6952"/>
    <cellStyle name="40% - Accent5 5 5 4" xfId="6953"/>
    <cellStyle name="40% - Accent5 5 5 4 2" xfId="6954"/>
    <cellStyle name="40% - Accent5 5 5 4 2 2" xfId="6955"/>
    <cellStyle name="40% - Accent5 5 5 4 3" xfId="6956"/>
    <cellStyle name="40% - Accent5 5 5 4 3 2" xfId="6957"/>
    <cellStyle name="40% - Accent5 5 5 4 4" xfId="6958"/>
    <cellStyle name="40% - Accent5 5 5 5" xfId="6959"/>
    <cellStyle name="40% - Accent5 5 5 5 2" xfId="6960"/>
    <cellStyle name="40% - Accent5 5 5 5 2 2" xfId="6961"/>
    <cellStyle name="40% - Accent5 5 5 5 3" xfId="6962"/>
    <cellStyle name="40% - Accent5 5 5 5 3 2" xfId="6963"/>
    <cellStyle name="40% - Accent5 5 5 5 4" xfId="6964"/>
    <cellStyle name="40% - Accent5 5 5 6" xfId="6965"/>
    <cellStyle name="40% - Accent5 5 6" xfId="6966"/>
    <cellStyle name="40% - Accent5 5 6 2" xfId="6967"/>
    <cellStyle name="40% - Accent5 5 6 2 2" xfId="6968"/>
    <cellStyle name="40% - Accent5 5 6 2 2 2" xfId="6969"/>
    <cellStyle name="40% - Accent5 5 6 2 2 2 2" xfId="6970"/>
    <cellStyle name="40% - Accent5 5 6 2 2 3" xfId="6971"/>
    <cellStyle name="40% - Accent5 5 6 2 2 3 2" xfId="6972"/>
    <cellStyle name="40% - Accent5 5 6 2 2 4" xfId="6973"/>
    <cellStyle name="40% - Accent5 5 6 2 2 5" xfId="6974"/>
    <cellStyle name="40% - Accent5 5 6 2 3" xfId="6975"/>
    <cellStyle name="40% - Accent5 5 6 2 3 2" xfId="6976"/>
    <cellStyle name="40% - Accent5 5 6 2 3 2 2" xfId="6977"/>
    <cellStyle name="40% - Accent5 5 6 2 3 3" xfId="6978"/>
    <cellStyle name="40% - Accent5 5 6 2 4" xfId="6979"/>
    <cellStyle name="40% - Accent5 5 6 2 4 2" xfId="6980"/>
    <cellStyle name="40% - Accent5 5 6 2 5" xfId="6981"/>
    <cellStyle name="40% - Accent5 5 6 2 5 2" xfId="6982"/>
    <cellStyle name="40% - Accent5 5 6 2 6" xfId="6983"/>
    <cellStyle name="40% - Accent5 5 6 3" xfId="6984"/>
    <cellStyle name="40% - Accent5 5 6 3 2" xfId="6985"/>
    <cellStyle name="40% - Accent5 5 6 3 2 2" xfId="6986"/>
    <cellStyle name="40% - Accent5 5 6 3 2 2 2" xfId="6987"/>
    <cellStyle name="40% - Accent5 5 6 3 2 3" xfId="6988"/>
    <cellStyle name="40% - Accent5 5 6 3 2 3 2" xfId="6989"/>
    <cellStyle name="40% - Accent5 5 6 3 2 4" xfId="6990"/>
    <cellStyle name="40% - Accent5 5 6 3 2 5" xfId="6991"/>
    <cellStyle name="40% - Accent5 5 6 3 3" xfId="6992"/>
    <cellStyle name="40% - Accent5 5 6 3 3 2" xfId="6993"/>
    <cellStyle name="40% - Accent5 5 6 3 3 2 2" xfId="6994"/>
    <cellStyle name="40% - Accent5 5 6 3 3 3" xfId="6995"/>
    <cellStyle name="40% - Accent5 5 6 3 4" xfId="6996"/>
    <cellStyle name="40% - Accent5 5 6 3 4 2" xfId="6997"/>
    <cellStyle name="40% - Accent5 5 6 3 5" xfId="6998"/>
    <cellStyle name="40% - Accent5 5 6 3 5 2" xfId="6999"/>
    <cellStyle name="40% - Accent5 5 6 3 6" xfId="7000"/>
    <cellStyle name="40% - Accent5 5 6 4" xfId="7001"/>
    <cellStyle name="40% - Accent5 5 6 4 2" xfId="7002"/>
    <cellStyle name="40% - Accent5 5 6 4 2 2" xfId="7003"/>
    <cellStyle name="40% - Accent5 5 6 4 3" xfId="7004"/>
    <cellStyle name="40% - Accent5 5 6 4 3 2" xfId="7005"/>
    <cellStyle name="40% - Accent5 5 6 4 4" xfId="7006"/>
    <cellStyle name="40% - Accent5 5 6 5" xfId="7007"/>
    <cellStyle name="40% - Accent5 5 6 5 2" xfId="7008"/>
    <cellStyle name="40% - Accent5 5 6 5 3" xfId="7009"/>
    <cellStyle name="40% - Accent5 5 6 6" xfId="7010"/>
    <cellStyle name="40% - Accent5 5 6 6 2" xfId="7011"/>
    <cellStyle name="40% - Accent5 5 6 6 3" xfId="7012"/>
    <cellStyle name="40% - Accent5 5 6 7" xfId="7013"/>
    <cellStyle name="40% - Accent5 5 6 7 2" xfId="7014"/>
    <cellStyle name="40% - Accent5 5 6 7 3" xfId="7015"/>
    <cellStyle name="40% - Accent5 5 6 8" xfId="7016"/>
    <cellStyle name="40% - Accent5 5 7" xfId="7017"/>
    <cellStyle name="40% - Accent5 5 7 2" xfId="7018"/>
    <cellStyle name="40% - Accent5 5 7 2 2" xfId="7019"/>
    <cellStyle name="40% - Accent5 5 7 2 2 2" xfId="7020"/>
    <cellStyle name="40% - Accent5 5 7 2 3" xfId="7021"/>
    <cellStyle name="40% - Accent5 5 7 2 3 2" xfId="7022"/>
    <cellStyle name="40% - Accent5 5 7 2 4" xfId="7023"/>
    <cellStyle name="40% - Accent5 5 7 2 4 2" xfId="7024"/>
    <cellStyle name="40% - Accent5 5 7 2 5" xfId="7025"/>
    <cellStyle name="40% - Accent5 5 7 3" xfId="7026"/>
    <cellStyle name="40% - Accent5 5 7 3 2" xfId="7027"/>
    <cellStyle name="40% - Accent5 5 7 3 2 2" xfId="7028"/>
    <cellStyle name="40% - Accent5 5 7 3 3" xfId="7029"/>
    <cellStyle name="40% - Accent5 5 7 3 3 2" xfId="7030"/>
    <cellStyle name="40% - Accent5 5 7 3 4" xfId="7031"/>
    <cellStyle name="40% - Accent5 5 7 4" xfId="7032"/>
    <cellStyle name="40% - Accent5 5 7 4 2" xfId="7033"/>
    <cellStyle name="40% - Accent5 5 7 5" xfId="7034"/>
    <cellStyle name="40% - Accent5 5 7 5 2" xfId="7035"/>
    <cellStyle name="40% - Accent5 5 7 6" xfId="7036"/>
    <cellStyle name="40% - Accent5 5 7 7" xfId="7037"/>
    <cellStyle name="40% - Accent5 5 8" xfId="7038"/>
    <cellStyle name="40% - Accent5 5 8 2" xfId="7039"/>
    <cellStyle name="40% - Accent5 5 8 2 2" xfId="7040"/>
    <cellStyle name="40% - Accent5 5 8 2 2 2" xfId="7041"/>
    <cellStyle name="40% - Accent5 5 8 2 3" xfId="7042"/>
    <cellStyle name="40% - Accent5 5 8 2 3 2" xfId="7043"/>
    <cellStyle name="40% - Accent5 5 8 2 4" xfId="7044"/>
    <cellStyle name="40% - Accent5 5 8 3" xfId="7045"/>
    <cellStyle name="40% - Accent5 5 8 3 2" xfId="7046"/>
    <cellStyle name="40% - Accent5 5 8 4" xfId="7047"/>
    <cellStyle name="40% - Accent5 5 9" xfId="7048"/>
    <cellStyle name="40% - Accent5 5 9 2" xfId="7049"/>
    <cellStyle name="40% - Accent5 6" xfId="7050"/>
    <cellStyle name="40% - Accent5 6 10" xfId="7051"/>
    <cellStyle name="40% - Accent5 6 2" xfId="7052"/>
    <cellStyle name="40% - Accent5 6 2 2" xfId="7053"/>
    <cellStyle name="40% - Accent5 6 2 2 2" xfId="7054"/>
    <cellStyle name="40% - Accent5 6 2 3" xfId="7055"/>
    <cellStyle name="40% - Accent5 6 2 4" xfId="7056"/>
    <cellStyle name="40% - Accent5 6 2 5" xfId="7057"/>
    <cellStyle name="40% - Accent5 6 2 5 2" xfId="7058"/>
    <cellStyle name="40% - Accent5 6 2 5 2 2" xfId="7059"/>
    <cellStyle name="40% - Accent5 6 2 5 3" xfId="7060"/>
    <cellStyle name="40% - Accent5 6 2 5 3 2" xfId="7061"/>
    <cellStyle name="40% - Accent5 6 2 5 4" xfId="7062"/>
    <cellStyle name="40% - Accent5 6 2 5 5" xfId="7063"/>
    <cellStyle name="40% - Accent5 6 2 6" xfId="7064"/>
    <cellStyle name="40% - Accent5 6 2 6 2" xfId="7065"/>
    <cellStyle name="40% - Accent5 6 2 7" xfId="7066"/>
    <cellStyle name="40% - Accent5 6 2 7 2" xfId="7067"/>
    <cellStyle name="40% - Accent5 6 2 8" xfId="7068"/>
    <cellStyle name="40% - Accent5 6 2 8 2" xfId="7069"/>
    <cellStyle name="40% - Accent5 6 2 9" xfId="7070"/>
    <cellStyle name="40% - Accent5 6 3" xfId="7071"/>
    <cellStyle name="40% - Accent5 6 3 2" xfId="7072"/>
    <cellStyle name="40% - Accent5 6 3 3" xfId="7073"/>
    <cellStyle name="40% - Accent5 6 3 4" xfId="7074"/>
    <cellStyle name="40% - Accent5 6 3 4 2" xfId="7075"/>
    <cellStyle name="40% - Accent5 6 3 5" xfId="7076"/>
    <cellStyle name="40% - Accent5 6 3 5 2" xfId="7077"/>
    <cellStyle name="40% - Accent5 6 4" xfId="7078"/>
    <cellStyle name="40% - Accent5 6 4 2" xfId="7079"/>
    <cellStyle name="40% - Accent5 6 4 2 2" xfId="7080"/>
    <cellStyle name="40% - Accent5 6 4 2 2 2" xfId="7081"/>
    <cellStyle name="40% - Accent5 6 4 2 2 2 2" xfId="7082"/>
    <cellStyle name="40% - Accent5 6 4 2 2 3" xfId="7083"/>
    <cellStyle name="40% - Accent5 6 4 2 2 3 2" xfId="7084"/>
    <cellStyle name="40% - Accent5 6 4 2 2 4" xfId="7085"/>
    <cellStyle name="40% - Accent5 6 4 2 2 5" xfId="7086"/>
    <cellStyle name="40% - Accent5 6 4 2 3" xfId="7087"/>
    <cellStyle name="40% - Accent5 6 4 2 3 2" xfId="7088"/>
    <cellStyle name="40% - Accent5 6 4 2 3 2 2" xfId="7089"/>
    <cellStyle name="40% - Accent5 6 4 2 3 3" xfId="7090"/>
    <cellStyle name="40% - Accent5 6 4 2 4" xfId="7091"/>
    <cellStyle name="40% - Accent5 6 4 2 4 2" xfId="7092"/>
    <cellStyle name="40% - Accent5 6 4 2 5" xfId="7093"/>
    <cellStyle name="40% - Accent5 6 4 2 5 2" xfId="7094"/>
    <cellStyle name="40% - Accent5 6 4 2 6" xfId="7095"/>
    <cellStyle name="40% - Accent5 6 4 3" xfId="7096"/>
    <cellStyle name="40% - Accent5 6 4 3 2" xfId="7097"/>
    <cellStyle name="40% - Accent5 6 4 3 2 2" xfId="7098"/>
    <cellStyle name="40% - Accent5 6 4 3 3" xfId="7099"/>
    <cellStyle name="40% - Accent5 6 4 3 3 2" xfId="7100"/>
    <cellStyle name="40% - Accent5 6 4 3 4" xfId="7101"/>
    <cellStyle name="40% - Accent5 6 4 4" xfId="7102"/>
    <cellStyle name="40% - Accent5 6 4 4 2" xfId="7103"/>
    <cellStyle name="40% - Accent5 6 4 4 3" xfId="7104"/>
    <cellStyle name="40% - Accent5 6 4 5" xfId="7105"/>
    <cellStyle name="40% - Accent5 6 4 5 2" xfId="7106"/>
    <cellStyle name="40% - Accent5 6 4 5 3" xfId="7107"/>
    <cellStyle name="40% - Accent5 6 4 6" xfId="7108"/>
    <cellStyle name="40% - Accent5 6 4 6 2" xfId="7109"/>
    <cellStyle name="40% - Accent5 6 4 6 3" xfId="7110"/>
    <cellStyle name="40% - Accent5 6 4 7" xfId="7111"/>
    <cellStyle name="40% - Accent5 6 4 8" xfId="7112"/>
    <cellStyle name="40% - Accent5 6 5" xfId="7113"/>
    <cellStyle name="40% - Accent5 6 5 2" xfId="7114"/>
    <cellStyle name="40% - Accent5 6 5 2 2" xfId="7115"/>
    <cellStyle name="40% - Accent5 6 5 2 2 2" xfId="7116"/>
    <cellStyle name="40% - Accent5 6 5 2 3" xfId="7117"/>
    <cellStyle name="40% - Accent5 6 5 2 3 2" xfId="7118"/>
    <cellStyle name="40% - Accent5 6 5 2 4" xfId="7119"/>
    <cellStyle name="40% - Accent5 6 5 3" xfId="7120"/>
    <cellStyle name="40% - Accent5 6 5 3 2" xfId="7121"/>
    <cellStyle name="40% - Accent5 6 5 3 3" xfId="7122"/>
    <cellStyle name="40% - Accent5 6 5 4" xfId="7123"/>
    <cellStyle name="40% - Accent5 6 5 4 2" xfId="7124"/>
    <cellStyle name="40% - Accent5 6 5 4 3" xfId="7125"/>
    <cellStyle name="40% - Accent5 6 5 5" xfId="7126"/>
    <cellStyle name="40% - Accent5 6 5 5 2" xfId="7127"/>
    <cellStyle name="40% - Accent5 6 5 5 3" xfId="7128"/>
    <cellStyle name="40% - Accent5 6 5 6" xfId="7129"/>
    <cellStyle name="40% - Accent5 6 6" xfId="7130"/>
    <cellStyle name="40% - Accent5 6 7" xfId="7131"/>
    <cellStyle name="40% - Accent5 6 7 2" xfId="7132"/>
    <cellStyle name="40% - Accent5 6 7 2 2" xfId="7133"/>
    <cellStyle name="40% - Accent5 6 7 3" xfId="7134"/>
    <cellStyle name="40% - Accent5 6 7 3 2" xfId="7135"/>
    <cellStyle name="40% - Accent5 6 7 4" xfId="7136"/>
    <cellStyle name="40% - Accent5 6 7 5" xfId="7137"/>
    <cellStyle name="40% - Accent5 6 8" xfId="7138"/>
    <cellStyle name="40% - Accent5 6 8 2" xfId="7139"/>
    <cellStyle name="40% - Accent5 6 8 2 2" xfId="7140"/>
    <cellStyle name="40% - Accent5 6 8 3" xfId="7141"/>
    <cellStyle name="40% - Accent5 6 9" xfId="7142"/>
    <cellStyle name="40% - Accent5 6 9 2" xfId="7143"/>
    <cellStyle name="40% - Accent5 7" xfId="7144"/>
    <cellStyle name="40% - Accent5 7 2" xfId="7145"/>
    <cellStyle name="40% - Accent5 7 2 2" xfId="7146"/>
    <cellStyle name="40% - Accent5 7 2 2 2" xfId="7147"/>
    <cellStyle name="40% - Accent5 7 2 2 2 2" xfId="7148"/>
    <cellStyle name="40% - Accent5 7 2 2 3" xfId="7149"/>
    <cellStyle name="40% - Accent5 7 2 2 3 2" xfId="7150"/>
    <cellStyle name="40% - Accent5 7 2 2 4" xfId="7151"/>
    <cellStyle name="40% - Accent5 7 2 3" xfId="7152"/>
    <cellStyle name="40% - Accent5 7 2 3 2" xfId="7153"/>
    <cellStyle name="40% - Accent5 7 2 3 2 2" xfId="7154"/>
    <cellStyle name="40% - Accent5 7 2 3 3" xfId="7155"/>
    <cellStyle name="40% - Accent5 7 2 4" xfId="7156"/>
    <cellStyle name="40% - Accent5 7 2 4 2" xfId="7157"/>
    <cellStyle name="40% - Accent5 7 2 4 2 2" xfId="7158"/>
    <cellStyle name="40% - Accent5 7 2 4 3" xfId="7159"/>
    <cellStyle name="40% - Accent5 7 2 4 3 2" xfId="7160"/>
    <cellStyle name="40% - Accent5 7 2 4 4" xfId="7161"/>
    <cellStyle name="40% - Accent5 7 2 5" xfId="7162"/>
    <cellStyle name="40% - Accent5 7 2 5 2" xfId="7163"/>
    <cellStyle name="40% - Accent5 7 2 5 2 2" xfId="7164"/>
    <cellStyle name="40% - Accent5 7 2 6" xfId="7165"/>
    <cellStyle name="40% - Accent5 7 3" xfId="7166"/>
    <cellStyle name="40% - Accent5 7 3 2" xfId="7167"/>
    <cellStyle name="40% - Accent5 7 3 2 2" xfId="7168"/>
    <cellStyle name="40% - Accent5 7 3 2 2 2" xfId="7169"/>
    <cellStyle name="40% - Accent5 7 3 2 3" xfId="7170"/>
    <cellStyle name="40% - Accent5 7 3 2 3 2" xfId="7171"/>
    <cellStyle name="40% - Accent5 7 3 2 4" xfId="7172"/>
    <cellStyle name="40% - Accent5 7 3 3" xfId="7173"/>
    <cellStyle name="40% - Accent5 7 3 3 2" xfId="7174"/>
    <cellStyle name="40% - Accent5 7 3 3 2 2" xfId="7175"/>
    <cellStyle name="40% - Accent5 7 3 3 3" xfId="7176"/>
    <cellStyle name="40% - Accent5 7 3 3 3 2" xfId="7177"/>
    <cellStyle name="40% - Accent5 7 3 3 4" xfId="7178"/>
    <cellStyle name="40% - Accent5 7 3 4" xfId="7179"/>
    <cellStyle name="40% - Accent5 7 4" xfId="7180"/>
    <cellStyle name="40% - Accent5 7 4 2" xfId="7181"/>
    <cellStyle name="40% - Accent5 7 4 2 2" xfId="7182"/>
    <cellStyle name="40% - Accent5 7 4 3" xfId="7183"/>
    <cellStyle name="40% - Accent5 7 4 3 2" xfId="7184"/>
    <cellStyle name="40% - Accent5 7 4 4" xfId="7185"/>
    <cellStyle name="40% - Accent5 7 4 4 2" xfId="7186"/>
    <cellStyle name="40% - Accent5 7 4 5" xfId="7187"/>
    <cellStyle name="40% - Accent5 7 5" xfId="7188"/>
    <cellStyle name="40% - Accent5 7 5 2" xfId="7189"/>
    <cellStyle name="40% - Accent5 7 5 2 2" xfId="7190"/>
    <cellStyle name="40% - Accent5 7 5 2 2 2" xfId="7191"/>
    <cellStyle name="40% - Accent5 7 5 3" xfId="7192"/>
    <cellStyle name="40% - Accent5 7 5 3 2" xfId="7193"/>
    <cellStyle name="40% - Accent5 7 5 4" xfId="7194"/>
    <cellStyle name="40% - Accent5 7 6" xfId="7195"/>
    <cellStyle name="40% - Accent5 7 6 2" xfId="7196"/>
    <cellStyle name="40% - Accent5 7 7" xfId="7197"/>
    <cellStyle name="40% - Accent5 7 7 2" xfId="7198"/>
    <cellStyle name="40% - Accent5 7 8" xfId="7199"/>
    <cellStyle name="40% - Accent5 7 8 2" xfId="7200"/>
    <cellStyle name="40% - Accent5 7 9" xfId="7201"/>
    <cellStyle name="40% - Accent5 8" xfId="7202"/>
    <cellStyle name="40% - Accent5 8 2" xfId="7203"/>
    <cellStyle name="40% - Accent5 8 2 2" xfId="7204"/>
    <cellStyle name="40% - Accent5 8 2 2 2" xfId="7205"/>
    <cellStyle name="40% - Accent5 8 2 2 2 2" xfId="7206"/>
    <cellStyle name="40% - Accent5 8 2 2 3" xfId="7207"/>
    <cellStyle name="40% - Accent5 8 2 2 3 2" xfId="7208"/>
    <cellStyle name="40% - Accent5 8 2 2 4" xfId="7209"/>
    <cellStyle name="40% - Accent5 8 2 3" xfId="7210"/>
    <cellStyle name="40% - Accent5 8 2 3 2" xfId="7211"/>
    <cellStyle name="40% - Accent5 8 2 3 2 2" xfId="7212"/>
    <cellStyle name="40% - Accent5 8 2 3 3" xfId="7213"/>
    <cellStyle name="40% - Accent5 8 2 4" xfId="7214"/>
    <cellStyle name="40% - Accent5 8 2 4 2" xfId="7215"/>
    <cellStyle name="40% - Accent5 8 2 4 2 2" xfId="7216"/>
    <cellStyle name="40% - Accent5 8 2 4 3" xfId="7217"/>
    <cellStyle name="40% - Accent5 8 2 4 3 2" xfId="7218"/>
    <cellStyle name="40% - Accent5 8 2 4 4" xfId="7219"/>
    <cellStyle name="40% - Accent5 8 2 5" xfId="7220"/>
    <cellStyle name="40% - Accent5 8 2 5 2" xfId="7221"/>
    <cellStyle name="40% - Accent5 8 2 6" xfId="7222"/>
    <cellStyle name="40% - Accent5 8 3" xfId="7223"/>
    <cellStyle name="40% - Accent5 8 3 2" xfId="7224"/>
    <cellStyle name="40% - Accent5 8 3 2 2" xfId="7225"/>
    <cellStyle name="40% - Accent5 8 3 2 2 2" xfId="7226"/>
    <cellStyle name="40% - Accent5 8 3 2 3" xfId="7227"/>
    <cellStyle name="40% - Accent5 8 3 2 3 2" xfId="7228"/>
    <cellStyle name="40% - Accent5 8 3 2 4" xfId="7229"/>
    <cellStyle name="40% - Accent5 8 3 3" xfId="7230"/>
    <cellStyle name="40% - Accent5 8 3 3 2" xfId="7231"/>
    <cellStyle name="40% - Accent5 8 3 3 2 2" xfId="7232"/>
    <cellStyle name="40% - Accent5 8 3 3 3" xfId="7233"/>
    <cellStyle name="40% - Accent5 8 3 3 3 2" xfId="7234"/>
    <cellStyle name="40% - Accent5 8 3 3 4" xfId="7235"/>
    <cellStyle name="40% - Accent5 8 3 4" xfId="7236"/>
    <cellStyle name="40% - Accent5 8 3 4 2" xfId="7237"/>
    <cellStyle name="40% - Accent5 8 3 5" xfId="7238"/>
    <cellStyle name="40% - Accent5 8 3 5 2" xfId="7239"/>
    <cellStyle name="40% - Accent5 8 3 6" xfId="7240"/>
    <cellStyle name="40% - Accent5 8 4" xfId="7241"/>
    <cellStyle name="40% - Accent5 8 4 2" xfId="7242"/>
    <cellStyle name="40% - Accent5 8 4 2 2" xfId="7243"/>
    <cellStyle name="40% - Accent5 8 4 3" xfId="7244"/>
    <cellStyle name="40% - Accent5 8 5" xfId="7245"/>
    <cellStyle name="40% - Accent5 8 5 2" xfId="7246"/>
    <cellStyle name="40% - Accent5 8 6" xfId="7247"/>
    <cellStyle name="40% - Accent5 8 6 2" xfId="7248"/>
    <cellStyle name="40% - Accent5 8 7" xfId="7249"/>
    <cellStyle name="40% - Accent5 9" xfId="7250"/>
    <cellStyle name="40% - Accent5 9 2" xfId="7251"/>
    <cellStyle name="40% - Accent5 9 2 2" xfId="7252"/>
    <cellStyle name="40% - Accent5 9 2 2 2" xfId="7253"/>
    <cellStyle name="40% - Accent5 9 2 3" xfId="7254"/>
    <cellStyle name="40% - Accent5 9 2 3 2" xfId="7255"/>
    <cellStyle name="40% - Accent5 9 2 4" xfId="7256"/>
    <cellStyle name="40% - Accent5 9 2 4 2" xfId="7257"/>
    <cellStyle name="40% - Accent5 9 2 5" xfId="7258"/>
    <cellStyle name="40% - Accent5 9 3" xfId="7259"/>
    <cellStyle name="40% - Accent5 9 3 2" xfId="7260"/>
    <cellStyle name="40% - Accent5 9 3 2 2" xfId="7261"/>
    <cellStyle name="40% - Accent5 9 3 3" xfId="7262"/>
    <cellStyle name="40% - Accent5 9 3 3 2" xfId="7263"/>
    <cellStyle name="40% - Accent5 9 3 4" xfId="7264"/>
    <cellStyle name="40% - Accent5 9 4" xfId="7265"/>
    <cellStyle name="40% - Accent5 9 4 2" xfId="7266"/>
    <cellStyle name="40% - Accent5 9 4 2 2" xfId="7267"/>
    <cellStyle name="40% - Accent5 9 4 3" xfId="7268"/>
    <cellStyle name="40% - Accent5 9 5" xfId="7269"/>
    <cellStyle name="40% - Accent5 9 5 2" xfId="7270"/>
    <cellStyle name="40% - Accent5 9 6" xfId="7271"/>
    <cellStyle name="40% - Accent5 9 7" xfId="7272"/>
    <cellStyle name="40% - Accent6 10" xfId="7273"/>
    <cellStyle name="40% - Accent6 10 2" xfId="7274"/>
    <cellStyle name="40% - Accent6 10 2 2" xfId="7275"/>
    <cellStyle name="40% - Accent6 10 2 2 2" xfId="7276"/>
    <cellStyle name="40% - Accent6 10 2 3" xfId="7277"/>
    <cellStyle name="40% - Accent6 10 2 3 2" xfId="7278"/>
    <cellStyle name="40% - Accent6 10 2 4" xfId="7279"/>
    <cellStyle name="40% - Accent6 10 2 4 2" xfId="7280"/>
    <cellStyle name="40% - Accent6 10 2 5" xfId="7281"/>
    <cellStyle name="40% - Accent6 10 3" xfId="7282"/>
    <cellStyle name="40% - Accent6 10 3 2" xfId="7283"/>
    <cellStyle name="40% - Accent6 10 3 2 2" xfId="7284"/>
    <cellStyle name="40% - Accent6 10 3 3" xfId="7285"/>
    <cellStyle name="40% - Accent6 10 4" xfId="7286"/>
    <cellStyle name="40% - Accent6 10 4 2" xfId="7287"/>
    <cellStyle name="40% - Accent6 10 5" xfId="7288"/>
    <cellStyle name="40% - Accent6 10 5 2" xfId="7289"/>
    <cellStyle name="40% - Accent6 10 6" xfId="7290"/>
    <cellStyle name="40% - Accent6 10 7" xfId="7291"/>
    <cellStyle name="40% - Accent6 11" xfId="7292"/>
    <cellStyle name="40% - Accent6 11 2" xfId="7293"/>
    <cellStyle name="40% - Accent6 11 2 2" xfId="7294"/>
    <cellStyle name="40% - Accent6 11 3" xfId="7295"/>
    <cellStyle name="40% - Accent6 12" xfId="7296"/>
    <cellStyle name="40% - Accent6 12 2" xfId="7297"/>
    <cellStyle name="40% - Accent6 13" xfId="7298"/>
    <cellStyle name="40% - Accent6 13 2" xfId="7299"/>
    <cellStyle name="40% - Accent6 14" xfId="7300"/>
    <cellStyle name="40% - Accent6 14 2" xfId="7301"/>
    <cellStyle name="40% - Accent6 14 3" xfId="7302"/>
    <cellStyle name="40% - Accent6 15" xfId="7303"/>
    <cellStyle name="40% - Accent6 15 2" xfId="7304"/>
    <cellStyle name="40% - Accent6 16" xfId="7305"/>
    <cellStyle name="40% - Accent6 16 2" xfId="7306"/>
    <cellStyle name="40% - Accent6 17" xfId="7307"/>
    <cellStyle name="40% - Accent6 17 2" xfId="7308"/>
    <cellStyle name="40% - Accent6 18" xfId="7309"/>
    <cellStyle name="40% - Accent6 19" xfId="7310"/>
    <cellStyle name="40% - Accent6 2" xfId="7311"/>
    <cellStyle name="40% - Accent6 2 10" xfId="7312"/>
    <cellStyle name="40% - Accent6 2 10 2" xfId="7313"/>
    <cellStyle name="40% - Accent6 2 11" xfId="7314"/>
    <cellStyle name="40% - Accent6 2 12" xfId="7315"/>
    <cellStyle name="40% - Accent6 2 12 2" xfId="7316"/>
    <cellStyle name="40% - Accent6 2 12 2 2" xfId="7317"/>
    <cellStyle name="40% - Accent6 2 12 3" xfId="7318"/>
    <cellStyle name="40% - Accent6 2 12 4" xfId="7319"/>
    <cellStyle name="40% - Accent6 2 12 4 2" xfId="7320"/>
    <cellStyle name="40% - Accent6 2 12 5" xfId="7321"/>
    <cellStyle name="40% - Accent6 2 13" xfId="7322"/>
    <cellStyle name="40% - Accent6 2 13 2" xfId="7323"/>
    <cellStyle name="40% - Accent6 2 13 2 2" xfId="7324"/>
    <cellStyle name="40% - Accent6 2 13 3" xfId="7325"/>
    <cellStyle name="40% - Accent6 2 14" xfId="7326"/>
    <cellStyle name="40% - Accent6 2 15" xfId="7327"/>
    <cellStyle name="40% - Accent6 2 2" xfId="7328"/>
    <cellStyle name="40% - Accent6 2 2 10" xfId="7329"/>
    <cellStyle name="40% - Accent6 2 2 10 2" xfId="7330"/>
    <cellStyle name="40% - Accent6 2 2 11" xfId="7331"/>
    <cellStyle name="40% - Accent6 2 2 2" xfId="7332"/>
    <cellStyle name="40% - Accent6 2 2 2 2" xfId="7333"/>
    <cellStyle name="40% - Accent6 2 2 2 2 2" xfId="7334"/>
    <cellStyle name="40% - Accent6 2 2 2 2 3" xfId="7335"/>
    <cellStyle name="40% - Accent6 2 2 2 3" xfId="7336"/>
    <cellStyle name="40% - Accent6 2 2 2 3 2" xfId="7337"/>
    <cellStyle name="40% - Accent6 2 2 2 4" xfId="7338"/>
    <cellStyle name="40% - Accent6 2 2 2 5" xfId="7339"/>
    <cellStyle name="40% - Accent6 2 2 3" xfId="7340"/>
    <cellStyle name="40% - Accent6 2 2 3 2" xfId="7341"/>
    <cellStyle name="40% - Accent6 2 2 3 2 2" xfId="7342"/>
    <cellStyle name="40% - Accent6 2 2 3 2 3" xfId="7343"/>
    <cellStyle name="40% - Accent6 2 2 3 3" xfId="7344"/>
    <cellStyle name="40% - Accent6 2 2 3 3 2" xfId="7345"/>
    <cellStyle name="40% - Accent6 2 2 3 4" xfId="7346"/>
    <cellStyle name="40% - Accent6 2 2 3 5" xfId="7347"/>
    <cellStyle name="40% - Accent6 2 2 4" xfId="7348"/>
    <cellStyle name="40% - Accent6 2 2 4 2" xfId="7349"/>
    <cellStyle name="40% - Accent6 2 2 4 2 2" xfId="7350"/>
    <cellStyle name="40% - Accent6 2 2 4 3" xfId="7351"/>
    <cellStyle name="40% - Accent6 2 2 4 4" xfId="7352"/>
    <cellStyle name="40% - Accent6 2 2 5" xfId="7353"/>
    <cellStyle name="40% - Accent6 2 2 5 2" xfId="7354"/>
    <cellStyle name="40% - Accent6 2 2 6" xfId="7355"/>
    <cellStyle name="40% - Accent6 2 2 6 2" xfId="7356"/>
    <cellStyle name="40% - Accent6 2 2 7" xfId="7357"/>
    <cellStyle name="40% - Accent6 2 2 8" xfId="7358"/>
    <cellStyle name="40% - Accent6 2 2 9" xfId="7359"/>
    <cellStyle name="40% - Accent6 2 2 9 2" xfId="7360"/>
    <cellStyle name="40% - Accent6 2 3" xfId="7361"/>
    <cellStyle name="40% - Accent6 2 3 2" xfId="7362"/>
    <cellStyle name="40% - Accent6 2 3 2 2" xfId="7363"/>
    <cellStyle name="40% - Accent6 2 3 2 2 2" xfId="7364"/>
    <cellStyle name="40% - Accent6 2 3 2 2 3" xfId="7365"/>
    <cellStyle name="40% - Accent6 2 3 2 3" xfId="7366"/>
    <cellStyle name="40% - Accent6 2 3 2 3 2" xfId="7367"/>
    <cellStyle name="40% - Accent6 2 3 2 4" xfId="7368"/>
    <cellStyle name="40% - Accent6 2 3 2 5" xfId="7369"/>
    <cellStyle name="40% - Accent6 2 3 3" xfId="7370"/>
    <cellStyle name="40% - Accent6 2 3 3 2" xfId="7371"/>
    <cellStyle name="40% - Accent6 2 3 3 2 2" xfId="7372"/>
    <cellStyle name="40% - Accent6 2 3 3 3" xfId="7373"/>
    <cellStyle name="40% - Accent6 2 3 3 4" xfId="7374"/>
    <cellStyle name="40% - Accent6 2 3 4" xfId="7375"/>
    <cellStyle name="40% - Accent6 2 3 5" xfId="7376"/>
    <cellStyle name="40% - Accent6 2 3 5 2" xfId="7377"/>
    <cellStyle name="40% - Accent6 2 3 6" xfId="7378"/>
    <cellStyle name="40% - Accent6 2 3 7" xfId="7379"/>
    <cellStyle name="40% - Accent6 2 3 8" xfId="7380"/>
    <cellStyle name="40% - Accent6 2 4" xfId="7381"/>
    <cellStyle name="40% - Accent6 2 4 2" xfId="7382"/>
    <cellStyle name="40% - Accent6 2 4 2 2" xfId="7383"/>
    <cellStyle name="40% - Accent6 2 4 2 2 2" xfId="7384"/>
    <cellStyle name="40% - Accent6 2 4 2 3" xfId="7385"/>
    <cellStyle name="40% - Accent6 2 4 2 4" xfId="7386"/>
    <cellStyle name="40% - Accent6 2 4 3" xfId="7387"/>
    <cellStyle name="40% - Accent6 2 4 3 2" xfId="7388"/>
    <cellStyle name="40% - Accent6 2 4 4" xfId="7389"/>
    <cellStyle name="40% - Accent6 2 4 4 2" xfId="7390"/>
    <cellStyle name="40% - Accent6 2 4 5" xfId="7391"/>
    <cellStyle name="40% - Accent6 2 4 6" xfId="7392"/>
    <cellStyle name="40% - Accent6 2 5" xfId="7393"/>
    <cellStyle name="40% - Accent6 2 5 2" xfId="7394"/>
    <cellStyle name="40% - Accent6 2 5 2 2" xfId="7395"/>
    <cellStyle name="40% - Accent6 2 5 3" xfId="7396"/>
    <cellStyle name="40% - Accent6 2 5 4" xfId="7397"/>
    <cellStyle name="40% - Accent6 2 6" xfId="7398"/>
    <cellStyle name="40% - Accent6 2 6 10" xfId="7399"/>
    <cellStyle name="40% - Accent6 2 6 2" xfId="7400"/>
    <cellStyle name="40% - Accent6 2 6 2 2" xfId="7401"/>
    <cellStyle name="40% - Accent6 2 6 2 2 2" xfId="7402"/>
    <cellStyle name="40% - Accent6 2 6 2 2 2 2" xfId="7403"/>
    <cellStyle name="40% - Accent6 2 6 2 2 3" xfId="7404"/>
    <cellStyle name="40% - Accent6 2 6 2 2 3 2" xfId="7405"/>
    <cellStyle name="40% - Accent6 2 6 2 2 4" xfId="7406"/>
    <cellStyle name="40% - Accent6 2 6 2 2 5" xfId="7407"/>
    <cellStyle name="40% - Accent6 2 6 2 3" xfId="7408"/>
    <cellStyle name="40% - Accent6 2 6 2 3 2" xfId="7409"/>
    <cellStyle name="40% - Accent6 2 6 2 3 2 2" xfId="7410"/>
    <cellStyle name="40% - Accent6 2 6 2 3 3" xfId="7411"/>
    <cellStyle name="40% - Accent6 2 6 2 4" xfId="7412"/>
    <cellStyle name="40% - Accent6 2 6 2 4 2" xfId="7413"/>
    <cellStyle name="40% - Accent6 2 6 2 5" xfId="7414"/>
    <cellStyle name="40% - Accent6 2 6 2 5 2" xfId="7415"/>
    <cellStyle name="40% - Accent6 2 6 2 6" xfId="7416"/>
    <cellStyle name="40% - Accent6 2 6 3" xfId="7417"/>
    <cellStyle name="40% - Accent6 2 6 3 2" xfId="7418"/>
    <cellStyle name="40% - Accent6 2 6 3 2 2" xfId="7419"/>
    <cellStyle name="40% - Accent6 2 6 3 2 2 2" xfId="7420"/>
    <cellStyle name="40% - Accent6 2 6 3 2 3" xfId="7421"/>
    <cellStyle name="40% - Accent6 2 6 3 2 3 2" xfId="7422"/>
    <cellStyle name="40% - Accent6 2 6 3 2 4" xfId="7423"/>
    <cellStyle name="40% - Accent6 2 6 3 2 5" xfId="7424"/>
    <cellStyle name="40% - Accent6 2 6 3 3" xfId="7425"/>
    <cellStyle name="40% - Accent6 2 6 3 3 2" xfId="7426"/>
    <cellStyle name="40% - Accent6 2 6 3 3 2 2" xfId="7427"/>
    <cellStyle name="40% - Accent6 2 6 3 3 3" xfId="7428"/>
    <cellStyle name="40% - Accent6 2 6 3 4" xfId="7429"/>
    <cellStyle name="40% - Accent6 2 6 3 4 2" xfId="7430"/>
    <cellStyle name="40% - Accent6 2 6 3 5" xfId="7431"/>
    <cellStyle name="40% - Accent6 2 6 3 5 2" xfId="7432"/>
    <cellStyle name="40% - Accent6 2 6 3 6" xfId="7433"/>
    <cellStyle name="40% - Accent6 2 6 4" xfId="7434"/>
    <cellStyle name="40% - Accent6 2 6 4 2" xfId="7435"/>
    <cellStyle name="40% - Accent6 2 6 4 2 2" xfId="7436"/>
    <cellStyle name="40% - Accent6 2 6 4 2 2 2" xfId="7437"/>
    <cellStyle name="40% - Accent6 2 6 4 2 3" xfId="7438"/>
    <cellStyle name="40% - Accent6 2 6 4 3" xfId="7439"/>
    <cellStyle name="40% - Accent6 2 6 4 3 2" xfId="7440"/>
    <cellStyle name="40% - Accent6 2 6 4 4" xfId="7441"/>
    <cellStyle name="40% - Accent6 2 6 4 4 2" xfId="7442"/>
    <cellStyle name="40% - Accent6 2 6 4 5" xfId="7443"/>
    <cellStyle name="40% - Accent6 2 6 5" xfId="7444"/>
    <cellStyle name="40% - Accent6 2 6 5 2" xfId="7445"/>
    <cellStyle name="40% - Accent6 2 6 5 2 2" xfId="7446"/>
    <cellStyle name="40% - Accent6 2 6 5 3" xfId="7447"/>
    <cellStyle name="40% - Accent6 2 6 5 3 2" xfId="7448"/>
    <cellStyle name="40% - Accent6 2 6 5 4" xfId="7449"/>
    <cellStyle name="40% - Accent6 2 6 6" xfId="7450"/>
    <cellStyle name="40% - Accent6 2 6 6 2" xfId="7451"/>
    <cellStyle name="40% - Accent6 2 6 6 2 2" xfId="7452"/>
    <cellStyle name="40% - Accent6 2 6 6 3" xfId="7453"/>
    <cellStyle name="40% - Accent6 2 6 7" xfId="7454"/>
    <cellStyle name="40% - Accent6 2 6 7 2" xfId="7455"/>
    <cellStyle name="40% - Accent6 2 6 7 3" xfId="7456"/>
    <cellStyle name="40% - Accent6 2 6 8" xfId="7457"/>
    <cellStyle name="40% - Accent6 2 6 8 2" xfId="7458"/>
    <cellStyle name="40% - Accent6 2 6 9" xfId="7459"/>
    <cellStyle name="40% - Accent6 2 7" xfId="7460"/>
    <cellStyle name="40% - Accent6 2 7 2" xfId="7461"/>
    <cellStyle name="40% - Accent6 2 7 2 2" xfId="7462"/>
    <cellStyle name="40% - Accent6 2 7 3" xfId="7463"/>
    <cellStyle name="40% - Accent6 2 7 4" xfId="7464"/>
    <cellStyle name="40% - Accent6 2 8" xfId="7465"/>
    <cellStyle name="40% - Accent6 2 8 2" xfId="7466"/>
    <cellStyle name="40% - Accent6 2 9" xfId="7467"/>
    <cellStyle name="40% - Accent6 2 9 2" xfId="7468"/>
    <cellStyle name="40% - Accent6 20" xfId="7469"/>
    <cellStyle name="40% - Accent6 3" xfId="7470"/>
    <cellStyle name="40% - Accent6 3 10" xfId="7471"/>
    <cellStyle name="40% - Accent6 3 2" xfId="7472"/>
    <cellStyle name="40% - Accent6 3 2 2" xfId="7473"/>
    <cellStyle name="40% - Accent6 3 2 2 2" xfId="7474"/>
    <cellStyle name="40% - Accent6 3 2 2 2 2" xfId="7475"/>
    <cellStyle name="40% - Accent6 3 2 2 3" xfId="7476"/>
    <cellStyle name="40% - Accent6 3 2 2 4" xfId="7477"/>
    <cellStyle name="40% - Accent6 3 2 2 5" xfId="7478"/>
    <cellStyle name="40% - Accent6 3 2 3" xfId="7479"/>
    <cellStyle name="40% - Accent6 3 2 3 2" xfId="7480"/>
    <cellStyle name="40% - Accent6 3 2 3 2 2" xfId="7481"/>
    <cellStyle name="40% - Accent6 3 2 3 3" xfId="7482"/>
    <cellStyle name="40% - Accent6 3 2 3 4" xfId="7483"/>
    <cellStyle name="40% - Accent6 3 2 4" xfId="7484"/>
    <cellStyle name="40% - Accent6 3 2 4 2" xfId="7485"/>
    <cellStyle name="40% - Accent6 3 2 5" xfId="7486"/>
    <cellStyle name="40% - Accent6 3 2 5 2" xfId="7487"/>
    <cellStyle name="40% - Accent6 3 2 6" xfId="7488"/>
    <cellStyle name="40% - Accent6 3 2 7" xfId="7489"/>
    <cellStyle name="40% - Accent6 3 2 8" xfId="7490"/>
    <cellStyle name="40% - Accent6 3 3" xfId="7491"/>
    <cellStyle name="40% - Accent6 3 3 2" xfId="7492"/>
    <cellStyle name="40% - Accent6 3 3 2 2" xfId="7493"/>
    <cellStyle name="40% - Accent6 3 3 2 2 2" xfId="7494"/>
    <cellStyle name="40% - Accent6 3 3 2 3" xfId="7495"/>
    <cellStyle name="40% - Accent6 3 3 2 4" xfId="7496"/>
    <cellStyle name="40% - Accent6 3 3 3" xfId="7497"/>
    <cellStyle name="40% - Accent6 3 3 3 2" xfId="7498"/>
    <cellStyle name="40% - Accent6 3 3 4" xfId="7499"/>
    <cellStyle name="40% - Accent6 3 3 4 2" xfId="7500"/>
    <cellStyle name="40% - Accent6 3 3 5" xfId="7501"/>
    <cellStyle name="40% - Accent6 3 3 6" xfId="7502"/>
    <cellStyle name="40% - Accent6 3 3 7" xfId="7503"/>
    <cellStyle name="40% - Accent6 3 4" xfId="7504"/>
    <cellStyle name="40% - Accent6 3 4 2" xfId="7505"/>
    <cellStyle name="40% - Accent6 3 4 2 2" xfId="7506"/>
    <cellStyle name="40% - Accent6 3 4 3" xfId="7507"/>
    <cellStyle name="40% - Accent6 3 4 4" xfId="7508"/>
    <cellStyle name="40% - Accent6 3 5" xfId="7509"/>
    <cellStyle name="40% - Accent6 3 5 2" xfId="7510"/>
    <cellStyle name="40% - Accent6 3 6" xfId="7511"/>
    <cellStyle name="40% - Accent6 3 7" xfId="7512"/>
    <cellStyle name="40% - Accent6 3 7 2" xfId="7513"/>
    <cellStyle name="40% - Accent6 3 8" xfId="7514"/>
    <cellStyle name="40% - Accent6 3 9" xfId="7515"/>
    <cellStyle name="40% - Accent6 3 9 2" xfId="7516"/>
    <cellStyle name="40% - Accent6 4" xfId="7517"/>
    <cellStyle name="40% - Accent6 4 2" xfId="7518"/>
    <cellStyle name="40% - Accent6 4 2 2" xfId="7519"/>
    <cellStyle name="40% - Accent6 4 2 2 2" xfId="7520"/>
    <cellStyle name="40% - Accent6 4 2 2 2 2" xfId="7521"/>
    <cellStyle name="40% - Accent6 4 2 2 3" xfId="7522"/>
    <cellStyle name="40% - Accent6 4 2 2 4" xfId="7523"/>
    <cellStyle name="40% - Accent6 4 2 3" xfId="7524"/>
    <cellStyle name="40% - Accent6 4 2 3 2" xfId="7525"/>
    <cellStyle name="40% - Accent6 4 2 4" xfId="7526"/>
    <cellStyle name="40% - Accent6 4 2 4 2" xfId="7527"/>
    <cellStyle name="40% - Accent6 4 2 5" xfId="7528"/>
    <cellStyle name="40% - Accent6 4 2 6" xfId="7529"/>
    <cellStyle name="40% - Accent6 4 3" xfId="7530"/>
    <cellStyle name="40% - Accent6 4 3 2" xfId="7531"/>
    <cellStyle name="40% - Accent6 4 3 3" xfId="7532"/>
    <cellStyle name="40% - Accent6 4 3 3 2" xfId="7533"/>
    <cellStyle name="40% - Accent6 4 3 4" xfId="7534"/>
    <cellStyle name="40% - Accent6 4 4" xfId="7535"/>
    <cellStyle name="40% - Accent6 4 4 2" xfId="7536"/>
    <cellStyle name="40% - Accent6 4 4 2 2" xfId="7537"/>
    <cellStyle name="40% - Accent6 4 4 3" xfId="7538"/>
    <cellStyle name="40% - Accent6 4 4 4" xfId="7539"/>
    <cellStyle name="40% - Accent6 4 5" xfId="7540"/>
    <cellStyle name="40% - Accent6 4 5 2" xfId="7541"/>
    <cellStyle name="40% - Accent6 4 6" xfId="7542"/>
    <cellStyle name="40% - Accent6 4 6 2" xfId="7543"/>
    <cellStyle name="40% - Accent6 4 7" xfId="7544"/>
    <cellStyle name="40% - Accent6 4 7 2" xfId="7545"/>
    <cellStyle name="40% - Accent6 4 8" xfId="7546"/>
    <cellStyle name="40% - Accent6 4 9" xfId="7547"/>
    <cellStyle name="40% - Accent6 5" xfId="7548"/>
    <cellStyle name="40% - Accent6 5 10" xfId="7549"/>
    <cellStyle name="40% - Accent6 5 11" xfId="7550"/>
    <cellStyle name="40% - Accent6 5 2" xfId="7551"/>
    <cellStyle name="40% - Accent6 5 2 2" xfId="7552"/>
    <cellStyle name="40% - Accent6 5 2 2 2" xfId="7553"/>
    <cellStyle name="40% - Accent6 5 2 2 2 2" xfId="7554"/>
    <cellStyle name="40% - Accent6 5 2 2 2 2 2" xfId="7555"/>
    <cellStyle name="40% - Accent6 5 2 2 2 3" xfId="7556"/>
    <cellStyle name="40% - Accent6 5 2 2 2 3 2" xfId="7557"/>
    <cellStyle name="40% - Accent6 5 2 2 2 4" xfId="7558"/>
    <cellStyle name="40% - Accent6 5 2 2 2 4 2" xfId="7559"/>
    <cellStyle name="40% - Accent6 5 2 2 2 5" xfId="7560"/>
    <cellStyle name="40% - Accent6 5 2 2 3" xfId="7561"/>
    <cellStyle name="40% - Accent6 5 2 2 3 2" xfId="7562"/>
    <cellStyle name="40% - Accent6 5 2 2 3 2 2" xfId="7563"/>
    <cellStyle name="40% - Accent6 5 2 2 3 3" xfId="7564"/>
    <cellStyle name="40% - Accent6 5 2 2 3 3 2" xfId="7565"/>
    <cellStyle name="40% - Accent6 5 2 2 3 4" xfId="7566"/>
    <cellStyle name="40% - Accent6 5 2 2 4" xfId="7567"/>
    <cellStyle name="40% - Accent6 5 2 2 4 2" xfId="7568"/>
    <cellStyle name="40% - Accent6 5 2 2 4 2 2" xfId="7569"/>
    <cellStyle name="40% - Accent6 5 2 2 4 3" xfId="7570"/>
    <cellStyle name="40% - Accent6 5 2 2 4 3 2" xfId="7571"/>
    <cellStyle name="40% - Accent6 5 2 2 4 4" xfId="7572"/>
    <cellStyle name="40% - Accent6 5 2 2 5" xfId="7573"/>
    <cellStyle name="40% - Accent6 5 2 2 5 2" xfId="7574"/>
    <cellStyle name="40% - Accent6 5 2 2 5 2 2" xfId="7575"/>
    <cellStyle name="40% - Accent6 5 2 2 5 3" xfId="7576"/>
    <cellStyle name="40% - Accent6 5 2 2 5 3 2" xfId="7577"/>
    <cellStyle name="40% - Accent6 5 2 2 5 4" xfId="7578"/>
    <cellStyle name="40% - Accent6 5 2 2 6" xfId="7579"/>
    <cellStyle name="40% - Accent6 5 2 2 7" xfId="7580"/>
    <cellStyle name="40% - Accent6 5 2 3" xfId="7581"/>
    <cellStyle name="40% - Accent6 5 2 4" xfId="7582"/>
    <cellStyle name="40% - Accent6 5 2 5" xfId="7583"/>
    <cellStyle name="40% - Accent6 5 2 5 2" xfId="7584"/>
    <cellStyle name="40% - Accent6 5 2 6" xfId="7585"/>
    <cellStyle name="40% - Accent6 5 3" xfId="7586"/>
    <cellStyle name="40% - Accent6 5 3 2" xfId="7587"/>
    <cellStyle name="40% - Accent6 5 3 2 2" xfId="7588"/>
    <cellStyle name="40% - Accent6 5 3 3" xfId="7589"/>
    <cellStyle name="40% - Accent6 5 3 4" xfId="7590"/>
    <cellStyle name="40% - Accent6 5 3 5" xfId="7591"/>
    <cellStyle name="40% - Accent6 5 3 5 2" xfId="7592"/>
    <cellStyle name="40% - Accent6 5 3 6" xfId="7593"/>
    <cellStyle name="40% - Accent6 5 4" xfId="7594"/>
    <cellStyle name="40% - Accent6 5 4 2" xfId="7595"/>
    <cellStyle name="40% - Accent6 5 5" xfId="7596"/>
    <cellStyle name="40% - Accent6 5 5 2" xfId="7597"/>
    <cellStyle name="40% - Accent6 5 5 2 2" xfId="7598"/>
    <cellStyle name="40% - Accent6 5 5 2 2 2" xfId="7599"/>
    <cellStyle name="40% - Accent6 5 5 2 3" xfId="7600"/>
    <cellStyle name="40% - Accent6 5 5 2 3 2" xfId="7601"/>
    <cellStyle name="40% - Accent6 5 5 2 4" xfId="7602"/>
    <cellStyle name="40% - Accent6 5 5 2 4 2" xfId="7603"/>
    <cellStyle name="40% - Accent6 5 5 2 5" xfId="7604"/>
    <cellStyle name="40% - Accent6 5 5 3" xfId="7605"/>
    <cellStyle name="40% - Accent6 5 5 3 2" xfId="7606"/>
    <cellStyle name="40% - Accent6 5 5 3 2 2" xfId="7607"/>
    <cellStyle name="40% - Accent6 5 5 3 3" xfId="7608"/>
    <cellStyle name="40% - Accent6 5 5 3 3 2" xfId="7609"/>
    <cellStyle name="40% - Accent6 5 5 3 4" xfId="7610"/>
    <cellStyle name="40% - Accent6 5 5 4" xfId="7611"/>
    <cellStyle name="40% - Accent6 5 5 4 2" xfId="7612"/>
    <cellStyle name="40% - Accent6 5 5 4 2 2" xfId="7613"/>
    <cellStyle name="40% - Accent6 5 5 4 3" xfId="7614"/>
    <cellStyle name="40% - Accent6 5 5 4 3 2" xfId="7615"/>
    <cellStyle name="40% - Accent6 5 5 4 4" xfId="7616"/>
    <cellStyle name="40% - Accent6 5 5 5" xfId="7617"/>
    <cellStyle name="40% - Accent6 5 5 5 2" xfId="7618"/>
    <cellStyle name="40% - Accent6 5 5 5 2 2" xfId="7619"/>
    <cellStyle name="40% - Accent6 5 5 5 3" xfId="7620"/>
    <cellStyle name="40% - Accent6 5 5 5 3 2" xfId="7621"/>
    <cellStyle name="40% - Accent6 5 5 5 4" xfId="7622"/>
    <cellStyle name="40% - Accent6 5 5 6" xfId="7623"/>
    <cellStyle name="40% - Accent6 5 6" xfId="7624"/>
    <cellStyle name="40% - Accent6 5 6 2" xfId="7625"/>
    <cellStyle name="40% - Accent6 5 6 2 2" xfId="7626"/>
    <cellStyle name="40% - Accent6 5 6 2 2 2" xfId="7627"/>
    <cellStyle name="40% - Accent6 5 6 2 2 2 2" xfId="7628"/>
    <cellStyle name="40% - Accent6 5 6 2 2 3" xfId="7629"/>
    <cellStyle name="40% - Accent6 5 6 2 2 3 2" xfId="7630"/>
    <cellStyle name="40% - Accent6 5 6 2 2 4" xfId="7631"/>
    <cellStyle name="40% - Accent6 5 6 2 2 5" xfId="7632"/>
    <cellStyle name="40% - Accent6 5 6 2 3" xfId="7633"/>
    <cellStyle name="40% - Accent6 5 6 2 3 2" xfId="7634"/>
    <cellStyle name="40% - Accent6 5 6 2 3 2 2" xfId="7635"/>
    <cellStyle name="40% - Accent6 5 6 2 3 3" xfId="7636"/>
    <cellStyle name="40% - Accent6 5 6 2 4" xfId="7637"/>
    <cellStyle name="40% - Accent6 5 6 2 4 2" xfId="7638"/>
    <cellStyle name="40% - Accent6 5 6 2 5" xfId="7639"/>
    <cellStyle name="40% - Accent6 5 6 2 5 2" xfId="7640"/>
    <cellStyle name="40% - Accent6 5 6 2 6" xfId="7641"/>
    <cellStyle name="40% - Accent6 5 6 3" xfId="7642"/>
    <cellStyle name="40% - Accent6 5 6 3 2" xfId="7643"/>
    <cellStyle name="40% - Accent6 5 6 3 2 2" xfId="7644"/>
    <cellStyle name="40% - Accent6 5 6 3 2 2 2" xfId="7645"/>
    <cellStyle name="40% - Accent6 5 6 3 2 3" xfId="7646"/>
    <cellStyle name="40% - Accent6 5 6 3 2 3 2" xfId="7647"/>
    <cellStyle name="40% - Accent6 5 6 3 2 4" xfId="7648"/>
    <cellStyle name="40% - Accent6 5 6 3 2 5" xfId="7649"/>
    <cellStyle name="40% - Accent6 5 6 3 3" xfId="7650"/>
    <cellStyle name="40% - Accent6 5 6 3 3 2" xfId="7651"/>
    <cellStyle name="40% - Accent6 5 6 3 3 2 2" xfId="7652"/>
    <cellStyle name="40% - Accent6 5 6 3 3 3" xfId="7653"/>
    <cellStyle name="40% - Accent6 5 6 3 4" xfId="7654"/>
    <cellStyle name="40% - Accent6 5 6 3 4 2" xfId="7655"/>
    <cellStyle name="40% - Accent6 5 6 3 5" xfId="7656"/>
    <cellStyle name="40% - Accent6 5 6 3 5 2" xfId="7657"/>
    <cellStyle name="40% - Accent6 5 6 3 6" xfId="7658"/>
    <cellStyle name="40% - Accent6 5 6 4" xfId="7659"/>
    <cellStyle name="40% - Accent6 5 6 4 2" xfId="7660"/>
    <cellStyle name="40% - Accent6 5 6 4 2 2" xfId="7661"/>
    <cellStyle name="40% - Accent6 5 6 4 3" xfId="7662"/>
    <cellStyle name="40% - Accent6 5 6 4 3 2" xfId="7663"/>
    <cellStyle name="40% - Accent6 5 6 4 4" xfId="7664"/>
    <cellStyle name="40% - Accent6 5 6 5" xfId="7665"/>
    <cellStyle name="40% - Accent6 5 6 5 2" xfId="7666"/>
    <cellStyle name="40% - Accent6 5 6 5 3" xfId="7667"/>
    <cellStyle name="40% - Accent6 5 6 6" xfId="7668"/>
    <cellStyle name="40% - Accent6 5 6 6 2" xfId="7669"/>
    <cellStyle name="40% - Accent6 5 6 6 3" xfId="7670"/>
    <cellStyle name="40% - Accent6 5 6 7" xfId="7671"/>
    <cellStyle name="40% - Accent6 5 6 7 2" xfId="7672"/>
    <cellStyle name="40% - Accent6 5 6 7 3" xfId="7673"/>
    <cellStyle name="40% - Accent6 5 6 8" xfId="7674"/>
    <cellStyle name="40% - Accent6 5 7" xfId="7675"/>
    <cellStyle name="40% - Accent6 5 7 2" xfId="7676"/>
    <cellStyle name="40% - Accent6 5 7 2 2" xfId="7677"/>
    <cellStyle name="40% - Accent6 5 7 2 2 2" xfId="7678"/>
    <cellStyle name="40% - Accent6 5 7 2 3" xfId="7679"/>
    <cellStyle name="40% - Accent6 5 7 2 3 2" xfId="7680"/>
    <cellStyle name="40% - Accent6 5 7 2 4" xfId="7681"/>
    <cellStyle name="40% - Accent6 5 7 2 4 2" xfId="7682"/>
    <cellStyle name="40% - Accent6 5 7 2 5" xfId="7683"/>
    <cellStyle name="40% - Accent6 5 7 3" xfId="7684"/>
    <cellStyle name="40% - Accent6 5 7 3 2" xfId="7685"/>
    <cellStyle name="40% - Accent6 5 7 3 2 2" xfId="7686"/>
    <cellStyle name="40% - Accent6 5 7 3 3" xfId="7687"/>
    <cellStyle name="40% - Accent6 5 7 3 3 2" xfId="7688"/>
    <cellStyle name="40% - Accent6 5 7 3 4" xfId="7689"/>
    <cellStyle name="40% - Accent6 5 7 4" xfId="7690"/>
    <cellStyle name="40% - Accent6 5 7 4 2" xfId="7691"/>
    <cellStyle name="40% - Accent6 5 7 5" xfId="7692"/>
    <cellStyle name="40% - Accent6 5 7 5 2" xfId="7693"/>
    <cellStyle name="40% - Accent6 5 7 6" xfId="7694"/>
    <cellStyle name="40% - Accent6 5 7 7" xfId="7695"/>
    <cellStyle name="40% - Accent6 5 8" xfId="7696"/>
    <cellStyle name="40% - Accent6 5 8 2" xfId="7697"/>
    <cellStyle name="40% - Accent6 5 8 2 2" xfId="7698"/>
    <cellStyle name="40% - Accent6 5 8 2 2 2" xfId="7699"/>
    <cellStyle name="40% - Accent6 5 8 2 3" xfId="7700"/>
    <cellStyle name="40% - Accent6 5 8 2 3 2" xfId="7701"/>
    <cellStyle name="40% - Accent6 5 8 2 4" xfId="7702"/>
    <cellStyle name="40% - Accent6 5 8 3" xfId="7703"/>
    <cellStyle name="40% - Accent6 5 8 3 2" xfId="7704"/>
    <cellStyle name="40% - Accent6 5 8 4" xfId="7705"/>
    <cellStyle name="40% - Accent6 5 9" xfId="7706"/>
    <cellStyle name="40% - Accent6 5 9 2" xfId="7707"/>
    <cellStyle name="40% - Accent6 6" xfId="7708"/>
    <cellStyle name="40% - Accent6 6 10" xfId="7709"/>
    <cellStyle name="40% - Accent6 6 2" xfId="7710"/>
    <cellStyle name="40% - Accent6 6 2 2" xfId="7711"/>
    <cellStyle name="40% - Accent6 6 2 2 2" xfId="7712"/>
    <cellStyle name="40% - Accent6 6 2 3" xfId="7713"/>
    <cellStyle name="40% - Accent6 6 2 4" xfId="7714"/>
    <cellStyle name="40% - Accent6 6 2 5" xfId="7715"/>
    <cellStyle name="40% - Accent6 6 2 5 2" xfId="7716"/>
    <cellStyle name="40% - Accent6 6 2 5 2 2" xfId="7717"/>
    <cellStyle name="40% - Accent6 6 2 5 3" xfId="7718"/>
    <cellStyle name="40% - Accent6 6 2 5 3 2" xfId="7719"/>
    <cellStyle name="40% - Accent6 6 2 5 4" xfId="7720"/>
    <cellStyle name="40% - Accent6 6 2 5 5" xfId="7721"/>
    <cellStyle name="40% - Accent6 6 2 6" xfId="7722"/>
    <cellStyle name="40% - Accent6 6 2 6 2" xfId="7723"/>
    <cellStyle name="40% - Accent6 6 2 7" xfId="7724"/>
    <cellStyle name="40% - Accent6 6 2 7 2" xfId="7725"/>
    <cellStyle name="40% - Accent6 6 2 8" xfId="7726"/>
    <cellStyle name="40% - Accent6 6 2 8 2" xfId="7727"/>
    <cellStyle name="40% - Accent6 6 2 9" xfId="7728"/>
    <cellStyle name="40% - Accent6 6 3" xfId="7729"/>
    <cellStyle name="40% - Accent6 6 3 2" xfId="7730"/>
    <cellStyle name="40% - Accent6 6 3 3" xfId="7731"/>
    <cellStyle name="40% - Accent6 6 3 4" xfId="7732"/>
    <cellStyle name="40% - Accent6 6 3 4 2" xfId="7733"/>
    <cellStyle name="40% - Accent6 6 3 5" xfId="7734"/>
    <cellStyle name="40% - Accent6 6 3 5 2" xfId="7735"/>
    <cellStyle name="40% - Accent6 6 4" xfId="7736"/>
    <cellStyle name="40% - Accent6 6 4 2" xfId="7737"/>
    <cellStyle name="40% - Accent6 6 4 2 2" xfId="7738"/>
    <cellStyle name="40% - Accent6 6 4 2 2 2" xfId="7739"/>
    <cellStyle name="40% - Accent6 6 4 2 2 2 2" xfId="7740"/>
    <cellStyle name="40% - Accent6 6 4 2 2 3" xfId="7741"/>
    <cellStyle name="40% - Accent6 6 4 2 2 3 2" xfId="7742"/>
    <cellStyle name="40% - Accent6 6 4 2 2 4" xfId="7743"/>
    <cellStyle name="40% - Accent6 6 4 2 2 5" xfId="7744"/>
    <cellStyle name="40% - Accent6 6 4 2 3" xfId="7745"/>
    <cellStyle name="40% - Accent6 6 4 2 3 2" xfId="7746"/>
    <cellStyle name="40% - Accent6 6 4 2 3 2 2" xfId="7747"/>
    <cellStyle name="40% - Accent6 6 4 2 3 3" xfId="7748"/>
    <cellStyle name="40% - Accent6 6 4 2 4" xfId="7749"/>
    <cellStyle name="40% - Accent6 6 4 2 4 2" xfId="7750"/>
    <cellStyle name="40% - Accent6 6 4 2 5" xfId="7751"/>
    <cellStyle name="40% - Accent6 6 4 2 5 2" xfId="7752"/>
    <cellStyle name="40% - Accent6 6 4 2 6" xfId="7753"/>
    <cellStyle name="40% - Accent6 6 4 3" xfId="7754"/>
    <cellStyle name="40% - Accent6 6 4 3 2" xfId="7755"/>
    <cellStyle name="40% - Accent6 6 4 3 2 2" xfId="7756"/>
    <cellStyle name="40% - Accent6 6 4 3 3" xfId="7757"/>
    <cellStyle name="40% - Accent6 6 4 3 3 2" xfId="7758"/>
    <cellStyle name="40% - Accent6 6 4 3 4" xfId="7759"/>
    <cellStyle name="40% - Accent6 6 4 4" xfId="7760"/>
    <cellStyle name="40% - Accent6 6 4 4 2" xfId="7761"/>
    <cellStyle name="40% - Accent6 6 4 4 3" xfId="7762"/>
    <cellStyle name="40% - Accent6 6 4 5" xfId="7763"/>
    <cellStyle name="40% - Accent6 6 4 5 2" xfId="7764"/>
    <cellStyle name="40% - Accent6 6 4 5 3" xfId="7765"/>
    <cellStyle name="40% - Accent6 6 4 6" xfId="7766"/>
    <cellStyle name="40% - Accent6 6 4 6 2" xfId="7767"/>
    <cellStyle name="40% - Accent6 6 4 6 3" xfId="7768"/>
    <cellStyle name="40% - Accent6 6 4 7" xfId="7769"/>
    <cellStyle name="40% - Accent6 6 4 8" xfId="7770"/>
    <cellStyle name="40% - Accent6 6 5" xfId="7771"/>
    <cellStyle name="40% - Accent6 6 5 2" xfId="7772"/>
    <cellStyle name="40% - Accent6 6 5 2 2" xfId="7773"/>
    <cellStyle name="40% - Accent6 6 5 2 2 2" xfId="7774"/>
    <cellStyle name="40% - Accent6 6 5 2 3" xfId="7775"/>
    <cellStyle name="40% - Accent6 6 5 2 3 2" xfId="7776"/>
    <cellStyle name="40% - Accent6 6 5 2 4" xfId="7777"/>
    <cellStyle name="40% - Accent6 6 5 3" xfId="7778"/>
    <cellStyle name="40% - Accent6 6 5 3 2" xfId="7779"/>
    <cellStyle name="40% - Accent6 6 5 3 3" xfId="7780"/>
    <cellStyle name="40% - Accent6 6 5 4" xfId="7781"/>
    <cellStyle name="40% - Accent6 6 5 4 2" xfId="7782"/>
    <cellStyle name="40% - Accent6 6 5 4 3" xfId="7783"/>
    <cellStyle name="40% - Accent6 6 5 5" xfId="7784"/>
    <cellStyle name="40% - Accent6 6 5 5 2" xfId="7785"/>
    <cellStyle name="40% - Accent6 6 5 5 3" xfId="7786"/>
    <cellStyle name="40% - Accent6 6 5 6" xfId="7787"/>
    <cellStyle name="40% - Accent6 6 6" xfId="7788"/>
    <cellStyle name="40% - Accent6 6 7" xfId="7789"/>
    <cellStyle name="40% - Accent6 6 7 2" xfId="7790"/>
    <cellStyle name="40% - Accent6 6 7 2 2" xfId="7791"/>
    <cellStyle name="40% - Accent6 6 7 3" xfId="7792"/>
    <cellStyle name="40% - Accent6 6 7 3 2" xfId="7793"/>
    <cellStyle name="40% - Accent6 6 7 4" xfId="7794"/>
    <cellStyle name="40% - Accent6 6 7 5" xfId="7795"/>
    <cellStyle name="40% - Accent6 6 8" xfId="7796"/>
    <cellStyle name="40% - Accent6 6 8 2" xfId="7797"/>
    <cellStyle name="40% - Accent6 6 8 2 2" xfId="7798"/>
    <cellStyle name="40% - Accent6 6 8 3" xfId="7799"/>
    <cellStyle name="40% - Accent6 6 9" xfId="7800"/>
    <cellStyle name="40% - Accent6 6 9 2" xfId="7801"/>
    <cellStyle name="40% - Accent6 7" xfId="7802"/>
    <cellStyle name="40% - Accent6 7 2" xfId="7803"/>
    <cellStyle name="40% - Accent6 7 2 2" xfId="7804"/>
    <cellStyle name="40% - Accent6 7 2 2 2" xfId="7805"/>
    <cellStyle name="40% - Accent6 7 2 2 2 2" xfId="7806"/>
    <cellStyle name="40% - Accent6 7 2 2 3" xfId="7807"/>
    <cellStyle name="40% - Accent6 7 2 2 3 2" xfId="7808"/>
    <cellStyle name="40% - Accent6 7 2 2 4" xfId="7809"/>
    <cellStyle name="40% - Accent6 7 2 3" xfId="7810"/>
    <cellStyle name="40% - Accent6 7 2 3 2" xfId="7811"/>
    <cellStyle name="40% - Accent6 7 2 3 2 2" xfId="7812"/>
    <cellStyle name="40% - Accent6 7 2 3 3" xfId="7813"/>
    <cellStyle name="40% - Accent6 7 2 4" xfId="7814"/>
    <cellStyle name="40% - Accent6 7 2 4 2" xfId="7815"/>
    <cellStyle name="40% - Accent6 7 2 4 2 2" xfId="7816"/>
    <cellStyle name="40% - Accent6 7 2 4 3" xfId="7817"/>
    <cellStyle name="40% - Accent6 7 2 4 3 2" xfId="7818"/>
    <cellStyle name="40% - Accent6 7 2 4 4" xfId="7819"/>
    <cellStyle name="40% - Accent6 7 2 5" xfId="7820"/>
    <cellStyle name="40% - Accent6 7 2 5 2" xfId="7821"/>
    <cellStyle name="40% - Accent6 7 2 5 2 2" xfId="7822"/>
    <cellStyle name="40% - Accent6 7 2 6" xfId="7823"/>
    <cellStyle name="40% - Accent6 7 3" xfId="7824"/>
    <cellStyle name="40% - Accent6 7 3 2" xfId="7825"/>
    <cellStyle name="40% - Accent6 7 3 2 2" xfId="7826"/>
    <cellStyle name="40% - Accent6 7 3 2 2 2" xfId="7827"/>
    <cellStyle name="40% - Accent6 7 3 2 3" xfId="7828"/>
    <cellStyle name="40% - Accent6 7 3 2 3 2" xfId="7829"/>
    <cellStyle name="40% - Accent6 7 3 2 4" xfId="7830"/>
    <cellStyle name="40% - Accent6 7 3 3" xfId="7831"/>
    <cellStyle name="40% - Accent6 7 3 3 2" xfId="7832"/>
    <cellStyle name="40% - Accent6 7 3 3 2 2" xfId="7833"/>
    <cellStyle name="40% - Accent6 7 3 3 3" xfId="7834"/>
    <cellStyle name="40% - Accent6 7 3 3 3 2" xfId="7835"/>
    <cellStyle name="40% - Accent6 7 3 3 4" xfId="7836"/>
    <cellStyle name="40% - Accent6 7 3 4" xfId="7837"/>
    <cellStyle name="40% - Accent6 7 4" xfId="7838"/>
    <cellStyle name="40% - Accent6 7 4 2" xfId="7839"/>
    <cellStyle name="40% - Accent6 7 4 2 2" xfId="7840"/>
    <cellStyle name="40% - Accent6 7 4 3" xfId="7841"/>
    <cellStyle name="40% - Accent6 7 4 3 2" xfId="7842"/>
    <cellStyle name="40% - Accent6 7 4 4" xfId="7843"/>
    <cellStyle name="40% - Accent6 7 4 4 2" xfId="7844"/>
    <cellStyle name="40% - Accent6 7 4 5" xfId="7845"/>
    <cellStyle name="40% - Accent6 7 5" xfId="7846"/>
    <cellStyle name="40% - Accent6 7 5 2" xfId="7847"/>
    <cellStyle name="40% - Accent6 7 5 2 2" xfId="7848"/>
    <cellStyle name="40% - Accent6 7 5 2 2 2" xfId="7849"/>
    <cellStyle name="40% - Accent6 7 5 3" xfId="7850"/>
    <cellStyle name="40% - Accent6 7 5 3 2" xfId="7851"/>
    <cellStyle name="40% - Accent6 7 5 4" xfId="7852"/>
    <cellStyle name="40% - Accent6 7 6" xfId="7853"/>
    <cellStyle name="40% - Accent6 7 6 2" xfId="7854"/>
    <cellStyle name="40% - Accent6 7 7" xfId="7855"/>
    <cellStyle name="40% - Accent6 7 7 2" xfId="7856"/>
    <cellStyle name="40% - Accent6 7 8" xfId="7857"/>
    <cellStyle name="40% - Accent6 7 8 2" xfId="7858"/>
    <cellStyle name="40% - Accent6 7 9" xfId="7859"/>
    <cellStyle name="40% - Accent6 8" xfId="7860"/>
    <cellStyle name="40% - Accent6 8 2" xfId="7861"/>
    <cellStyle name="40% - Accent6 8 2 2" xfId="7862"/>
    <cellStyle name="40% - Accent6 8 2 2 2" xfId="7863"/>
    <cellStyle name="40% - Accent6 8 2 2 2 2" xfId="7864"/>
    <cellStyle name="40% - Accent6 8 2 2 3" xfId="7865"/>
    <cellStyle name="40% - Accent6 8 2 2 3 2" xfId="7866"/>
    <cellStyle name="40% - Accent6 8 2 2 4" xfId="7867"/>
    <cellStyle name="40% - Accent6 8 2 3" xfId="7868"/>
    <cellStyle name="40% - Accent6 8 2 3 2" xfId="7869"/>
    <cellStyle name="40% - Accent6 8 2 3 2 2" xfId="7870"/>
    <cellStyle name="40% - Accent6 8 2 3 3" xfId="7871"/>
    <cellStyle name="40% - Accent6 8 2 4" xfId="7872"/>
    <cellStyle name="40% - Accent6 8 2 4 2" xfId="7873"/>
    <cellStyle name="40% - Accent6 8 2 4 2 2" xfId="7874"/>
    <cellStyle name="40% - Accent6 8 2 4 3" xfId="7875"/>
    <cellStyle name="40% - Accent6 8 2 4 3 2" xfId="7876"/>
    <cellStyle name="40% - Accent6 8 2 4 4" xfId="7877"/>
    <cellStyle name="40% - Accent6 8 2 5" xfId="7878"/>
    <cellStyle name="40% - Accent6 8 2 5 2" xfId="7879"/>
    <cellStyle name="40% - Accent6 8 2 6" xfId="7880"/>
    <cellStyle name="40% - Accent6 8 3" xfId="7881"/>
    <cellStyle name="40% - Accent6 8 3 2" xfId="7882"/>
    <cellStyle name="40% - Accent6 8 3 2 2" xfId="7883"/>
    <cellStyle name="40% - Accent6 8 3 2 2 2" xfId="7884"/>
    <cellStyle name="40% - Accent6 8 3 2 3" xfId="7885"/>
    <cellStyle name="40% - Accent6 8 3 2 3 2" xfId="7886"/>
    <cellStyle name="40% - Accent6 8 3 2 4" xfId="7887"/>
    <cellStyle name="40% - Accent6 8 3 3" xfId="7888"/>
    <cellStyle name="40% - Accent6 8 3 3 2" xfId="7889"/>
    <cellStyle name="40% - Accent6 8 3 3 2 2" xfId="7890"/>
    <cellStyle name="40% - Accent6 8 3 3 3" xfId="7891"/>
    <cellStyle name="40% - Accent6 8 3 3 3 2" xfId="7892"/>
    <cellStyle name="40% - Accent6 8 3 3 4" xfId="7893"/>
    <cellStyle name="40% - Accent6 8 3 4" xfId="7894"/>
    <cellStyle name="40% - Accent6 8 3 4 2" xfId="7895"/>
    <cellStyle name="40% - Accent6 8 3 5" xfId="7896"/>
    <cellStyle name="40% - Accent6 8 3 5 2" xfId="7897"/>
    <cellStyle name="40% - Accent6 8 3 6" xfId="7898"/>
    <cellStyle name="40% - Accent6 8 4" xfId="7899"/>
    <cellStyle name="40% - Accent6 8 4 2" xfId="7900"/>
    <cellStyle name="40% - Accent6 8 4 2 2" xfId="7901"/>
    <cellStyle name="40% - Accent6 8 4 3" xfId="7902"/>
    <cellStyle name="40% - Accent6 8 5" xfId="7903"/>
    <cellStyle name="40% - Accent6 8 5 2" xfId="7904"/>
    <cellStyle name="40% - Accent6 8 6" xfId="7905"/>
    <cellStyle name="40% - Accent6 8 6 2" xfId="7906"/>
    <cellStyle name="40% - Accent6 8 7" xfId="7907"/>
    <cellStyle name="40% - Accent6 9" xfId="7908"/>
    <cellStyle name="40% - Accent6 9 2" xfId="7909"/>
    <cellStyle name="40% - Accent6 9 2 2" xfId="7910"/>
    <cellStyle name="40% - Accent6 9 2 2 2" xfId="7911"/>
    <cellStyle name="40% - Accent6 9 2 3" xfId="7912"/>
    <cellStyle name="40% - Accent6 9 2 3 2" xfId="7913"/>
    <cellStyle name="40% - Accent6 9 2 4" xfId="7914"/>
    <cellStyle name="40% - Accent6 9 2 4 2" xfId="7915"/>
    <cellStyle name="40% - Accent6 9 2 5" xfId="7916"/>
    <cellStyle name="40% - Accent6 9 3" xfId="7917"/>
    <cellStyle name="40% - Accent6 9 3 2" xfId="7918"/>
    <cellStyle name="40% - Accent6 9 3 2 2" xfId="7919"/>
    <cellStyle name="40% - Accent6 9 3 3" xfId="7920"/>
    <cellStyle name="40% - Accent6 9 3 3 2" xfId="7921"/>
    <cellStyle name="40% - Accent6 9 3 4" xfId="7922"/>
    <cellStyle name="40% - Accent6 9 4" xfId="7923"/>
    <cellStyle name="40% - Accent6 9 4 2" xfId="7924"/>
    <cellStyle name="40% - Accent6 9 4 2 2" xfId="7925"/>
    <cellStyle name="40% - Accent6 9 4 3" xfId="7926"/>
    <cellStyle name="40% - Accent6 9 5" xfId="7927"/>
    <cellStyle name="40% - Accent6 9 5 2" xfId="7928"/>
    <cellStyle name="40% - Accent6 9 6" xfId="7929"/>
    <cellStyle name="40% - Accent6 9 7" xfId="7930"/>
    <cellStyle name="60% - Accent1 2" xfId="7931"/>
    <cellStyle name="60% - Accent1 2 2" xfId="7932"/>
    <cellStyle name="60% - Accent1 2 2 2" xfId="7933"/>
    <cellStyle name="60% - Accent1 2 2 3" xfId="7934"/>
    <cellStyle name="60% - Accent1 2 2 4" xfId="7935"/>
    <cellStyle name="60% - Accent1 2 3" xfId="7936"/>
    <cellStyle name="60% - Accent1 2 3 2" xfId="7937"/>
    <cellStyle name="60% - Accent1 2 3 3" xfId="7938"/>
    <cellStyle name="60% - Accent1 2 4" xfId="7939"/>
    <cellStyle name="60% - Accent1 2 4 2" xfId="7940"/>
    <cellStyle name="60% - Accent1 2 4 3" xfId="7941"/>
    <cellStyle name="60% - Accent1 2 5" xfId="7942"/>
    <cellStyle name="60% - Accent1 2 6" xfId="7943"/>
    <cellStyle name="60% - Accent1 3" xfId="7944"/>
    <cellStyle name="60% - Accent1 3 2" xfId="7945"/>
    <cellStyle name="60% - Accent1 3 2 2" xfId="7946"/>
    <cellStyle name="60% - Accent1 3 2 3" xfId="7947"/>
    <cellStyle name="60% - Accent1 3 3" xfId="7948"/>
    <cellStyle name="60% - Accent1 3 4" xfId="7949"/>
    <cellStyle name="60% - Accent1 3 5" xfId="7950"/>
    <cellStyle name="60% - Accent1 4" xfId="7951"/>
    <cellStyle name="60% - Accent1 4 2" xfId="7952"/>
    <cellStyle name="60% - Accent1 4 3" xfId="7953"/>
    <cellStyle name="60% - Accent1 5" xfId="7954"/>
    <cellStyle name="60% - Accent1 5 2" xfId="7955"/>
    <cellStyle name="60% - Accent1 5 3" xfId="7956"/>
    <cellStyle name="60% - Accent1 6" xfId="7957"/>
    <cellStyle name="60% - Accent1 6 2" xfId="7958"/>
    <cellStyle name="60% - Accent1 6 3" xfId="7959"/>
    <cellStyle name="60% - Accent1 6 4" xfId="7960"/>
    <cellStyle name="60% - Accent2 2" xfId="7961"/>
    <cellStyle name="60% - Accent2 2 2" xfId="7962"/>
    <cellStyle name="60% - Accent2 2 2 2" xfId="7963"/>
    <cellStyle name="60% - Accent2 2 2 3" xfId="7964"/>
    <cellStyle name="60% - Accent2 2 2 4" xfId="7965"/>
    <cellStyle name="60% - Accent2 2 3" xfId="7966"/>
    <cellStyle name="60% - Accent2 2 3 2" xfId="7967"/>
    <cellStyle name="60% - Accent2 2 3 3" xfId="7968"/>
    <cellStyle name="60% - Accent2 2 4" xfId="7969"/>
    <cellStyle name="60% - Accent2 2 4 2" xfId="7970"/>
    <cellStyle name="60% - Accent2 2 4 3" xfId="7971"/>
    <cellStyle name="60% - Accent2 2 5" xfId="7972"/>
    <cellStyle name="60% - Accent2 2 6" xfId="7973"/>
    <cellStyle name="60% - Accent2 3" xfId="7974"/>
    <cellStyle name="60% - Accent2 3 2" xfId="7975"/>
    <cellStyle name="60% - Accent2 3 2 2" xfId="7976"/>
    <cellStyle name="60% - Accent2 3 2 3" xfId="7977"/>
    <cellStyle name="60% - Accent2 3 3" xfId="7978"/>
    <cellStyle name="60% - Accent2 3 4" xfId="7979"/>
    <cellStyle name="60% - Accent2 3 5" xfId="7980"/>
    <cellStyle name="60% - Accent2 4" xfId="7981"/>
    <cellStyle name="60% - Accent2 4 2" xfId="7982"/>
    <cellStyle name="60% - Accent2 4 3" xfId="7983"/>
    <cellStyle name="60% - Accent2 5" xfId="7984"/>
    <cellStyle name="60% - Accent2 5 2" xfId="7985"/>
    <cellStyle name="60% - Accent2 5 3" xfId="7986"/>
    <cellStyle name="60% - Accent2 6" xfId="7987"/>
    <cellStyle name="60% - Accent2 6 2" xfId="7988"/>
    <cellStyle name="60% - Accent2 6 3" xfId="7989"/>
    <cellStyle name="60% - Accent2 6 4" xfId="7990"/>
    <cellStyle name="60% - Accent3 2" xfId="7991"/>
    <cellStyle name="60% - Accent3 2 2" xfId="7992"/>
    <cellStyle name="60% - Accent3 2 2 2" xfId="7993"/>
    <cellStyle name="60% - Accent3 2 2 3" xfId="7994"/>
    <cellStyle name="60% - Accent3 2 2 4" xfId="7995"/>
    <cellStyle name="60% - Accent3 2 3" xfId="7996"/>
    <cellStyle name="60% - Accent3 2 3 2" xfId="7997"/>
    <cellStyle name="60% - Accent3 2 3 3" xfId="7998"/>
    <cellStyle name="60% - Accent3 2 4" xfId="7999"/>
    <cellStyle name="60% - Accent3 2 4 2" xfId="8000"/>
    <cellStyle name="60% - Accent3 2 4 3" xfId="8001"/>
    <cellStyle name="60% - Accent3 2 5" xfId="8002"/>
    <cellStyle name="60% - Accent3 2 6" xfId="8003"/>
    <cellStyle name="60% - Accent3 3" xfId="8004"/>
    <cellStyle name="60% - Accent3 3 2" xfId="8005"/>
    <cellStyle name="60% - Accent3 3 2 2" xfId="8006"/>
    <cellStyle name="60% - Accent3 3 2 3" xfId="8007"/>
    <cellStyle name="60% - Accent3 3 3" xfId="8008"/>
    <cellStyle name="60% - Accent3 3 4" xfId="8009"/>
    <cellStyle name="60% - Accent3 3 5" xfId="8010"/>
    <cellStyle name="60% - Accent3 4" xfId="8011"/>
    <cellStyle name="60% - Accent3 4 2" xfId="8012"/>
    <cellStyle name="60% - Accent3 4 3" xfId="8013"/>
    <cellStyle name="60% - Accent3 5" xfId="8014"/>
    <cellStyle name="60% - Accent3 5 2" xfId="8015"/>
    <cellStyle name="60% - Accent3 5 3" xfId="8016"/>
    <cellStyle name="60% - Accent3 6" xfId="8017"/>
    <cellStyle name="60% - Accent3 6 2" xfId="8018"/>
    <cellStyle name="60% - Accent3 6 3" xfId="8019"/>
    <cellStyle name="60% - Accent3 6 4" xfId="8020"/>
    <cellStyle name="60% - Accent4 2" xfId="8021"/>
    <cellStyle name="60% - Accent4 2 2" xfId="8022"/>
    <cellStyle name="60% - Accent4 2 2 2" xfId="8023"/>
    <cellStyle name="60% - Accent4 2 2 3" xfId="8024"/>
    <cellStyle name="60% - Accent4 2 2 4" xfId="8025"/>
    <cellStyle name="60% - Accent4 2 3" xfId="8026"/>
    <cellStyle name="60% - Accent4 2 3 2" xfId="8027"/>
    <cellStyle name="60% - Accent4 2 3 3" xfId="8028"/>
    <cellStyle name="60% - Accent4 2 4" xfId="8029"/>
    <cellStyle name="60% - Accent4 2 4 2" xfId="8030"/>
    <cellStyle name="60% - Accent4 2 4 3" xfId="8031"/>
    <cellStyle name="60% - Accent4 2 5" xfId="8032"/>
    <cellStyle name="60% - Accent4 2 6" xfId="8033"/>
    <cellStyle name="60% - Accent4 3" xfId="8034"/>
    <cellStyle name="60% - Accent4 3 2" xfId="8035"/>
    <cellStyle name="60% - Accent4 3 2 2" xfId="8036"/>
    <cellStyle name="60% - Accent4 3 2 3" xfId="8037"/>
    <cellStyle name="60% - Accent4 3 3" xfId="8038"/>
    <cellStyle name="60% - Accent4 3 4" xfId="8039"/>
    <cellStyle name="60% - Accent4 3 5" xfId="8040"/>
    <cellStyle name="60% - Accent4 4" xfId="8041"/>
    <cellStyle name="60% - Accent4 4 2" xfId="8042"/>
    <cellStyle name="60% - Accent4 4 3" xfId="8043"/>
    <cellStyle name="60% - Accent4 5" xfId="8044"/>
    <cellStyle name="60% - Accent4 5 2" xfId="8045"/>
    <cellStyle name="60% - Accent4 5 3" xfId="8046"/>
    <cellStyle name="60% - Accent4 6" xfId="8047"/>
    <cellStyle name="60% - Accent4 6 2" xfId="8048"/>
    <cellStyle name="60% - Accent4 6 3" xfId="8049"/>
    <cellStyle name="60% - Accent4 6 4" xfId="8050"/>
    <cellStyle name="60% - Accent5 2" xfId="8051"/>
    <cellStyle name="60% - Accent5 2 2" xfId="8052"/>
    <cellStyle name="60% - Accent5 2 2 2" xfId="8053"/>
    <cellStyle name="60% - Accent5 2 2 3" xfId="8054"/>
    <cellStyle name="60% - Accent5 2 2 4" xfId="8055"/>
    <cellStyle name="60% - Accent5 2 3" xfId="8056"/>
    <cellStyle name="60% - Accent5 2 3 2" xfId="8057"/>
    <cellStyle name="60% - Accent5 2 3 3" xfId="8058"/>
    <cellStyle name="60% - Accent5 2 4" xfId="8059"/>
    <cellStyle name="60% - Accent5 2 4 2" xfId="8060"/>
    <cellStyle name="60% - Accent5 2 4 3" xfId="8061"/>
    <cellStyle name="60% - Accent5 2 5" xfId="8062"/>
    <cellStyle name="60% - Accent5 2 6" xfId="8063"/>
    <cellStyle name="60% - Accent5 3" xfId="8064"/>
    <cellStyle name="60% - Accent5 3 2" xfId="8065"/>
    <cellStyle name="60% - Accent5 3 2 2" xfId="8066"/>
    <cellStyle name="60% - Accent5 3 2 3" xfId="8067"/>
    <cellStyle name="60% - Accent5 3 3" xfId="8068"/>
    <cellStyle name="60% - Accent5 3 4" xfId="8069"/>
    <cellStyle name="60% - Accent5 3 5" xfId="8070"/>
    <cellStyle name="60% - Accent5 4" xfId="8071"/>
    <cellStyle name="60% - Accent5 4 2" xfId="8072"/>
    <cellStyle name="60% - Accent5 4 3" xfId="8073"/>
    <cellStyle name="60% - Accent5 5" xfId="8074"/>
    <cellStyle name="60% - Accent5 5 2" xfId="8075"/>
    <cellStyle name="60% - Accent5 5 3" xfId="8076"/>
    <cellStyle name="60% - Accent5 6" xfId="8077"/>
    <cellStyle name="60% - Accent5 6 2" xfId="8078"/>
    <cellStyle name="60% - Accent5 6 3" xfId="8079"/>
    <cellStyle name="60% - Accent5 6 4" xfId="8080"/>
    <cellStyle name="60% - Accent6 2" xfId="8081"/>
    <cellStyle name="60% - Accent6 2 2" xfId="8082"/>
    <cellStyle name="60% - Accent6 2 2 2" xfId="8083"/>
    <cellStyle name="60% - Accent6 2 2 3" xfId="8084"/>
    <cellStyle name="60% - Accent6 2 2 4" xfId="8085"/>
    <cellStyle name="60% - Accent6 2 3" xfId="8086"/>
    <cellStyle name="60% - Accent6 2 3 2" xfId="8087"/>
    <cellStyle name="60% - Accent6 2 3 3" xfId="8088"/>
    <cellStyle name="60% - Accent6 2 4" xfId="8089"/>
    <cellStyle name="60% - Accent6 2 4 2" xfId="8090"/>
    <cellStyle name="60% - Accent6 2 4 3" xfId="8091"/>
    <cellStyle name="60% - Accent6 2 5" xfId="8092"/>
    <cellStyle name="60% - Accent6 2 6" xfId="8093"/>
    <cellStyle name="60% - Accent6 3" xfId="8094"/>
    <cellStyle name="60% - Accent6 3 2" xfId="8095"/>
    <cellStyle name="60% - Accent6 3 2 2" xfId="8096"/>
    <cellStyle name="60% - Accent6 3 2 3" xfId="8097"/>
    <cellStyle name="60% - Accent6 3 3" xfId="8098"/>
    <cellStyle name="60% - Accent6 3 4" xfId="8099"/>
    <cellStyle name="60% - Accent6 3 5" xfId="8100"/>
    <cellStyle name="60% - Accent6 4" xfId="8101"/>
    <cellStyle name="60% - Accent6 4 2" xfId="8102"/>
    <cellStyle name="60% - Accent6 4 3" xfId="8103"/>
    <cellStyle name="60% - Accent6 5" xfId="8104"/>
    <cellStyle name="60% - Accent6 5 2" xfId="8105"/>
    <cellStyle name="60% - Accent6 5 3" xfId="8106"/>
    <cellStyle name="60% - Accent6 6" xfId="8107"/>
    <cellStyle name="60% - Accent6 6 2" xfId="8108"/>
    <cellStyle name="60% - Accent6 6 3" xfId="8109"/>
    <cellStyle name="60% - Accent6 6 4" xfId="8110"/>
    <cellStyle name="Accent1 - 20%" xfId="8111"/>
    <cellStyle name="Accent1 - 40%" xfId="8112"/>
    <cellStyle name="Accent1 - 60%" xfId="8113"/>
    <cellStyle name="Accent1 2" xfId="8114"/>
    <cellStyle name="Accent1 2 2" xfId="8115"/>
    <cellStyle name="Accent1 2 2 2" xfId="8116"/>
    <cellStyle name="Accent1 2 2 3" xfId="8117"/>
    <cellStyle name="Accent1 2 2 4" xfId="8118"/>
    <cellStyle name="Accent1 2 3" xfId="8119"/>
    <cellStyle name="Accent1 2 3 2" xfId="8120"/>
    <cellStyle name="Accent1 2 3 3" xfId="8121"/>
    <cellStyle name="Accent1 2 4" xfId="8122"/>
    <cellStyle name="Accent1 2 4 2" xfId="8123"/>
    <cellStyle name="Accent1 2 4 3" xfId="8124"/>
    <cellStyle name="Accent1 2 5" xfId="8125"/>
    <cellStyle name="Accent1 2 6" xfId="8126"/>
    <cellStyle name="Accent1 3" xfId="8127"/>
    <cellStyle name="Accent1 3 2" xfId="8128"/>
    <cellStyle name="Accent1 3 2 2" xfId="8129"/>
    <cellStyle name="Accent1 3 2 3" xfId="8130"/>
    <cellStyle name="Accent1 3 3" xfId="8131"/>
    <cellStyle name="Accent1 3 4" xfId="8132"/>
    <cellStyle name="Accent1 3 5" xfId="8133"/>
    <cellStyle name="Accent1 4" xfId="8134"/>
    <cellStyle name="Accent1 4 2" xfId="8135"/>
    <cellStyle name="Accent1 4 3" xfId="8136"/>
    <cellStyle name="Accent1 5" xfId="8137"/>
    <cellStyle name="Accent1 5 2" xfId="8138"/>
    <cellStyle name="Accent1 5 3" xfId="8139"/>
    <cellStyle name="Accent1 6" xfId="8140"/>
    <cellStyle name="Accent1 6 2" xfId="8141"/>
    <cellStyle name="Accent1 6 3" xfId="8142"/>
    <cellStyle name="Accent1 6 4" xfId="8143"/>
    <cellStyle name="Accent1 7" xfId="15091"/>
    <cellStyle name="Accent2 - 20%" xfId="8144"/>
    <cellStyle name="Accent2 - 40%" xfId="8145"/>
    <cellStyle name="Accent2 - 60%" xfId="8146"/>
    <cellStyle name="Accent2 2" xfId="8147"/>
    <cellStyle name="Accent2 2 2" xfId="8148"/>
    <cellStyle name="Accent2 2 2 2" xfId="8149"/>
    <cellStyle name="Accent2 2 2 3" xfId="8150"/>
    <cellStyle name="Accent2 2 2 4" xfId="8151"/>
    <cellStyle name="Accent2 2 3" xfId="8152"/>
    <cellStyle name="Accent2 2 3 2" xfId="8153"/>
    <cellStyle name="Accent2 2 3 3" xfId="8154"/>
    <cellStyle name="Accent2 2 4" xfId="8155"/>
    <cellStyle name="Accent2 2 4 2" xfId="8156"/>
    <cellStyle name="Accent2 2 4 3" xfId="8157"/>
    <cellStyle name="Accent2 2 5" xfId="8158"/>
    <cellStyle name="Accent2 2 6" xfId="8159"/>
    <cellStyle name="Accent2 3" xfId="8160"/>
    <cellStyle name="Accent2 3 2" xfId="8161"/>
    <cellStyle name="Accent2 3 2 2" xfId="8162"/>
    <cellStyle name="Accent2 3 2 3" xfId="8163"/>
    <cellStyle name="Accent2 3 3" xfId="8164"/>
    <cellStyle name="Accent2 3 4" xfId="8165"/>
    <cellStyle name="Accent2 3 5" xfId="8166"/>
    <cellStyle name="Accent2 4" xfId="8167"/>
    <cellStyle name="Accent2 4 2" xfId="8168"/>
    <cellStyle name="Accent2 4 3" xfId="8169"/>
    <cellStyle name="Accent2 5" xfId="8170"/>
    <cellStyle name="Accent2 5 2" xfId="8171"/>
    <cellStyle name="Accent2 5 3" xfId="8172"/>
    <cellStyle name="Accent2 6" xfId="8173"/>
    <cellStyle name="Accent2 6 2" xfId="8174"/>
    <cellStyle name="Accent2 6 3" xfId="8175"/>
    <cellStyle name="Accent2 6 4" xfId="8176"/>
    <cellStyle name="Accent2 7" xfId="15092"/>
    <cellStyle name="Accent3 - 20%" xfId="8177"/>
    <cellStyle name="Accent3 - 40%" xfId="8178"/>
    <cellStyle name="Accent3 - 60%" xfId="8179"/>
    <cellStyle name="Accent3 2" xfId="8180"/>
    <cellStyle name="Accent3 2 2" xfId="8181"/>
    <cellStyle name="Accent3 2 2 2" xfId="8182"/>
    <cellStyle name="Accent3 2 2 3" xfId="8183"/>
    <cellStyle name="Accent3 2 2 4" xfId="8184"/>
    <cellStyle name="Accent3 2 3" xfId="8185"/>
    <cellStyle name="Accent3 2 3 2" xfId="8186"/>
    <cellStyle name="Accent3 2 3 3" xfId="8187"/>
    <cellStyle name="Accent3 2 4" xfId="8188"/>
    <cellStyle name="Accent3 2 4 2" xfId="8189"/>
    <cellStyle name="Accent3 2 4 3" xfId="8190"/>
    <cellStyle name="Accent3 2 5" xfId="8191"/>
    <cellStyle name="Accent3 2 6" xfId="8192"/>
    <cellStyle name="Accent3 3" xfId="8193"/>
    <cellStyle name="Accent3 3 2" xfId="8194"/>
    <cellStyle name="Accent3 3 2 2" xfId="8195"/>
    <cellStyle name="Accent3 3 2 3" xfId="8196"/>
    <cellStyle name="Accent3 3 3" xfId="8197"/>
    <cellStyle name="Accent3 3 4" xfId="8198"/>
    <cellStyle name="Accent3 3 5" xfId="8199"/>
    <cellStyle name="Accent3 4" xfId="8200"/>
    <cellStyle name="Accent3 4 2" xfId="8201"/>
    <cellStyle name="Accent3 4 3" xfId="8202"/>
    <cellStyle name="Accent3 5" xfId="8203"/>
    <cellStyle name="Accent3 5 2" xfId="8204"/>
    <cellStyle name="Accent3 5 3" xfId="8205"/>
    <cellStyle name="Accent3 6" xfId="8206"/>
    <cellStyle name="Accent3 6 2" xfId="8207"/>
    <cellStyle name="Accent3 6 3" xfId="8208"/>
    <cellStyle name="Accent3 6 4" xfId="8209"/>
    <cellStyle name="Accent3 7" xfId="15093"/>
    <cellStyle name="Accent4 - 20%" xfId="8210"/>
    <cellStyle name="Accent4 - 40%" xfId="8211"/>
    <cellStyle name="Accent4 - 60%" xfId="8212"/>
    <cellStyle name="Accent4 2" xfId="8213"/>
    <cellStyle name="Accent4 2 2" xfId="8214"/>
    <cellStyle name="Accent4 2 2 2" xfId="8215"/>
    <cellStyle name="Accent4 2 2 3" xfId="8216"/>
    <cellStyle name="Accent4 2 2 4" xfId="8217"/>
    <cellStyle name="Accent4 2 3" xfId="8218"/>
    <cellStyle name="Accent4 2 3 2" xfId="8219"/>
    <cellStyle name="Accent4 2 3 3" xfId="8220"/>
    <cellStyle name="Accent4 2 4" xfId="8221"/>
    <cellStyle name="Accent4 2 4 2" xfId="8222"/>
    <cellStyle name="Accent4 2 4 3" xfId="8223"/>
    <cellStyle name="Accent4 2 5" xfId="8224"/>
    <cellStyle name="Accent4 2 6" xfId="8225"/>
    <cellStyle name="Accent4 3" xfId="8226"/>
    <cellStyle name="Accent4 3 2" xfId="8227"/>
    <cellStyle name="Accent4 3 2 2" xfId="8228"/>
    <cellStyle name="Accent4 3 2 3" xfId="8229"/>
    <cellStyle name="Accent4 3 3" xfId="8230"/>
    <cellStyle name="Accent4 3 4" xfId="8231"/>
    <cellStyle name="Accent4 3 5" xfId="8232"/>
    <cellStyle name="Accent4 4" xfId="8233"/>
    <cellStyle name="Accent4 4 2" xfId="8234"/>
    <cellStyle name="Accent4 4 3" xfId="8235"/>
    <cellStyle name="Accent4 5" xfId="8236"/>
    <cellStyle name="Accent4 5 2" xfId="8237"/>
    <cellStyle name="Accent4 5 3" xfId="8238"/>
    <cellStyle name="Accent4 6" xfId="8239"/>
    <cellStyle name="Accent4 6 2" xfId="8240"/>
    <cellStyle name="Accent4 6 3" xfId="8241"/>
    <cellStyle name="Accent4 6 4" xfId="8242"/>
    <cellStyle name="Accent4 7" xfId="15094"/>
    <cellStyle name="Accent5 - 20%" xfId="8243"/>
    <cellStyle name="Accent5 - 40%" xfId="8244"/>
    <cellStyle name="Accent5 - 60%" xfId="8245"/>
    <cellStyle name="Accent5 2" xfId="8246"/>
    <cellStyle name="Accent5 2 2" xfId="8247"/>
    <cellStyle name="Accent5 2 2 2" xfId="8248"/>
    <cellStyle name="Accent5 2 2 3" xfId="8249"/>
    <cellStyle name="Accent5 2 3" xfId="8250"/>
    <cellStyle name="Accent5 2 4" xfId="8251"/>
    <cellStyle name="Accent5 2 4 2" xfId="8252"/>
    <cellStyle name="Accent5 2 5" xfId="8253"/>
    <cellStyle name="Accent5 2 6" xfId="8254"/>
    <cellStyle name="Accent5 2 7" xfId="8255"/>
    <cellStyle name="Accent5 2 8" xfId="8256"/>
    <cellStyle name="Accent5 3" xfId="8257"/>
    <cellStyle name="Accent5 3 2" xfId="8258"/>
    <cellStyle name="Accent5 3 3" xfId="8259"/>
    <cellStyle name="Accent5 3 4" xfId="8260"/>
    <cellStyle name="Accent5 4" xfId="8261"/>
    <cellStyle name="Accent5 4 2" xfId="8262"/>
    <cellStyle name="Accent5 4 3" xfId="8263"/>
    <cellStyle name="Accent5 5" xfId="8264"/>
    <cellStyle name="Accent5 5 2" xfId="8265"/>
    <cellStyle name="Accent5 5 3" xfId="8266"/>
    <cellStyle name="Accent5 6" xfId="8267"/>
    <cellStyle name="Accent5 6 2" xfId="8268"/>
    <cellStyle name="Accent5 7" xfId="15095"/>
    <cellStyle name="Accent6 - 20%" xfId="8269"/>
    <cellStyle name="Accent6 - 40%" xfId="8270"/>
    <cellStyle name="Accent6 - 60%" xfId="8271"/>
    <cellStyle name="Accent6 2" xfId="8272"/>
    <cellStyle name="Accent6 2 2" xfId="8273"/>
    <cellStyle name="Accent6 2 2 2" xfId="8274"/>
    <cellStyle name="Accent6 2 2 3" xfId="8275"/>
    <cellStyle name="Accent6 2 2 4" xfId="8276"/>
    <cellStyle name="Accent6 2 3" xfId="8277"/>
    <cellStyle name="Accent6 2 3 2" xfId="8278"/>
    <cellStyle name="Accent6 2 3 3" xfId="8279"/>
    <cellStyle name="Accent6 2 4" xfId="8280"/>
    <cellStyle name="Accent6 2 4 2" xfId="8281"/>
    <cellStyle name="Accent6 2 4 3" xfId="8282"/>
    <cellStyle name="Accent6 2 5" xfId="8283"/>
    <cellStyle name="Accent6 2 6" xfId="8284"/>
    <cellStyle name="Accent6 3" xfId="8285"/>
    <cellStyle name="Accent6 3 2" xfId="8286"/>
    <cellStyle name="Accent6 3 2 2" xfId="8287"/>
    <cellStyle name="Accent6 3 2 3" xfId="8288"/>
    <cellStyle name="Accent6 3 3" xfId="8289"/>
    <cellStyle name="Accent6 3 4" xfId="8290"/>
    <cellStyle name="Accent6 3 5" xfId="8291"/>
    <cellStyle name="Accent6 4" xfId="8292"/>
    <cellStyle name="Accent6 4 2" xfId="8293"/>
    <cellStyle name="Accent6 4 3" xfId="8294"/>
    <cellStyle name="Accent6 5" xfId="8295"/>
    <cellStyle name="Accent6 5 2" xfId="8296"/>
    <cellStyle name="Accent6 5 3" xfId="8297"/>
    <cellStyle name="Accent6 6" xfId="8298"/>
    <cellStyle name="Accent6 6 2" xfId="8299"/>
    <cellStyle name="Accent6 6 3" xfId="8300"/>
    <cellStyle name="Accent6 6 4" xfId="8301"/>
    <cellStyle name="Accent6 7" xfId="15096"/>
    <cellStyle name="Bad 2" xfId="8302"/>
    <cellStyle name="Bad 2 2" xfId="8303"/>
    <cellStyle name="Bad 2 2 2" xfId="8304"/>
    <cellStyle name="Bad 2 2 3" xfId="8305"/>
    <cellStyle name="Bad 2 2 4" xfId="8306"/>
    <cellStyle name="Bad 2 3" xfId="8307"/>
    <cellStyle name="Bad 2 3 2" xfId="8308"/>
    <cellStyle name="Bad 2 3 3" xfId="8309"/>
    <cellStyle name="Bad 2 4" xfId="8310"/>
    <cellStyle name="Bad 2 4 2" xfId="8311"/>
    <cellStyle name="Bad 2 4 3" xfId="8312"/>
    <cellStyle name="Bad 2 5" xfId="8313"/>
    <cellStyle name="Bad 2 6" xfId="8314"/>
    <cellStyle name="Bad 3" xfId="8315"/>
    <cellStyle name="Bad 3 2" xfId="8316"/>
    <cellStyle name="Bad 3 2 2" xfId="8317"/>
    <cellStyle name="Bad 3 2 3" xfId="8318"/>
    <cellStyle name="Bad 3 3" xfId="8319"/>
    <cellStyle name="Bad 3 4" xfId="8320"/>
    <cellStyle name="Bad 3 5" xfId="8321"/>
    <cellStyle name="Bad 4" xfId="8322"/>
    <cellStyle name="Bad 4 2" xfId="8323"/>
    <cellStyle name="Bad 4 3" xfId="8324"/>
    <cellStyle name="Bad 5" xfId="8325"/>
    <cellStyle name="Bad 5 2" xfId="8326"/>
    <cellStyle name="Bad 5 3" xfId="8327"/>
    <cellStyle name="Bad 6" xfId="8328"/>
    <cellStyle name="Bad 6 2" xfId="8329"/>
    <cellStyle name="Bad 6 3" xfId="8330"/>
    <cellStyle name="Bad 6 4" xfId="8331"/>
    <cellStyle name="blank" xfId="8332"/>
    <cellStyle name="Calc Currency (0)" xfId="8333"/>
    <cellStyle name="Calculation 2" xfId="8334"/>
    <cellStyle name="Calculation 2 2" xfId="8335"/>
    <cellStyle name="Calculation 2 2 2" xfId="8336"/>
    <cellStyle name="Calculation 2 2 3" xfId="8337"/>
    <cellStyle name="Calculation 2 2 4" xfId="8338"/>
    <cellStyle name="Calculation 2 3" xfId="8339"/>
    <cellStyle name="Calculation 2 3 2" xfId="8340"/>
    <cellStyle name="Calculation 2 3 3" xfId="8341"/>
    <cellStyle name="Calculation 2 4" xfId="8342"/>
    <cellStyle name="Calculation 2 4 2" xfId="8343"/>
    <cellStyle name="Calculation 2 4 3" xfId="8344"/>
    <cellStyle name="Calculation 2 5" xfId="8345"/>
    <cellStyle name="Calculation 2 6" xfId="8346"/>
    <cellStyle name="Calculation 3" xfId="8347"/>
    <cellStyle name="Calculation 3 2" xfId="8348"/>
    <cellStyle name="Calculation 3 2 2" xfId="8349"/>
    <cellStyle name="Calculation 3 2 3" xfId="8350"/>
    <cellStyle name="Calculation 3 3" xfId="8351"/>
    <cellStyle name="Calculation 3 4" xfId="8352"/>
    <cellStyle name="Calculation 3 5" xfId="8353"/>
    <cellStyle name="Calculation 4" xfId="8354"/>
    <cellStyle name="Calculation 4 2" xfId="8355"/>
    <cellStyle name="Calculation 4 3" xfId="8356"/>
    <cellStyle name="Calculation 5" xfId="8357"/>
    <cellStyle name="Calculation 5 2" xfId="8358"/>
    <cellStyle name="Calculation 5 3" xfId="8359"/>
    <cellStyle name="Calculation 6" xfId="8360"/>
    <cellStyle name="Calculation 6 2" xfId="8361"/>
    <cellStyle name="Calculation 6 3" xfId="8362"/>
    <cellStyle name="Calculation 6 4" xfId="8363"/>
    <cellStyle name="Check Cell 2" xfId="8364"/>
    <cellStyle name="Check Cell 2 2" xfId="8365"/>
    <cellStyle name="Check Cell 2 2 2" xfId="8366"/>
    <cellStyle name="Check Cell 2 2 3" xfId="8367"/>
    <cellStyle name="Check Cell 2 3" xfId="8368"/>
    <cellStyle name="Check Cell 2 4" xfId="8369"/>
    <cellStyle name="Check Cell 2 4 2" xfId="8370"/>
    <cellStyle name="Check Cell 2 5" xfId="8371"/>
    <cellStyle name="Check Cell 2 6" xfId="8372"/>
    <cellStyle name="Check Cell 2 7" xfId="8373"/>
    <cellStyle name="Check Cell 2 8" xfId="8374"/>
    <cellStyle name="Check Cell 3" xfId="8375"/>
    <cellStyle name="Check Cell 3 2" xfId="8376"/>
    <cellStyle name="Check Cell 3 3" xfId="8377"/>
    <cellStyle name="Check Cell 3 4" xfId="8378"/>
    <cellStyle name="Check Cell 4" xfId="8379"/>
    <cellStyle name="Check Cell 4 2" xfId="8380"/>
    <cellStyle name="Check Cell 4 3" xfId="8381"/>
    <cellStyle name="Check Cell 5" xfId="8382"/>
    <cellStyle name="Check Cell 5 2" xfId="8383"/>
    <cellStyle name="Check Cell 5 3" xfId="8384"/>
    <cellStyle name="Check Cell 6" xfId="8385"/>
    <cellStyle name="Check Cell 6 2" xfId="8386"/>
    <cellStyle name="CheckCell" xfId="8387"/>
    <cellStyle name="Comma" xfId="1" builtinId="3"/>
    <cellStyle name="Comma 10" xfId="4"/>
    <cellStyle name="Comma 10 10" xfId="8388"/>
    <cellStyle name="Comma 10 2" xfId="8389"/>
    <cellStyle name="Comma 10 2 2" xfId="8390"/>
    <cellStyle name="Comma 10 2 2 2" xfId="8391"/>
    <cellStyle name="Comma 10 2 2 2 2" xfId="8392"/>
    <cellStyle name="Comma 10 2 2 3" xfId="8393"/>
    <cellStyle name="Comma 10 2 2 3 2" xfId="8394"/>
    <cellStyle name="Comma 10 2 2 4" xfId="8395"/>
    <cellStyle name="Comma 10 2 2 5" xfId="8396"/>
    <cellStyle name="Comma 10 2 3" xfId="8397"/>
    <cellStyle name="Comma 10 2 3 2" xfId="8398"/>
    <cellStyle name="Comma 10 2 3 2 2" xfId="8399"/>
    <cellStyle name="Comma 10 2 3 3" xfId="8400"/>
    <cellStyle name="Comma 10 2 4" xfId="8401"/>
    <cellStyle name="Comma 10 2 4 2" xfId="8402"/>
    <cellStyle name="Comma 10 2 5" xfId="8403"/>
    <cellStyle name="Comma 10 2 5 2" xfId="8404"/>
    <cellStyle name="Comma 10 2 6" xfId="8405"/>
    <cellStyle name="Comma 10 3" xfId="8406"/>
    <cellStyle name="Comma 10 3 2" xfId="8407"/>
    <cellStyle name="Comma 10 3 2 2" xfId="8408"/>
    <cellStyle name="Comma 10 3 2 2 2" xfId="8409"/>
    <cellStyle name="Comma 10 3 2 3" xfId="8410"/>
    <cellStyle name="Comma 10 3 2 3 2" xfId="8411"/>
    <cellStyle name="Comma 10 3 2 4" xfId="8412"/>
    <cellStyle name="Comma 10 3 2 5" xfId="8413"/>
    <cellStyle name="Comma 10 3 3" xfId="8414"/>
    <cellStyle name="Comma 10 3 3 2" xfId="8415"/>
    <cellStyle name="Comma 10 3 3 2 2" xfId="8416"/>
    <cellStyle name="Comma 10 3 3 3" xfId="8417"/>
    <cellStyle name="Comma 10 3 4" xfId="8418"/>
    <cellStyle name="Comma 10 3 4 2" xfId="8419"/>
    <cellStyle name="Comma 10 3 5" xfId="8420"/>
    <cellStyle name="Comma 10 3 5 2" xfId="8421"/>
    <cellStyle name="Comma 10 3 6" xfId="8422"/>
    <cellStyle name="Comma 10 4" xfId="8423"/>
    <cellStyle name="Comma 10 4 2" xfId="8424"/>
    <cellStyle name="Comma 10 4 2 2" xfId="8425"/>
    <cellStyle name="Comma 10 4 2 2 2" xfId="8426"/>
    <cellStyle name="Comma 10 4 2 3" xfId="8427"/>
    <cellStyle name="Comma 10 4 3" xfId="8428"/>
    <cellStyle name="Comma 10 4 3 2" xfId="8429"/>
    <cellStyle name="Comma 10 4 4" xfId="8430"/>
    <cellStyle name="Comma 10 4 4 2" xfId="8431"/>
    <cellStyle name="Comma 10 4 5" xfId="8432"/>
    <cellStyle name="Comma 10 5" xfId="8433"/>
    <cellStyle name="Comma 10 5 2" xfId="8434"/>
    <cellStyle name="Comma 10 5 2 2" xfId="8435"/>
    <cellStyle name="Comma 10 5 3" xfId="8436"/>
    <cellStyle name="Comma 10 5 3 2" xfId="8437"/>
    <cellStyle name="Comma 10 5 4" xfId="8438"/>
    <cellStyle name="Comma 10 5 4 2" xfId="8439"/>
    <cellStyle name="Comma 10 5 5" xfId="8440"/>
    <cellStyle name="Comma 10 6" xfId="8441"/>
    <cellStyle name="Comma 10 6 2" xfId="8442"/>
    <cellStyle name="Comma 10 6 2 2" xfId="8443"/>
    <cellStyle name="Comma 10 6 3" xfId="8444"/>
    <cellStyle name="Comma 10 7" xfId="8445"/>
    <cellStyle name="Comma 10 7 2" xfId="8446"/>
    <cellStyle name="Comma 10 7 2 2" xfId="8447"/>
    <cellStyle name="Comma 10 7 3" xfId="8448"/>
    <cellStyle name="Comma 10 8" xfId="8449"/>
    <cellStyle name="Comma 10 8 2" xfId="8450"/>
    <cellStyle name="Comma 10 9" xfId="8451"/>
    <cellStyle name="Comma 11" xfId="8452"/>
    <cellStyle name="Comma 11 2" xfId="8453"/>
    <cellStyle name="Comma 11 3" xfId="8454"/>
    <cellStyle name="Comma 11 3 2" xfId="8455"/>
    <cellStyle name="Comma 11 4" xfId="8456"/>
    <cellStyle name="Comma 11 4 2" xfId="8457"/>
    <cellStyle name="Comma 11 5" xfId="8458"/>
    <cellStyle name="Comma 12" xfId="8459"/>
    <cellStyle name="Comma 12 2" xfId="8460"/>
    <cellStyle name="Comma 12 3" xfId="8461"/>
    <cellStyle name="Comma 12 3 2" xfId="8462"/>
    <cellStyle name="Comma 12 4" xfId="8463"/>
    <cellStyle name="Comma 12 4 2" xfId="8464"/>
    <cellStyle name="Comma 13" xfId="8465"/>
    <cellStyle name="Comma 13 2" xfId="8466"/>
    <cellStyle name="Comma 13 2 2" xfId="8467"/>
    <cellStyle name="Comma 13 2 2 2" xfId="8468"/>
    <cellStyle name="Comma 13 2 2 2 2" xfId="8469"/>
    <cellStyle name="Comma 13 2 2 3" xfId="8470"/>
    <cellStyle name="Comma 13 2 2 3 2" xfId="8471"/>
    <cellStyle name="Comma 13 2 2 4" xfId="8472"/>
    <cellStyle name="Comma 13 2 2 5" xfId="8473"/>
    <cellStyle name="Comma 13 2 3" xfId="8474"/>
    <cellStyle name="Comma 13 2 3 2" xfId="8475"/>
    <cellStyle name="Comma 13 2 3 2 2" xfId="8476"/>
    <cellStyle name="Comma 13 2 3 3" xfId="8477"/>
    <cellStyle name="Comma 13 2 4" xfId="8478"/>
    <cellStyle name="Comma 13 2 4 2" xfId="8479"/>
    <cellStyle name="Comma 13 2 5" xfId="8480"/>
    <cellStyle name="Comma 13 2 5 2" xfId="8481"/>
    <cellStyle name="Comma 13 2 6" xfId="8482"/>
    <cellStyle name="Comma 13 3" xfId="8483"/>
    <cellStyle name="Comma 13 3 2" xfId="8484"/>
    <cellStyle name="Comma 13 3 2 2" xfId="8485"/>
    <cellStyle name="Comma 13 3 2 2 2" xfId="8486"/>
    <cellStyle name="Comma 13 3 2 3" xfId="8487"/>
    <cellStyle name="Comma 13 3 3" xfId="8488"/>
    <cellStyle name="Comma 13 3 3 2" xfId="8489"/>
    <cellStyle name="Comma 13 3 4" xfId="8490"/>
    <cellStyle name="Comma 13 3 4 2" xfId="8491"/>
    <cellStyle name="Comma 13 3 5" xfId="8492"/>
    <cellStyle name="Comma 13 4" xfId="8493"/>
    <cellStyle name="Comma 13 4 2" xfId="8494"/>
    <cellStyle name="Comma 13 4 2 2" xfId="8495"/>
    <cellStyle name="Comma 13 4 3" xfId="8496"/>
    <cellStyle name="Comma 13 4 3 2" xfId="8497"/>
    <cellStyle name="Comma 13 4 4" xfId="8498"/>
    <cellStyle name="Comma 13 5" xfId="8499"/>
    <cellStyle name="Comma 13 5 2" xfId="8500"/>
    <cellStyle name="Comma 13 5 2 2" xfId="8501"/>
    <cellStyle name="Comma 13 5 3" xfId="8502"/>
    <cellStyle name="Comma 13 6" xfId="8503"/>
    <cellStyle name="Comma 13 6 2" xfId="8504"/>
    <cellStyle name="Comma 13 6 3" xfId="8505"/>
    <cellStyle name="Comma 13 7" xfId="8506"/>
    <cellStyle name="Comma 13 7 2" xfId="8507"/>
    <cellStyle name="Comma 13 8" xfId="8508"/>
    <cellStyle name="Comma 13 9" xfId="8509"/>
    <cellStyle name="Comma 14" xfId="8510"/>
    <cellStyle name="Comma 14 2" xfId="8511"/>
    <cellStyle name="Comma 14 2 2" xfId="8512"/>
    <cellStyle name="Comma 14 2 2 2" xfId="8513"/>
    <cellStyle name="Comma 14 2 2 2 2" xfId="8514"/>
    <cellStyle name="Comma 14 2 2 3" xfId="8515"/>
    <cellStyle name="Comma 14 2 3" xfId="8516"/>
    <cellStyle name="Comma 14 2 3 2" xfId="8517"/>
    <cellStyle name="Comma 14 2 4" xfId="8518"/>
    <cellStyle name="Comma 14 2 4 2" xfId="8519"/>
    <cellStyle name="Comma 14 2 5" xfId="8520"/>
    <cellStyle name="Comma 14 3" xfId="8521"/>
    <cellStyle name="Comma 14 3 2" xfId="8522"/>
    <cellStyle name="Comma 14 3 2 2" xfId="8523"/>
    <cellStyle name="Comma 14 3 3" xfId="8524"/>
    <cellStyle name="Comma 14 3 3 2" xfId="8525"/>
    <cellStyle name="Comma 14 3 4" xfId="8526"/>
    <cellStyle name="Comma 14 4" xfId="8527"/>
    <cellStyle name="Comma 14 4 2" xfId="8528"/>
    <cellStyle name="Comma 14 4 2 2" xfId="8529"/>
    <cellStyle name="Comma 14 4 3" xfId="8530"/>
    <cellStyle name="Comma 14 5" xfId="8531"/>
    <cellStyle name="Comma 14 5 2" xfId="8532"/>
    <cellStyle name="Comma 14 5 3" xfId="8533"/>
    <cellStyle name="Comma 14 6" xfId="8534"/>
    <cellStyle name="Comma 14 6 2" xfId="8535"/>
    <cellStyle name="Comma 14 7" xfId="8536"/>
    <cellStyle name="Comma 14 8" xfId="8537"/>
    <cellStyle name="Comma 15" xfId="8538"/>
    <cellStyle name="Comma 15 2" xfId="8539"/>
    <cellStyle name="Comma 15 2 2" xfId="8540"/>
    <cellStyle name="Comma 15 2 2 2" xfId="8541"/>
    <cellStyle name="Comma 15 2 3" xfId="8542"/>
    <cellStyle name="Comma 15 3" xfId="8543"/>
    <cellStyle name="Comma 15 3 2" xfId="8544"/>
    <cellStyle name="Comma 15 3 3" xfId="8545"/>
    <cellStyle name="Comma 15 4" xfId="8546"/>
    <cellStyle name="Comma 15 4 2" xfId="8547"/>
    <cellStyle name="Comma 15 4 3" xfId="8548"/>
    <cellStyle name="Comma 15 5" xfId="8549"/>
    <cellStyle name="Comma 15 5 2" xfId="8550"/>
    <cellStyle name="Comma 15 6" xfId="8551"/>
    <cellStyle name="Comma 15 7" xfId="8552"/>
    <cellStyle name="Comma 16" xfId="8553"/>
    <cellStyle name="Comma 16 2" xfId="8554"/>
    <cellStyle name="Comma 16 3" xfId="8555"/>
    <cellStyle name="Comma 17" xfId="8556"/>
    <cellStyle name="Comma 18" xfId="8557"/>
    <cellStyle name="Comma 2" xfId="3"/>
    <cellStyle name="Comma 2 2" xfId="5"/>
    <cellStyle name="Comma 2 2 2" xfId="8558"/>
    <cellStyle name="Comma 2 3" xfId="17"/>
    <cellStyle name="Comma 2 4" xfId="8559"/>
    <cellStyle name="Comma 2 5" xfId="8560"/>
    <cellStyle name="Comma 2 6" xfId="8561"/>
    <cellStyle name="Comma 3" xfId="8562"/>
    <cellStyle name="Comma 3 10" xfId="8563"/>
    <cellStyle name="Comma 3 10 2" xfId="8564"/>
    <cellStyle name="Comma 3 10 3" xfId="8565"/>
    <cellStyle name="Comma 3 11" xfId="8566"/>
    <cellStyle name="Comma 3 11 2" xfId="8567"/>
    <cellStyle name="Comma 3 11 3" xfId="8568"/>
    <cellStyle name="Comma 3 12" xfId="8569"/>
    <cellStyle name="Comma 3 12 2" xfId="8570"/>
    <cellStyle name="Comma 3 13" xfId="8571"/>
    <cellStyle name="Comma 3 14" xfId="8572"/>
    <cellStyle name="Comma 3 2" xfId="8573"/>
    <cellStyle name="Comma 3 2 2" xfId="8574"/>
    <cellStyle name="Comma 3 3" xfId="8575"/>
    <cellStyle name="Comma 3 3 10" xfId="8576"/>
    <cellStyle name="Comma 3 3 2" xfId="8577"/>
    <cellStyle name="Comma 3 3 2 2" xfId="8578"/>
    <cellStyle name="Comma 3 3 2 2 2" xfId="8579"/>
    <cellStyle name="Comma 3 3 2 2 2 2" xfId="8580"/>
    <cellStyle name="Comma 3 3 2 2 3" xfId="8581"/>
    <cellStyle name="Comma 3 3 2 2 3 2" xfId="8582"/>
    <cellStyle name="Comma 3 3 2 2 4" xfId="8583"/>
    <cellStyle name="Comma 3 3 2 2 5" xfId="8584"/>
    <cellStyle name="Comma 3 3 2 3" xfId="8585"/>
    <cellStyle name="Comma 3 3 2 3 2" xfId="8586"/>
    <cellStyle name="Comma 3 3 2 3 2 2" xfId="8587"/>
    <cellStyle name="Comma 3 3 2 3 3" xfId="8588"/>
    <cellStyle name="Comma 3 3 2 4" xfId="8589"/>
    <cellStyle name="Comma 3 3 2 4 2" xfId="8590"/>
    <cellStyle name="Comma 3 3 2 5" xfId="8591"/>
    <cellStyle name="Comma 3 3 2 5 2" xfId="8592"/>
    <cellStyle name="Comma 3 3 2 6" xfId="8593"/>
    <cellStyle name="Comma 3 3 3" xfId="8594"/>
    <cellStyle name="Comma 3 3 3 2" xfId="8595"/>
    <cellStyle name="Comma 3 3 3 2 2" xfId="8596"/>
    <cellStyle name="Comma 3 3 3 2 2 2" xfId="8597"/>
    <cellStyle name="Comma 3 3 3 2 3" xfId="8598"/>
    <cellStyle name="Comma 3 3 3 2 3 2" xfId="8599"/>
    <cellStyle name="Comma 3 3 3 2 4" xfId="8600"/>
    <cellStyle name="Comma 3 3 3 2 5" xfId="8601"/>
    <cellStyle name="Comma 3 3 3 3" xfId="8602"/>
    <cellStyle name="Comma 3 3 3 3 2" xfId="8603"/>
    <cellStyle name="Comma 3 3 3 3 2 2" xfId="8604"/>
    <cellStyle name="Comma 3 3 3 3 3" xfId="8605"/>
    <cellStyle name="Comma 3 3 3 4" xfId="8606"/>
    <cellStyle name="Comma 3 3 3 4 2" xfId="8607"/>
    <cellStyle name="Comma 3 3 3 5" xfId="8608"/>
    <cellStyle name="Comma 3 3 3 5 2" xfId="8609"/>
    <cellStyle name="Comma 3 3 3 6" xfId="8610"/>
    <cellStyle name="Comma 3 3 4" xfId="8611"/>
    <cellStyle name="Comma 3 3 4 2" xfId="8612"/>
    <cellStyle name="Comma 3 3 4 2 2" xfId="8613"/>
    <cellStyle name="Comma 3 3 4 2 2 2" xfId="8614"/>
    <cellStyle name="Comma 3 3 4 2 3" xfId="8615"/>
    <cellStyle name="Comma 3 3 4 3" xfId="8616"/>
    <cellStyle name="Comma 3 3 4 3 2" xfId="8617"/>
    <cellStyle name="Comma 3 3 4 4" xfId="8618"/>
    <cellStyle name="Comma 3 3 4 4 2" xfId="8619"/>
    <cellStyle name="Comma 3 3 4 5" xfId="8620"/>
    <cellStyle name="Comma 3 3 5" xfId="8621"/>
    <cellStyle name="Comma 3 3 5 2" xfId="8622"/>
    <cellStyle name="Comma 3 3 5 2 2" xfId="8623"/>
    <cellStyle name="Comma 3 3 5 3" xfId="8624"/>
    <cellStyle name="Comma 3 3 5 3 2" xfId="8625"/>
    <cellStyle name="Comma 3 3 5 4" xfId="8626"/>
    <cellStyle name="Comma 3 3 5 4 2" xfId="8627"/>
    <cellStyle name="Comma 3 3 5 5" xfId="8628"/>
    <cellStyle name="Comma 3 3 6" xfId="8629"/>
    <cellStyle name="Comma 3 3 6 2" xfId="8630"/>
    <cellStyle name="Comma 3 3 6 2 2" xfId="8631"/>
    <cellStyle name="Comma 3 3 6 3" xfId="8632"/>
    <cellStyle name="Comma 3 3 7" xfId="8633"/>
    <cellStyle name="Comma 3 3 7 2" xfId="8634"/>
    <cellStyle name="Comma 3 3 7 2 2" xfId="8635"/>
    <cellStyle name="Comma 3 3 7 3" xfId="8636"/>
    <cellStyle name="Comma 3 3 8" xfId="8637"/>
    <cellStyle name="Comma 3 3 8 2" xfId="8638"/>
    <cellStyle name="Comma 3 3 9" xfId="8639"/>
    <cellStyle name="Comma 3 4" xfId="8640"/>
    <cellStyle name="Comma 3 5" xfId="8641"/>
    <cellStyle name="Comma 3 5 2" xfId="8642"/>
    <cellStyle name="Comma 3 5 2 2" xfId="8643"/>
    <cellStyle name="Comma 3 5 2 2 2" xfId="8644"/>
    <cellStyle name="Comma 3 5 2 3" xfId="8645"/>
    <cellStyle name="Comma 3 5 2 3 2" xfId="8646"/>
    <cellStyle name="Comma 3 5 2 4" xfId="8647"/>
    <cellStyle name="Comma 3 5 2 5" xfId="8648"/>
    <cellStyle name="Comma 3 5 3" xfId="8649"/>
    <cellStyle name="Comma 3 5 3 2" xfId="8650"/>
    <cellStyle name="Comma 3 5 3 2 2" xfId="8651"/>
    <cellStyle name="Comma 3 5 3 3" xfId="8652"/>
    <cellStyle name="Comma 3 5 4" xfId="8653"/>
    <cellStyle name="Comma 3 5 4 2" xfId="8654"/>
    <cellStyle name="Comma 3 5 5" xfId="8655"/>
    <cellStyle name="Comma 3 5 5 2" xfId="8656"/>
    <cellStyle name="Comma 3 5 6" xfId="8657"/>
    <cellStyle name="Comma 3 6" xfId="8658"/>
    <cellStyle name="Comma 3 6 2" xfId="8659"/>
    <cellStyle name="Comma 3 6 2 2" xfId="8660"/>
    <cellStyle name="Comma 3 6 2 2 2" xfId="8661"/>
    <cellStyle name="Comma 3 6 2 3" xfId="8662"/>
    <cellStyle name="Comma 3 6 2 3 2" xfId="8663"/>
    <cellStyle name="Comma 3 6 2 4" xfId="8664"/>
    <cellStyle name="Comma 3 6 2 5" xfId="8665"/>
    <cellStyle name="Comma 3 6 3" xfId="8666"/>
    <cellStyle name="Comma 3 6 3 2" xfId="8667"/>
    <cellStyle name="Comma 3 6 3 2 2" xfId="8668"/>
    <cellStyle name="Comma 3 6 3 3" xfId="8669"/>
    <cellStyle name="Comma 3 6 4" xfId="8670"/>
    <cellStyle name="Comma 3 6 4 2" xfId="8671"/>
    <cellStyle name="Comma 3 6 5" xfId="8672"/>
    <cellStyle name="Comma 3 6 5 2" xfId="8673"/>
    <cellStyle name="Comma 3 6 6" xfId="8674"/>
    <cellStyle name="Comma 3 7" xfId="8675"/>
    <cellStyle name="Comma 3 7 2" xfId="8676"/>
    <cellStyle name="Comma 3 7 2 2" xfId="8677"/>
    <cellStyle name="Comma 3 7 3" xfId="8678"/>
    <cellStyle name="Comma 3 7 3 2" xfId="8679"/>
    <cellStyle name="Comma 3 7 4" xfId="8680"/>
    <cellStyle name="Comma 3 8" xfId="8681"/>
    <cellStyle name="Comma 3 8 2" xfId="8682"/>
    <cellStyle name="Comma 3 8 2 2" xfId="8683"/>
    <cellStyle name="Comma 3 8 3" xfId="8684"/>
    <cellStyle name="Comma 3 8 3 2" xfId="8685"/>
    <cellStyle name="Comma 3 8 4" xfId="8686"/>
    <cellStyle name="Comma 3 9" xfId="8687"/>
    <cellStyle name="Comma 3 9 2" xfId="8688"/>
    <cellStyle name="Comma 3 9 3" xfId="8689"/>
    <cellStyle name="Comma 4" xfId="8690"/>
    <cellStyle name="Comma 4 2" xfId="8691"/>
    <cellStyle name="Comma 4 2 2" xfId="8692"/>
    <cellStyle name="Comma 4 3" xfId="8693"/>
    <cellStyle name="Comma 4 4" xfId="15097"/>
    <cellStyle name="Comma 4 5" xfId="15098"/>
    <cellStyle name="Comma 5" xfId="8694"/>
    <cellStyle name="Comma 5 2" xfId="8695"/>
    <cellStyle name="Comma 5 2 2" xfId="8696"/>
    <cellStyle name="Comma 5 3" xfId="8697"/>
    <cellStyle name="Comma 6" xfId="8698"/>
    <cellStyle name="Comma 6 2" xfId="8699"/>
    <cellStyle name="Comma 6 2 2" xfId="8700"/>
    <cellStyle name="Comma 6 3" xfId="8701"/>
    <cellStyle name="Comma 6 4" xfId="15099"/>
    <cellStyle name="Comma 6 5" xfId="15100"/>
    <cellStyle name="Comma 7" xfId="8702"/>
    <cellStyle name="Comma 7 10" xfId="8703"/>
    <cellStyle name="Comma 7 10 2" xfId="8704"/>
    <cellStyle name="Comma 7 11" xfId="8705"/>
    <cellStyle name="Comma 7 12" xfId="8706"/>
    <cellStyle name="Comma 7 2" xfId="8707"/>
    <cellStyle name="Comma 7 2 10" xfId="8708"/>
    <cellStyle name="Comma 7 2 2" xfId="8709"/>
    <cellStyle name="Comma 7 2 2 2" xfId="8710"/>
    <cellStyle name="Comma 7 2 2 2 2" xfId="8711"/>
    <cellStyle name="Comma 7 2 2 2 2 2" xfId="8712"/>
    <cellStyle name="Comma 7 2 2 2 3" xfId="8713"/>
    <cellStyle name="Comma 7 2 2 2 3 2" xfId="8714"/>
    <cellStyle name="Comma 7 2 2 2 4" xfId="8715"/>
    <cellStyle name="Comma 7 2 2 2 4 2" xfId="8716"/>
    <cellStyle name="Comma 7 2 2 2 5" xfId="8717"/>
    <cellStyle name="Comma 7 2 2 3" xfId="8718"/>
    <cellStyle name="Comma 7 2 2 3 2" xfId="8719"/>
    <cellStyle name="Comma 7 2 2 3 2 2" xfId="8720"/>
    <cellStyle name="Comma 7 2 2 3 3" xfId="8721"/>
    <cellStyle name="Comma 7 2 2 4" xfId="8722"/>
    <cellStyle name="Comma 7 2 2 4 2" xfId="8723"/>
    <cellStyle name="Comma 7 2 2 5" xfId="8724"/>
    <cellStyle name="Comma 7 2 2 5 2" xfId="8725"/>
    <cellStyle name="Comma 7 2 2 6" xfId="8726"/>
    <cellStyle name="Comma 7 2 3" xfId="8727"/>
    <cellStyle name="Comma 7 2 3 2" xfId="8728"/>
    <cellStyle name="Comma 7 2 3 2 2" xfId="8729"/>
    <cellStyle name="Comma 7 2 3 2 2 2" xfId="8730"/>
    <cellStyle name="Comma 7 2 3 2 3" xfId="8731"/>
    <cellStyle name="Comma 7 2 3 2 3 2" xfId="8732"/>
    <cellStyle name="Comma 7 2 3 2 4" xfId="8733"/>
    <cellStyle name="Comma 7 2 3 2 5" xfId="8734"/>
    <cellStyle name="Comma 7 2 3 3" xfId="8735"/>
    <cellStyle name="Comma 7 2 3 3 2" xfId="8736"/>
    <cellStyle name="Comma 7 2 3 3 2 2" xfId="8737"/>
    <cellStyle name="Comma 7 2 3 3 3" xfId="8738"/>
    <cellStyle name="Comma 7 2 3 4" xfId="8739"/>
    <cellStyle name="Comma 7 2 3 4 2" xfId="8740"/>
    <cellStyle name="Comma 7 2 3 5" xfId="8741"/>
    <cellStyle name="Comma 7 2 3 5 2" xfId="8742"/>
    <cellStyle name="Comma 7 2 3 6" xfId="8743"/>
    <cellStyle name="Comma 7 2 4" xfId="8744"/>
    <cellStyle name="Comma 7 2 4 2" xfId="8745"/>
    <cellStyle name="Comma 7 2 4 2 2" xfId="8746"/>
    <cellStyle name="Comma 7 2 4 2 2 2" xfId="8747"/>
    <cellStyle name="Comma 7 2 4 2 3" xfId="8748"/>
    <cellStyle name="Comma 7 2 4 2 3 2" xfId="8749"/>
    <cellStyle name="Comma 7 2 4 2 4" xfId="8750"/>
    <cellStyle name="Comma 7 2 4 3" xfId="8751"/>
    <cellStyle name="Comma 7 2 4 3 2" xfId="8752"/>
    <cellStyle name="Comma 7 2 4 4" xfId="8753"/>
    <cellStyle name="Comma 7 2 4 4 2" xfId="8754"/>
    <cellStyle name="Comma 7 2 4 5" xfId="8755"/>
    <cellStyle name="Comma 7 2 4 5 2" xfId="8756"/>
    <cellStyle name="Comma 7 2 4 6" xfId="8757"/>
    <cellStyle name="Comma 7 2 5" xfId="8758"/>
    <cellStyle name="Comma 7 2 5 2" xfId="8759"/>
    <cellStyle name="Comma 7 2 5 2 2" xfId="8760"/>
    <cellStyle name="Comma 7 2 5 3" xfId="8761"/>
    <cellStyle name="Comma 7 2 5 3 2" xfId="8762"/>
    <cellStyle name="Comma 7 2 5 4" xfId="8763"/>
    <cellStyle name="Comma 7 2 5 4 2" xfId="8764"/>
    <cellStyle name="Comma 7 2 5 5" xfId="8765"/>
    <cellStyle name="Comma 7 2 6" xfId="8766"/>
    <cellStyle name="Comma 7 2 6 2" xfId="8767"/>
    <cellStyle name="Comma 7 2 6 2 2" xfId="8768"/>
    <cellStyle name="Comma 7 2 6 3" xfId="8769"/>
    <cellStyle name="Comma 7 2 6 3 2" xfId="8770"/>
    <cellStyle name="Comma 7 2 6 4" xfId="8771"/>
    <cellStyle name="Comma 7 2 7" xfId="8772"/>
    <cellStyle name="Comma 7 2 7 2" xfId="8773"/>
    <cellStyle name="Comma 7 2 7 2 2" xfId="8774"/>
    <cellStyle name="Comma 7 2 7 3" xfId="8775"/>
    <cellStyle name="Comma 7 2 8" xfId="8776"/>
    <cellStyle name="Comma 7 2 8 2" xfId="8777"/>
    <cellStyle name="Comma 7 2 9" xfId="8778"/>
    <cellStyle name="Comma 7 3" xfId="8779"/>
    <cellStyle name="Comma 7 3 2" xfId="8780"/>
    <cellStyle name="Comma 7 3 2 2" xfId="8781"/>
    <cellStyle name="Comma 7 3 2 2 2" xfId="8782"/>
    <cellStyle name="Comma 7 3 2 3" xfId="8783"/>
    <cellStyle name="Comma 7 3 2 3 2" xfId="8784"/>
    <cellStyle name="Comma 7 3 2 4" xfId="8785"/>
    <cellStyle name="Comma 7 3 2 4 2" xfId="8786"/>
    <cellStyle name="Comma 7 3 2 5" xfId="8787"/>
    <cellStyle name="Comma 7 3 3" xfId="8788"/>
    <cellStyle name="Comma 7 3 3 2" xfId="8789"/>
    <cellStyle name="Comma 7 3 3 2 2" xfId="8790"/>
    <cellStyle name="Comma 7 3 3 3" xfId="8791"/>
    <cellStyle name="Comma 7 3 4" xfId="8792"/>
    <cellStyle name="Comma 7 3 4 2" xfId="8793"/>
    <cellStyle name="Comma 7 3 5" xfId="8794"/>
    <cellStyle name="Comma 7 3 5 2" xfId="8795"/>
    <cellStyle name="Comma 7 3 6" xfId="8796"/>
    <cellStyle name="Comma 7 4" xfId="8797"/>
    <cellStyle name="Comma 7 4 2" xfId="8798"/>
    <cellStyle name="Comma 7 4 2 2" xfId="8799"/>
    <cellStyle name="Comma 7 4 2 2 2" xfId="8800"/>
    <cellStyle name="Comma 7 4 2 3" xfId="8801"/>
    <cellStyle name="Comma 7 4 2 3 2" xfId="8802"/>
    <cellStyle name="Comma 7 4 2 4" xfId="8803"/>
    <cellStyle name="Comma 7 4 2 5" xfId="8804"/>
    <cellStyle name="Comma 7 4 3" xfId="8805"/>
    <cellStyle name="Comma 7 4 3 2" xfId="8806"/>
    <cellStyle name="Comma 7 4 3 2 2" xfId="8807"/>
    <cellStyle name="Comma 7 4 3 3" xfId="8808"/>
    <cellStyle name="Comma 7 4 4" xfId="8809"/>
    <cellStyle name="Comma 7 4 4 2" xfId="8810"/>
    <cellStyle name="Comma 7 4 5" xfId="8811"/>
    <cellStyle name="Comma 7 4 5 2" xfId="8812"/>
    <cellStyle name="Comma 7 4 6" xfId="8813"/>
    <cellStyle name="Comma 7 5" xfId="8814"/>
    <cellStyle name="Comma 7 5 2" xfId="8815"/>
    <cellStyle name="Comma 7 5 2 2" xfId="8816"/>
    <cellStyle name="Comma 7 5 2 2 2" xfId="8817"/>
    <cellStyle name="Comma 7 5 2 3" xfId="8818"/>
    <cellStyle name="Comma 7 5 2 3 2" xfId="8819"/>
    <cellStyle name="Comma 7 5 2 4" xfId="8820"/>
    <cellStyle name="Comma 7 5 2 5" xfId="8821"/>
    <cellStyle name="Comma 7 5 3" xfId="8822"/>
    <cellStyle name="Comma 7 5 3 2" xfId="8823"/>
    <cellStyle name="Comma 7 5 3 2 2" xfId="8824"/>
    <cellStyle name="Comma 7 5 3 3" xfId="8825"/>
    <cellStyle name="Comma 7 5 4" xfId="8826"/>
    <cellStyle name="Comma 7 5 4 2" xfId="8827"/>
    <cellStyle name="Comma 7 5 5" xfId="8828"/>
    <cellStyle name="Comma 7 5 5 2" xfId="8829"/>
    <cellStyle name="Comma 7 5 6" xfId="8830"/>
    <cellStyle name="Comma 7 6" xfId="8831"/>
    <cellStyle name="Comma 7 6 2" xfId="8832"/>
    <cellStyle name="Comma 7 6 2 2" xfId="8833"/>
    <cellStyle name="Comma 7 6 3" xfId="8834"/>
    <cellStyle name="Comma 7 6 3 2" xfId="8835"/>
    <cellStyle name="Comma 7 6 4" xfId="8836"/>
    <cellStyle name="Comma 7 6 4 2" xfId="8837"/>
    <cellStyle name="Comma 7 6 5" xfId="8838"/>
    <cellStyle name="Comma 7 7" xfId="8839"/>
    <cellStyle name="Comma 7 7 2" xfId="8840"/>
    <cellStyle name="Comma 7 7 2 2" xfId="8841"/>
    <cellStyle name="Comma 7 7 3" xfId="8842"/>
    <cellStyle name="Comma 7 7 3 2" xfId="8843"/>
    <cellStyle name="Comma 7 7 4" xfId="8844"/>
    <cellStyle name="Comma 7 8" xfId="8845"/>
    <cellStyle name="Comma 7 8 2" xfId="8846"/>
    <cellStyle name="Comma 7 8 2 2" xfId="8847"/>
    <cellStyle name="Comma 7 8 3" xfId="8848"/>
    <cellStyle name="Comma 7 9" xfId="8849"/>
    <cellStyle name="Comma 7 9 2" xfId="8850"/>
    <cellStyle name="Comma 8" xfId="8851"/>
    <cellStyle name="Comma 8 2" xfId="8852"/>
    <cellStyle name="Comma 8 2 2" xfId="8853"/>
    <cellStyle name="Comma 8 2 3" xfId="8854"/>
    <cellStyle name="Comma 8 2 4" xfId="8855"/>
    <cellStyle name="Comma 8 3" xfId="8856"/>
    <cellStyle name="Comma 8 3 2" xfId="8857"/>
    <cellStyle name="Comma 8 3 2 2" xfId="8858"/>
    <cellStyle name="Comma 8 3 3" xfId="8859"/>
    <cellStyle name="Comma 8 3 3 2" xfId="8860"/>
    <cellStyle name="Comma 8 3 4" xfId="8861"/>
    <cellStyle name="Comma 8 3 4 2" xfId="8862"/>
    <cellStyle name="Comma 8 3 5" xfId="8863"/>
    <cellStyle name="Comma 8 4" xfId="8864"/>
    <cellStyle name="Comma 8 4 2" xfId="8865"/>
    <cellStyle name="Comma 8 4 3" xfId="8866"/>
    <cellStyle name="Comma 8 5" xfId="8867"/>
    <cellStyle name="Comma 9" xfId="8868"/>
    <cellStyle name="Comma 9 10" xfId="8869"/>
    <cellStyle name="Comma 9 2" xfId="8870"/>
    <cellStyle name="Comma 9 2 2" xfId="8871"/>
    <cellStyle name="Comma 9 2 2 2" xfId="8872"/>
    <cellStyle name="Comma 9 2 2 2 2" xfId="8873"/>
    <cellStyle name="Comma 9 2 2 3" xfId="8874"/>
    <cellStyle name="Comma 9 2 2 3 2" xfId="8875"/>
    <cellStyle name="Comma 9 2 2 4" xfId="8876"/>
    <cellStyle name="Comma 9 2 2 5" xfId="8877"/>
    <cellStyle name="Comma 9 2 3" xfId="8878"/>
    <cellStyle name="Comma 9 2 3 2" xfId="8879"/>
    <cellStyle name="Comma 9 2 3 2 2" xfId="8880"/>
    <cellStyle name="Comma 9 2 3 3" xfId="8881"/>
    <cellStyle name="Comma 9 2 4" xfId="8882"/>
    <cellStyle name="Comma 9 2 4 2" xfId="8883"/>
    <cellStyle name="Comma 9 2 5" xfId="8884"/>
    <cellStyle name="Comma 9 2 5 2" xfId="8885"/>
    <cellStyle name="Comma 9 2 6" xfId="8886"/>
    <cellStyle name="Comma 9 3" xfId="8887"/>
    <cellStyle name="Comma 9 3 2" xfId="8888"/>
    <cellStyle name="Comma 9 3 2 2" xfId="8889"/>
    <cellStyle name="Comma 9 3 2 2 2" xfId="8890"/>
    <cellStyle name="Comma 9 3 2 3" xfId="8891"/>
    <cellStyle name="Comma 9 3 2 3 2" xfId="8892"/>
    <cellStyle name="Comma 9 3 2 4" xfId="8893"/>
    <cellStyle name="Comma 9 3 2 5" xfId="8894"/>
    <cellStyle name="Comma 9 3 3" xfId="8895"/>
    <cellStyle name="Comma 9 3 3 2" xfId="8896"/>
    <cellStyle name="Comma 9 3 3 2 2" xfId="8897"/>
    <cellStyle name="Comma 9 3 3 3" xfId="8898"/>
    <cellStyle name="Comma 9 3 4" xfId="8899"/>
    <cellStyle name="Comma 9 3 4 2" xfId="8900"/>
    <cellStyle name="Comma 9 3 5" xfId="8901"/>
    <cellStyle name="Comma 9 3 5 2" xfId="8902"/>
    <cellStyle name="Comma 9 3 6" xfId="8903"/>
    <cellStyle name="Comma 9 4" xfId="8904"/>
    <cellStyle name="Comma 9 4 2" xfId="8905"/>
    <cellStyle name="Comma 9 4 2 2" xfId="8906"/>
    <cellStyle name="Comma 9 4 2 2 2" xfId="8907"/>
    <cellStyle name="Comma 9 4 2 3" xfId="8908"/>
    <cellStyle name="Comma 9 4 3" xfId="8909"/>
    <cellStyle name="Comma 9 4 3 2" xfId="8910"/>
    <cellStyle name="Comma 9 4 4" xfId="8911"/>
    <cellStyle name="Comma 9 4 4 2" xfId="8912"/>
    <cellStyle name="Comma 9 4 5" xfId="8913"/>
    <cellStyle name="Comma 9 5" xfId="8914"/>
    <cellStyle name="Comma 9 5 2" xfId="8915"/>
    <cellStyle name="Comma 9 5 2 2" xfId="8916"/>
    <cellStyle name="Comma 9 5 3" xfId="8917"/>
    <cellStyle name="Comma 9 5 3 2" xfId="8918"/>
    <cellStyle name="Comma 9 5 4" xfId="8919"/>
    <cellStyle name="Comma 9 5 4 2" xfId="8920"/>
    <cellStyle name="Comma 9 5 5" xfId="8921"/>
    <cellStyle name="Comma 9 6" xfId="8922"/>
    <cellStyle name="Comma 9 6 2" xfId="8923"/>
    <cellStyle name="Comma 9 6 2 2" xfId="8924"/>
    <cellStyle name="Comma 9 6 3" xfId="8925"/>
    <cellStyle name="Comma 9 6 3 2" xfId="8926"/>
    <cellStyle name="Comma 9 6 4" xfId="8927"/>
    <cellStyle name="Comma 9 7" xfId="8928"/>
    <cellStyle name="Comma 9 7 2" xfId="8929"/>
    <cellStyle name="Comma 9 7 2 2" xfId="8930"/>
    <cellStyle name="Comma 9 7 3" xfId="8931"/>
    <cellStyle name="Comma 9 8" xfId="8932"/>
    <cellStyle name="Comma 9 8 2" xfId="8933"/>
    <cellStyle name="Comma 9 9" xfId="8934"/>
    <cellStyle name="Comma0" xfId="8935"/>
    <cellStyle name="Comma0 - Style2" xfId="8936"/>
    <cellStyle name="Comma0 - Style4" xfId="8937"/>
    <cellStyle name="Comma0 - Style5" xfId="8938"/>
    <cellStyle name="Comma0_00COS Ind Allocators" xfId="8939"/>
    <cellStyle name="Comma1 - Style1" xfId="8940"/>
    <cellStyle name="Copied" xfId="8941"/>
    <cellStyle name="COST1" xfId="8942"/>
    <cellStyle name="Curren - Style1" xfId="8943"/>
    <cellStyle name="Curren - Style2" xfId="8944"/>
    <cellStyle name="Curren - Style5" xfId="8945"/>
    <cellStyle name="Curren - Style6" xfId="8946"/>
    <cellStyle name="Currency 10" xfId="8947"/>
    <cellStyle name="Currency 10 10" xfId="8948"/>
    <cellStyle name="Currency 10 2" xfId="8949"/>
    <cellStyle name="Currency 10 2 2" xfId="8950"/>
    <cellStyle name="Currency 10 2 2 2" xfId="8951"/>
    <cellStyle name="Currency 10 2 2 2 2" xfId="8952"/>
    <cellStyle name="Currency 10 2 2 3" xfId="8953"/>
    <cellStyle name="Currency 10 2 2 3 2" xfId="8954"/>
    <cellStyle name="Currency 10 2 2 4" xfId="8955"/>
    <cellStyle name="Currency 10 2 2 5" xfId="8956"/>
    <cellStyle name="Currency 10 2 3" xfId="8957"/>
    <cellStyle name="Currency 10 2 3 2" xfId="8958"/>
    <cellStyle name="Currency 10 2 3 2 2" xfId="8959"/>
    <cellStyle name="Currency 10 2 3 3" xfId="8960"/>
    <cellStyle name="Currency 10 2 4" xfId="8961"/>
    <cellStyle name="Currency 10 2 4 2" xfId="8962"/>
    <cellStyle name="Currency 10 2 5" xfId="8963"/>
    <cellStyle name="Currency 10 2 5 2" xfId="8964"/>
    <cellStyle name="Currency 10 2 6" xfId="8965"/>
    <cellStyle name="Currency 10 3" xfId="8966"/>
    <cellStyle name="Currency 10 3 2" xfId="8967"/>
    <cellStyle name="Currency 10 3 2 2" xfId="8968"/>
    <cellStyle name="Currency 10 3 2 2 2" xfId="8969"/>
    <cellStyle name="Currency 10 3 2 3" xfId="8970"/>
    <cellStyle name="Currency 10 3 2 3 2" xfId="8971"/>
    <cellStyle name="Currency 10 3 2 4" xfId="8972"/>
    <cellStyle name="Currency 10 3 2 5" xfId="8973"/>
    <cellStyle name="Currency 10 3 3" xfId="8974"/>
    <cellStyle name="Currency 10 3 3 2" xfId="8975"/>
    <cellStyle name="Currency 10 3 3 2 2" xfId="8976"/>
    <cellStyle name="Currency 10 3 3 3" xfId="8977"/>
    <cellStyle name="Currency 10 3 4" xfId="8978"/>
    <cellStyle name="Currency 10 3 4 2" xfId="8979"/>
    <cellStyle name="Currency 10 3 5" xfId="8980"/>
    <cellStyle name="Currency 10 3 5 2" xfId="8981"/>
    <cellStyle name="Currency 10 3 6" xfId="8982"/>
    <cellStyle name="Currency 10 4" xfId="8983"/>
    <cellStyle name="Currency 10 4 2" xfId="8984"/>
    <cellStyle name="Currency 10 4 2 2" xfId="8985"/>
    <cellStyle name="Currency 10 4 2 2 2" xfId="8986"/>
    <cellStyle name="Currency 10 4 2 3" xfId="8987"/>
    <cellStyle name="Currency 10 4 3" xfId="8988"/>
    <cellStyle name="Currency 10 4 3 2" xfId="8989"/>
    <cellStyle name="Currency 10 4 4" xfId="8990"/>
    <cellStyle name="Currency 10 4 4 2" xfId="8991"/>
    <cellStyle name="Currency 10 4 5" xfId="8992"/>
    <cellStyle name="Currency 10 5" xfId="8993"/>
    <cellStyle name="Currency 10 5 2" xfId="8994"/>
    <cellStyle name="Currency 10 5 2 2" xfId="8995"/>
    <cellStyle name="Currency 10 5 3" xfId="8996"/>
    <cellStyle name="Currency 10 5 3 2" xfId="8997"/>
    <cellStyle name="Currency 10 5 4" xfId="8998"/>
    <cellStyle name="Currency 10 5 4 2" xfId="8999"/>
    <cellStyle name="Currency 10 5 5" xfId="9000"/>
    <cellStyle name="Currency 10 6" xfId="9001"/>
    <cellStyle name="Currency 10 6 2" xfId="9002"/>
    <cellStyle name="Currency 10 6 2 2" xfId="9003"/>
    <cellStyle name="Currency 10 6 3" xfId="9004"/>
    <cellStyle name="Currency 10 7" xfId="9005"/>
    <cellStyle name="Currency 10 7 2" xfId="9006"/>
    <cellStyle name="Currency 10 7 2 2" xfId="9007"/>
    <cellStyle name="Currency 10 7 3" xfId="9008"/>
    <cellStyle name="Currency 10 8" xfId="9009"/>
    <cellStyle name="Currency 10 8 2" xfId="9010"/>
    <cellStyle name="Currency 10 9" xfId="9011"/>
    <cellStyle name="Currency 11" xfId="9012"/>
    <cellStyle name="Currency 11 2" xfId="9013"/>
    <cellStyle name="Currency 11 3" xfId="9014"/>
    <cellStyle name="Currency 12" xfId="9015"/>
    <cellStyle name="Currency 12 2" xfId="9016"/>
    <cellStyle name="Currency 12 3" xfId="9017"/>
    <cellStyle name="Currency 12 3 2" xfId="9018"/>
    <cellStyle name="Currency 12 4" xfId="9019"/>
    <cellStyle name="Currency 12 4 2" xfId="9020"/>
    <cellStyle name="Currency 13" xfId="9021"/>
    <cellStyle name="Currency 13 2" xfId="9022"/>
    <cellStyle name="Currency 13 2 2" xfId="9023"/>
    <cellStyle name="Currency 13 2 2 2" xfId="9024"/>
    <cellStyle name="Currency 13 2 2 2 2" xfId="9025"/>
    <cellStyle name="Currency 13 2 2 3" xfId="9026"/>
    <cellStyle name="Currency 13 2 2 3 2" xfId="9027"/>
    <cellStyle name="Currency 13 2 2 4" xfId="9028"/>
    <cellStyle name="Currency 13 2 2 5" xfId="9029"/>
    <cellStyle name="Currency 13 2 3" xfId="9030"/>
    <cellStyle name="Currency 13 2 3 2" xfId="9031"/>
    <cellStyle name="Currency 13 2 3 2 2" xfId="9032"/>
    <cellStyle name="Currency 13 2 3 3" xfId="9033"/>
    <cellStyle name="Currency 13 2 4" xfId="9034"/>
    <cellStyle name="Currency 13 2 4 2" xfId="9035"/>
    <cellStyle name="Currency 13 2 5" xfId="9036"/>
    <cellStyle name="Currency 13 2 5 2" xfId="9037"/>
    <cellStyle name="Currency 13 2 6" xfId="9038"/>
    <cellStyle name="Currency 13 3" xfId="9039"/>
    <cellStyle name="Currency 13 3 2" xfId="9040"/>
    <cellStyle name="Currency 13 3 2 2" xfId="9041"/>
    <cellStyle name="Currency 13 3 2 2 2" xfId="9042"/>
    <cellStyle name="Currency 13 3 2 3" xfId="9043"/>
    <cellStyle name="Currency 13 3 3" xfId="9044"/>
    <cellStyle name="Currency 13 3 3 2" xfId="9045"/>
    <cellStyle name="Currency 13 3 4" xfId="9046"/>
    <cellStyle name="Currency 13 3 4 2" xfId="9047"/>
    <cellStyle name="Currency 13 3 5" xfId="9048"/>
    <cellStyle name="Currency 13 4" xfId="9049"/>
    <cellStyle name="Currency 13 4 2" xfId="9050"/>
    <cellStyle name="Currency 13 4 2 2" xfId="9051"/>
    <cellStyle name="Currency 13 4 3" xfId="9052"/>
    <cellStyle name="Currency 13 4 3 2" xfId="9053"/>
    <cellStyle name="Currency 13 4 4" xfId="9054"/>
    <cellStyle name="Currency 13 5" xfId="9055"/>
    <cellStyle name="Currency 13 5 2" xfId="9056"/>
    <cellStyle name="Currency 13 5 2 2" xfId="9057"/>
    <cellStyle name="Currency 13 5 3" xfId="9058"/>
    <cellStyle name="Currency 13 6" xfId="9059"/>
    <cellStyle name="Currency 13 6 2" xfId="9060"/>
    <cellStyle name="Currency 13 6 3" xfId="9061"/>
    <cellStyle name="Currency 13 7" xfId="9062"/>
    <cellStyle name="Currency 13 7 2" xfId="9063"/>
    <cellStyle name="Currency 13 8" xfId="9064"/>
    <cellStyle name="Currency 13 9" xfId="9065"/>
    <cellStyle name="Currency 14" xfId="9066"/>
    <cellStyle name="Currency 14 2" xfId="9067"/>
    <cellStyle name="Currency 14 2 2" xfId="9068"/>
    <cellStyle name="Currency 14 2 2 2" xfId="9069"/>
    <cellStyle name="Currency 14 2 2 2 2" xfId="9070"/>
    <cellStyle name="Currency 14 2 2 3" xfId="9071"/>
    <cellStyle name="Currency 14 2 3" xfId="9072"/>
    <cellStyle name="Currency 14 2 3 2" xfId="9073"/>
    <cellStyle name="Currency 14 2 4" xfId="9074"/>
    <cellStyle name="Currency 14 2 4 2" xfId="9075"/>
    <cellStyle name="Currency 14 2 5" xfId="9076"/>
    <cellStyle name="Currency 14 3" xfId="9077"/>
    <cellStyle name="Currency 14 3 2" xfId="9078"/>
    <cellStyle name="Currency 14 3 2 2" xfId="9079"/>
    <cellStyle name="Currency 14 3 3" xfId="9080"/>
    <cellStyle name="Currency 14 3 3 2" xfId="9081"/>
    <cellStyle name="Currency 14 3 4" xfId="9082"/>
    <cellStyle name="Currency 14 4" xfId="9083"/>
    <cellStyle name="Currency 14 4 2" xfId="9084"/>
    <cellStyle name="Currency 14 4 2 2" xfId="9085"/>
    <cellStyle name="Currency 14 4 3" xfId="9086"/>
    <cellStyle name="Currency 14 5" xfId="9087"/>
    <cellStyle name="Currency 14 5 2" xfId="9088"/>
    <cellStyle name="Currency 14 5 3" xfId="9089"/>
    <cellStyle name="Currency 14 6" xfId="9090"/>
    <cellStyle name="Currency 14 6 2" xfId="9091"/>
    <cellStyle name="Currency 14 7" xfId="9092"/>
    <cellStyle name="Currency 14 8" xfId="9093"/>
    <cellStyle name="Currency 15" xfId="9094"/>
    <cellStyle name="Currency 15 2" xfId="9095"/>
    <cellStyle name="Currency 15 2 2" xfId="9096"/>
    <cellStyle name="Currency 15 2 2 2" xfId="9097"/>
    <cellStyle name="Currency 15 2 3" xfId="9098"/>
    <cellStyle name="Currency 15 3" xfId="9099"/>
    <cellStyle name="Currency 15 3 2" xfId="9100"/>
    <cellStyle name="Currency 15 3 3" xfId="9101"/>
    <cellStyle name="Currency 15 4" xfId="9102"/>
    <cellStyle name="Currency 15 4 2" xfId="9103"/>
    <cellStyle name="Currency 15 4 3" xfId="9104"/>
    <cellStyle name="Currency 15 5" xfId="9105"/>
    <cellStyle name="Currency 15 5 2" xfId="9106"/>
    <cellStyle name="Currency 15 6" xfId="9107"/>
    <cellStyle name="Currency 15 7" xfId="9108"/>
    <cellStyle name="Currency 16" xfId="9109"/>
    <cellStyle name="Currency 16 2" xfId="9110"/>
    <cellStyle name="Currency 17" xfId="9111"/>
    <cellStyle name="Currency 17 2" xfId="9112"/>
    <cellStyle name="Currency 17 3" xfId="9113"/>
    <cellStyle name="Currency 18" xfId="9114"/>
    <cellStyle name="Currency 19" xfId="9115"/>
    <cellStyle name="Currency 2" xfId="9116"/>
    <cellStyle name="Currency 2 12" xfId="6"/>
    <cellStyle name="Currency 2 2" xfId="9117"/>
    <cellStyle name="Currency 2 2 2" xfId="9118"/>
    <cellStyle name="Currency 2 3" xfId="9119"/>
    <cellStyle name="Currency 20" xfId="9120"/>
    <cellStyle name="Currency 3" xfId="9121"/>
    <cellStyle name="Currency 3 10" xfId="9122"/>
    <cellStyle name="Currency 3 10 2" xfId="9123"/>
    <cellStyle name="Currency 3 10 3" xfId="9124"/>
    <cellStyle name="Currency 3 11" xfId="9125"/>
    <cellStyle name="Currency 3 11 2" xfId="9126"/>
    <cellStyle name="Currency 3 11 3" xfId="9127"/>
    <cellStyle name="Currency 3 12" xfId="9128"/>
    <cellStyle name="Currency 3 12 2" xfId="9129"/>
    <cellStyle name="Currency 3 12 3" xfId="9130"/>
    <cellStyle name="Currency 3 13" xfId="9131"/>
    <cellStyle name="Currency 3 13 2" xfId="9132"/>
    <cellStyle name="Currency 3 14" xfId="9133"/>
    <cellStyle name="Currency 3 15" xfId="9134"/>
    <cellStyle name="Currency 3 16" xfId="9135"/>
    <cellStyle name="Currency 3 2" xfId="9136"/>
    <cellStyle name="Currency 3 2 2" xfId="9137"/>
    <cellStyle name="Currency 3 3" xfId="9138"/>
    <cellStyle name="Currency 3 3 10" xfId="9139"/>
    <cellStyle name="Currency 3 3 11" xfId="9140"/>
    <cellStyle name="Currency 3 3 2" xfId="9141"/>
    <cellStyle name="Currency 3 3 2 2" xfId="9142"/>
    <cellStyle name="Currency 3 3 2 2 2" xfId="9143"/>
    <cellStyle name="Currency 3 3 2 2 2 2" xfId="9144"/>
    <cellStyle name="Currency 3 3 2 2 3" xfId="9145"/>
    <cellStyle name="Currency 3 3 2 2 3 2" xfId="9146"/>
    <cellStyle name="Currency 3 3 2 2 4" xfId="9147"/>
    <cellStyle name="Currency 3 3 2 2 5" xfId="9148"/>
    <cellStyle name="Currency 3 3 2 3" xfId="9149"/>
    <cellStyle name="Currency 3 3 2 3 2" xfId="9150"/>
    <cellStyle name="Currency 3 3 2 3 2 2" xfId="9151"/>
    <cellStyle name="Currency 3 3 2 3 3" xfId="9152"/>
    <cellStyle name="Currency 3 3 2 4" xfId="9153"/>
    <cellStyle name="Currency 3 3 2 4 2" xfId="9154"/>
    <cellStyle name="Currency 3 3 2 5" xfId="9155"/>
    <cellStyle name="Currency 3 3 2 5 2" xfId="9156"/>
    <cellStyle name="Currency 3 3 2 6" xfId="9157"/>
    <cellStyle name="Currency 3 3 3" xfId="9158"/>
    <cellStyle name="Currency 3 3 3 2" xfId="9159"/>
    <cellStyle name="Currency 3 3 3 2 2" xfId="9160"/>
    <cellStyle name="Currency 3 3 3 2 2 2" xfId="9161"/>
    <cellStyle name="Currency 3 3 3 2 3" xfId="9162"/>
    <cellStyle name="Currency 3 3 3 2 3 2" xfId="9163"/>
    <cellStyle name="Currency 3 3 3 2 4" xfId="9164"/>
    <cellStyle name="Currency 3 3 3 2 5" xfId="9165"/>
    <cellStyle name="Currency 3 3 3 3" xfId="9166"/>
    <cellStyle name="Currency 3 3 3 3 2" xfId="9167"/>
    <cellStyle name="Currency 3 3 3 3 2 2" xfId="9168"/>
    <cellStyle name="Currency 3 3 3 3 3" xfId="9169"/>
    <cellStyle name="Currency 3 3 3 4" xfId="9170"/>
    <cellStyle name="Currency 3 3 3 4 2" xfId="9171"/>
    <cellStyle name="Currency 3 3 3 5" xfId="9172"/>
    <cellStyle name="Currency 3 3 3 5 2" xfId="9173"/>
    <cellStyle name="Currency 3 3 3 6" xfId="9174"/>
    <cellStyle name="Currency 3 3 4" xfId="9175"/>
    <cellStyle name="Currency 3 3 4 2" xfId="9176"/>
    <cellStyle name="Currency 3 3 4 2 2" xfId="9177"/>
    <cellStyle name="Currency 3 3 4 2 2 2" xfId="9178"/>
    <cellStyle name="Currency 3 3 4 2 3" xfId="9179"/>
    <cellStyle name="Currency 3 3 4 2 3 2" xfId="9180"/>
    <cellStyle name="Currency 3 3 4 2 4" xfId="9181"/>
    <cellStyle name="Currency 3 3 4 2 5" xfId="9182"/>
    <cellStyle name="Currency 3 3 4 3" xfId="9183"/>
    <cellStyle name="Currency 3 3 4 3 2" xfId="9184"/>
    <cellStyle name="Currency 3 3 4 3 2 2" xfId="9185"/>
    <cellStyle name="Currency 3 3 4 3 3" xfId="9186"/>
    <cellStyle name="Currency 3 3 4 4" xfId="9187"/>
    <cellStyle name="Currency 3 3 4 4 2" xfId="9188"/>
    <cellStyle name="Currency 3 3 4 5" xfId="9189"/>
    <cellStyle name="Currency 3 3 4 5 2" xfId="9190"/>
    <cellStyle name="Currency 3 3 4 6" xfId="9191"/>
    <cellStyle name="Currency 3 3 5" xfId="9192"/>
    <cellStyle name="Currency 3 3 5 2" xfId="9193"/>
    <cellStyle name="Currency 3 3 5 2 2" xfId="9194"/>
    <cellStyle name="Currency 3 3 5 3" xfId="9195"/>
    <cellStyle name="Currency 3 3 5 3 2" xfId="9196"/>
    <cellStyle name="Currency 3 3 5 4" xfId="9197"/>
    <cellStyle name="Currency 3 3 5 4 2" xfId="9198"/>
    <cellStyle name="Currency 3 3 5 5" xfId="9199"/>
    <cellStyle name="Currency 3 3 6" xfId="9200"/>
    <cellStyle name="Currency 3 3 6 2" xfId="9201"/>
    <cellStyle name="Currency 3 3 6 2 2" xfId="9202"/>
    <cellStyle name="Currency 3 3 6 3" xfId="9203"/>
    <cellStyle name="Currency 3 3 6 3 2" xfId="9204"/>
    <cellStyle name="Currency 3 3 6 4" xfId="9205"/>
    <cellStyle name="Currency 3 3 7" xfId="9206"/>
    <cellStyle name="Currency 3 3 7 2" xfId="9207"/>
    <cellStyle name="Currency 3 3 7 2 2" xfId="9208"/>
    <cellStyle name="Currency 3 3 7 3" xfId="9209"/>
    <cellStyle name="Currency 3 3 8" xfId="9210"/>
    <cellStyle name="Currency 3 3 8 2" xfId="9211"/>
    <cellStyle name="Currency 3 3 9" xfId="9212"/>
    <cellStyle name="Currency 3 4" xfId="9213"/>
    <cellStyle name="Currency 3 4 2" xfId="9214"/>
    <cellStyle name="Currency 3 4 3" xfId="9215"/>
    <cellStyle name="Currency 3 4 3 2" xfId="9216"/>
    <cellStyle name="Currency 3 4 3 2 2" xfId="9217"/>
    <cellStyle name="Currency 3 4 3 3" xfId="9218"/>
    <cellStyle name="Currency 3 4 3 3 2" xfId="9219"/>
    <cellStyle name="Currency 3 4 3 4" xfId="9220"/>
    <cellStyle name="Currency 3 4 3 5" xfId="9221"/>
    <cellStyle name="Currency 3 4 4" xfId="9222"/>
    <cellStyle name="Currency 3 4 4 2" xfId="9223"/>
    <cellStyle name="Currency 3 4 5" xfId="9224"/>
    <cellStyle name="Currency 3 4 5 2" xfId="9225"/>
    <cellStyle name="Currency 3 4 6" xfId="9226"/>
    <cellStyle name="Currency 3 4 6 2" xfId="9227"/>
    <cellStyle name="Currency 3 4 7" xfId="9228"/>
    <cellStyle name="Currency 3 5" xfId="9229"/>
    <cellStyle name="Currency 3 5 2" xfId="9230"/>
    <cellStyle name="Currency 3 5 2 2" xfId="9231"/>
    <cellStyle name="Currency 3 5 2 2 2" xfId="9232"/>
    <cellStyle name="Currency 3 5 2 2 2 2" xfId="9233"/>
    <cellStyle name="Currency 3 5 2 2 3" xfId="9234"/>
    <cellStyle name="Currency 3 5 2 2 3 2" xfId="9235"/>
    <cellStyle name="Currency 3 5 2 2 4" xfId="9236"/>
    <cellStyle name="Currency 3 5 2 2 5" xfId="9237"/>
    <cellStyle name="Currency 3 5 2 3" xfId="9238"/>
    <cellStyle name="Currency 3 5 2 3 2" xfId="9239"/>
    <cellStyle name="Currency 3 5 2 3 2 2" xfId="9240"/>
    <cellStyle name="Currency 3 5 2 3 3" xfId="9241"/>
    <cellStyle name="Currency 3 5 2 4" xfId="9242"/>
    <cellStyle name="Currency 3 5 2 4 2" xfId="9243"/>
    <cellStyle name="Currency 3 5 2 5" xfId="9244"/>
    <cellStyle name="Currency 3 5 2 5 2" xfId="9245"/>
    <cellStyle name="Currency 3 5 2 6" xfId="9246"/>
    <cellStyle name="Currency 3 5 3" xfId="9247"/>
    <cellStyle name="Currency 3 5 3 2" xfId="9248"/>
    <cellStyle name="Currency 3 5 3 2 2" xfId="9249"/>
    <cellStyle name="Currency 3 5 3 2 2 2" xfId="9250"/>
    <cellStyle name="Currency 3 5 3 2 3" xfId="9251"/>
    <cellStyle name="Currency 3 5 3 3" xfId="9252"/>
    <cellStyle name="Currency 3 5 3 3 2" xfId="9253"/>
    <cellStyle name="Currency 3 5 3 4" xfId="9254"/>
    <cellStyle name="Currency 3 5 3 4 2" xfId="9255"/>
    <cellStyle name="Currency 3 5 3 5" xfId="9256"/>
    <cellStyle name="Currency 3 5 4" xfId="9257"/>
    <cellStyle name="Currency 3 5 4 2" xfId="9258"/>
    <cellStyle name="Currency 3 5 4 2 2" xfId="9259"/>
    <cellStyle name="Currency 3 5 4 3" xfId="9260"/>
    <cellStyle name="Currency 3 5 4 3 2" xfId="9261"/>
    <cellStyle name="Currency 3 5 4 4" xfId="9262"/>
    <cellStyle name="Currency 3 5 5" xfId="9263"/>
    <cellStyle name="Currency 3 5 5 2" xfId="9264"/>
    <cellStyle name="Currency 3 5 5 2 2" xfId="9265"/>
    <cellStyle name="Currency 3 5 5 3" xfId="9266"/>
    <cellStyle name="Currency 3 5 6" xfId="9267"/>
    <cellStyle name="Currency 3 5 6 2" xfId="9268"/>
    <cellStyle name="Currency 3 5 6 3" xfId="9269"/>
    <cellStyle name="Currency 3 5 7" xfId="9270"/>
    <cellStyle name="Currency 3 5 7 2" xfId="9271"/>
    <cellStyle name="Currency 3 5 8" xfId="9272"/>
    <cellStyle name="Currency 3 5 9" xfId="9273"/>
    <cellStyle name="Currency 3 6" xfId="9274"/>
    <cellStyle name="Currency 3 6 10" xfId="9275"/>
    <cellStyle name="Currency 3 6 2" xfId="9276"/>
    <cellStyle name="Currency 3 6 2 2" xfId="9277"/>
    <cellStyle name="Currency 3 6 2 2 2" xfId="9278"/>
    <cellStyle name="Currency 3 6 2 2 2 2" xfId="9279"/>
    <cellStyle name="Currency 3 6 2 2 3" xfId="9280"/>
    <cellStyle name="Currency 3 6 2 2 3 2" xfId="9281"/>
    <cellStyle name="Currency 3 6 2 2 4" xfId="9282"/>
    <cellStyle name="Currency 3 6 2 2 5" xfId="9283"/>
    <cellStyle name="Currency 3 6 2 3" xfId="9284"/>
    <cellStyle name="Currency 3 6 2 3 2" xfId="9285"/>
    <cellStyle name="Currency 3 6 2 3 2 2" xfId="9286"/>
    <cellStyle name="Currency 3 6 2 3 3" xfId="9287"/>
    <cellStyle name="Currency 3 6 2 4" xfId="9288"/>
    <cellStyle name="Currency 3 6 2 4 2" xfId="9289"/>
    <cellStyle name="Currency 3 6 2 5" xfId="9290"/>
    <cellStyle name="Currency 3 6 2 5 2" xfId="9291"/>
    <cellStyle name="Currency 3 6 2 6" xfId="9292"/>
    <cellStyle name="Currency 3 6 3" xfId="9293"/>
    <cellStyle name="Currency 3 6 3 2" xfId="9294"/>
    <cellStyle name="Currency 3 6 3 2 2" xfId="9295"/>
    <cellStyle name="Currency 3 6 3 2 2 2" xfId="9296"/>
    <cellStyle name="Currency 3 6 3 2 3" xfId="9297"/>
    <cellStyle name="Currency 3 6 3 3" xfId="9298"/>
    <cellStyle name="Currency 3 6 3 3 2" xfId="9299"/>
    <cellStyle name="Currency 3 6 3 4" xfId="9300"/>
    <cellStyle name="Currency 3 6 3 4 2" xfId="9301"/>
    <cellStyle name="Currency 3 6 3 5" xfId="9302"/>
    <cellStyle name="Currency 3 6 4" xfId="9303"/>
    <cellStyle name="Currency 3 6 4 2" xfId="9304"/>
    <cellStyle name="Currency 3 6 4 2 2" xfId="9305"/>
    <cellStyle name="Currency 3 6 4 3" xfId="9306"/>
    <cellStyle name="Currency 3 6 4 3 2" xfId="9307"/>
    <cellStyle name="Currency 3 6 4 4" xfId="9308"/>
    <cellStyle name="Currency 3 6 5" xfId="9309"/>
    <cellStyle name="Currency 3 6 5 2" xfId="9310"/>
    <cellStyle name="Currency 3 6 5 2 2" xfId="9311"/>
    <cellStyle name="Currency 3 6 5 3" xfId="9312"/>
    <cellStyle name="Currency 3 6 6" xfId="9313"/>
    <cellStyle name="Currency 3 6 6 2" xfId="9314"/>
    <cellStyle name="Currency 3 6 6 3" xfId="9315"/>
    <cellStyle name="Currency 3 6 7" xfId="9316"/>
    <cellStyle name="Currency 3 6 7 2" xfId="9317"/>
    <cellStyle name="Currency 3 6 8" xfId="9318"/>
    <cellStyle name="Currency 3 6 9" xfId="9319"/>
    <cellStyle name="Currency 3 7" xfId="9320"/>
    <cellStyle name="Currency 3 7 2" xfId="9321"/>
    <cellStyle name="Currency 3 7 2 2" xfId="9322"/>
    <cellStyle name="Currency 3 7 2 2 2" xfId="9323"/>
    <cellStyle name="Currency 3 7 2 2 2 2" xfId="9324"/>
    <cellStyle name="Currency 3 7 2 2 3" xfId="9325"/>
    <cellStyle name="Currency 3 7 2 3" xfId="9326"/>
    <cellStyle name="Currency 3 7 2 3 2" xfId="9327"/>
    <cellStyle name="Currency 3 7 2 4" xfId="9328"/>
    <cellStyle name="Currency 3 7 2 4 2" xfId="9329"/>
    <cellStyle name="Currency 3 7 2 5" xfId="9330"/>
    <cellStyle name="Currency 3 7 3" xfId="9331"/>
    <cellStyle name="Currency 3 7 3 2" xfId="9332"/>
    <cellStyle name="Currency 3 7 3 2 2" xfId="9333"/>
    <cellStyle name="Currency 3 7 3 3" xfId="9334"/>
    <cellStyle name="Currency 3 7 3 3 2" xfId="9335"/>
    <cellStyle name="Currency 3 7 3 4" xfId="9336"/>
    <cellStyle name="Currency 3 7 4" xfId="9337"/>
    <cellStyle name="Currency 3 7 4 2" xfId="9338"/>
    <cellStyle name="Currency 3 7 4 2 2" xfId="9339"/>
    <cellStyle name="Currency 3 7 4 3" xfId="9340"/>
    <cellStyle name="Currency 3 7 5" xfId="9341"/>
    <cellStyle name="Currency 3 7 5 2" xfId="9342"/>
    <cellStyle name="Currency 3 7 5 3" xfId="9343"/>
    <cellStyle name="Currency 3 7 6" xfId="9344"/>
    <cellStyle name="Currency 3 7 6 2" xfId="9345"/>
    <cellStyle name="Currency 3 7 7" xfId="9346"/>
    <cellStyle name="Currency 3 7 8" xfId="9347"/>
    <cellStyle name="Currency 3 7 9" xfId="9348"/>
    <cellStyle name="Currency 3 8" xfId="9349"/>
    <cellStyle name="Currency 3 8 2" xfId="9350"/>
    <cellStyle name="Currency 3 8 2 2" xfId="9351"/>
    <cellStyle name="Currency 3 8 3" xfId="9352"/>
    <cellStyle name="Currency 3 8 3 2" xfId="9353"/>
    <cellStyle name="Currency 3 8 4" xfId="9354"/>
    <cellStyle name="Currency 3 9" xfId="9355"/>
    <cellStyle name="Currency 3 9 2" xfId="9356"/>
    <cellStyle name="Currency 3 9 2 2" xfId="9357"/>
    <cellStyle name="Currency 3 9 3" xfId="9358"/>
    <cellStyle name="Currency 3 9 3 2" xfId="9359"/>
    <cellStyle name="Currency 3 9 4" xfId="9360"/>
    <cellStyle name="Currency 4" xfId="9361"/>
    <cellStyle name="Currency 4 10" xfId="9362"/>
    <cellStyle name="Currency 4 10 2" xfId="9363"/>
    <cellStyle name="Currency 4 10 3" xfId="9364"/>
    <cellStyle name="Currency 4 11" xfId="9365"/>
    <cellStyle name="Currency 4 11 2" xfId="9366"/>
    <cellStyle name="Currency 4 11 3" xfId="9367"/>
    <cellStyle name="Currency 4 12" xfId="9368"/>
    <cellStyle name="Currency 4 12 2" xfId="9369"/>
    <cellStyle name="Currency 4 13" xfId="9370"/>
    <cellStyle name="Currency 4 14" xfId="9371"/>
    <cellStyle name="Currency 4 2" xfId="9372"/>
    <cellStyle name="Currency 4 2 2" xfId="9373"/>
    <cellStyle name="Currency 4 3" xfId="9374"/>
    <cellStyle name="Currency 4 3 10" xfId="9375"/>
    <cellStyle name="Currency 4 3 2" xfId="9376"/>
    <cellStyle name="Currency 4 3 2 2" xfId="9377"/>
    <cellStyle name="Currency 4 3 2 2 2" xfId="9378"/>
    <cellStyle name="Currency 4 3 2 2 2 2" xfId="9379"/>
    <cellStyle name="Currency 4 3 2 2 3" xfId="9380"/>
    <cellStyle name="Currency 4 3 2 2 3 2" xfId="9381"/>
    <cellStyle name="Currency 4 3 2 2 4" xfId="9382"/>
    <cellStyle name="Currency 4 3 2 2 5" xfId="9383"/>
    <cellStyle name="Currency 4 3 2 3" xfId="9384"/>
    <cellStyle name="Currency 4 3 2 3 2" xfId="9385"/>
    <cellStyle name="Currency 4 3 2 3 2 2" xfId="9386"/>
    <cellStyle name="Currency 4 3 2 3 3" xfId="9387"/>
    <cellStyle name="Currency 4 3 2 4" xfId="9388"/>
    <cellStyle name="Currency 4 3 2 4 2" xfId="9389"/>
    <cellStyle name="Currency 4 3 2 5" xfId="9390"/>
    <cellStyle name="Currency 4 3 2 5 2" xfId="9391"/>
    <cellStyle name="Currency 4 3 2 6" xfId="9392"/>
    <cellStyle name="Currency 4 3 3" xfId="9393"/>
    <cellStyle name="Currency 4 3 3 2" xfId="9394"/>
    <cellStyle name="Currency 4 3 3 2 2" xfId="9395"/>
    <cellStyle name="Currency 4 3 3 2 2 2" xfId="9396"/>
    <cellStyle name="Currency 4 3 3 2 3" xfId="9397"/>
    <cellStyle name="Currency 4 3 3 2 3 2" xfId="9398"/>
    <cellStyle name="Currency 4 3 3 2 4" xfId="9399"/>
    <cellStyle name="Currency 4 3 3 2 5" xfId="9400"/>
    <cellStyle name="Currency 4 3 3 3" xfId="9401"/>
    <cellStyle name="Currency 4 3 3 3 2" xfId="9402"/>
    <cellStyle name="Currency 4 3 3 3 2 2" xfId="9403"/>
    <cellStyle name="Currency 4 3 3 3 3" xfId="9404"/>
    <cellStyle name="Currency 4 3 3 4" xfId="9405"/>
    <cellStyle name="Currency 4 3 3 4 2" xfId="9406"/>
    <cellStyle name="Currency 4 3 3 5" xfId="9407"/>
    <cellStyle name="Currency 4 3 3 5 2" xfId="9408"/>
    <cellStyle name="Currency 4 3 3 6" xfId="9409"/>
    <cellStyle name="Currency 4 3 4" xfId="9410"/>
    <cellStyle name="Currency 4 3 4 2" xfId="9411"/>
    <cellStyle name="Currency 4 3 4 2 2" xfId="9412"/>
    <cellStyle name="Currency 4 3 4 2 2 2" xfId="9413"/>
    <cellStyle name="Currency 4 3 4 2 3" xfId="9414"/>
    <cellStyle name="Currency 4 3 4 3" xfId="9415"/>
    <cellStyle name="Currency 4 3 4 3 2" xfId="9416"/>
    <cellStyle name="Currency 4 3 4 4" xfId="9417"/>
    <cellStyle name="Currency 4 3 4 4 2" xfId="9418"/>
    <cellStyle name="Currency 4 3 4 5" xfId="9419"/>
    <cellStyle name="Currency 4 3 5" xfId="9420"/>
    <cellStyle name="Currency 4 3 5 2" xfId="9421"/>
    <cellStyle name="Currency 4 3 5 2 2" xfId="9422"/>
    <cellStyle name="Currency 4 3 5 3" xfId="9423"/>
    <cellStyle name="Currency 4 3 5 3 2" xfId="9424"/>
    <cellStyle name="Currency 4 3 5 4" xfId="9425"/>
    <cellStyle name="Currency 4 3 5 4 2" xfId="9426"/>
    <cellStyle name="Currency 4 3 5 5" xfId="9427"/>
    <cellStyle name="Currency 4 3 6" xfId="9428"/>
    <cellStyle name="Currency 4 3 6 2" xfId="9429"/>
    <cellStyle name="Currency 4 3 6 2 2" xfId="9430"/>
    <cellStyle name="Currency 4 3 6 3" xfId="9431"/>
    <cellStyle name="Currency 4 3 7" xfId="9432"/>
    <cellStyle name="Currency 4 3 7 2" xfId="9433"/>
    <cellStyle name="Currency 4 3 7 2 2" xfId="9434"/>
    <cellStyle name="Currency 4 3 7 3" xfId="9435"/>
    <cellStyle name="Currency 4 3 8" xfId="9436"/>
    <cellStyle name="Currency 4 3 8 2" xfId="9437"/>
    <cellStyle name="Currency 4 3 9" xfId="9438"/>
    <cellStyle name="Currency 4 4" xfId="9439"/>
    <cellStyle name="Currency 4 4 2" xfId="9440"/>
    <cellStyle name="Currency 4 5" xfId="9441"/>
    <cellStyle name="Currency 4 5 2" xfId="9442"/>
    <cellStyle name="Currency 4 5 2 2" xfId="9443"/>
    <cellStyle name="Currency 4 5 2 2 2" xfId="9444"/>
    <cellStyle name="Currency 4 5 2 3" xfId="9445"/>
    <cellStyle name="Currency 4 5 2 3 2" xfId="9446"/>
    <cellStyle name="Currency 4 5 2 4" xfId="9447"/>
    <cellStyle name="Currency 4 5 2 5" xfId="9448"/>
    <cellStyle name="Currency 4 5 3" xfId="9449"/>
    <cellStyle name="Currency 4 5 3 2" xfId="9450"/>
    <cellStyle name="Currency 4 5 3 2 2" xfId="9451"/>
    <cellStyle name="Currency 4 5 3 3" xfId="9452"/>
    <cellStyle name="Currency 4 5 4" xfId="9453"/>
    <cellStyle name="Currency 4 5 4 2" xfId="9454"/>
    <cellStyle name="Currency 4 5 5" xfId="9455"/>
    <cellStyle name="Currency 4 5 5 2" xfId="9456"/>
    <cellStyle name="Currency 4 5 6" xfId="9457"/>
    <cellStyle name="Currency 4 6" xfId="9458"/>
    <cellStyle name="Currency 4 6 2" xfId="9459"/>
    <cellStyle name="Currency 4 6 2 2" xfId="9460"/>
    <cellStyle name="Currency 4 6 2 2 2" xfId="9461"/>
    <cellStyle name="Currency 4 6 2 3" xfId="9462"/>
    <cellStyle name="Currency 4 6 2 3 2" xfId="9463"/>
    <cellStyle name="Currency 4 6 2 4" xfId="9464"/>
    <cellStyle name="Currency 4 6 2 5" xfId="9465"/>
    <cellStyle name="Currency 4 6 3" xfId="9466"/>
    <cellStyle name="Currency 4 6 3 2" xfId="9467"/>
    <cellStyle name="Currency 4 6 3 2 2" xfId="9468"/>
    <cellStyle name="Currency 4 6 3 3" xfId="9469"/>
    <cellStyle name="Currency 4 6 4" xfId="9470"/>
    <cellStyle name="Currency 4 6 4 2" xfId="9471"/>
    <cellStyle name="Currency 4 6 5" xfId="9472"/>
    <cellStyle name="Currency 4 6 5 2" xfId="9473"/>
    <cellStyle name="Currency 4 6 6" xfId="9474"/>
    <cellStyle name="Currency 4 7" xfId="9475"/>
    <cellStyle name="Currency 4 7 2" xfId="9476"/>
    <cellStyle name="Currency 4 7 2 2" xfId="9477"/>
    <cellStyle name="Currency 4 7 3" xfId="9478"/>
    <cellStyle name="Currency 4 7 3 2" xfId="9479"/>
    <cellStyle name="Currency 4 7 4" xfId="9480"/>
    <cellStyle name="Currency 4 8" xfId="9481"/>
    <cellStyle name="Currency 4 8 2" xfId="9482"/>
    <cellStyle name="Currency 4 8 2 2" xfId="9483"/>
    <cellStyle name="Currency 4 8 3" xfId="9484"/>
    <cellStyle name="Currency 4 8 3 2" xfId="9485"/>
    <cellStyle name="Currency 4 8 4" xfId="9486"/>
    <cellStyle name="Currency 4 9" xfId="9487"/>
    <cellStyle name="Currency 4 9 2" xfId="9488"/>
    <cellStyle name="Currency 4 9 2 2" xfId="9489"/>
    <cellStyle name="Currency 4 9 3" xfId="9490"/>
    <cellStyle name="Currency 4 9 4" xfId="9491"/>
    <cellStyle name="Currency 5" xfId="9492"/>
    <cellStyle name="Currency 5 2" xfId="9493"/>
    <cellStyle name="Currency 5 2 2" xfId="9494"/>
    <cellStyle name="Currency 5 3" xfId="9495"/>
    <cellStyle name="Currency 6" xfId="9496"/>
    <cellStyle name="Currency 6 2" xfId="9497"/>
    <cellStyle name="Currency 6 2 2" xfId="9498"/>
    <cellStyle name="Currency 6 3" xfId="9499"/>
    <cellStyle name="Currency 7" xfId="9500"/>
    <cellStyle name="Currency 7 10" xfId="9501"/>
    <cellStyle name="Currency 7 10 2" xfId="9502"/>
    <cellStyle name="Currency 7 11" xfId="9503"/>
    <cellStyle name="Currency 7 12" xfId="9504"/>
    <cellStyle name="Currency 7 2" xfId="9505"/>
    <cellStyle name="Currency 7 2 10" xfId="9506"/>
    <cellStyle name="Currency 7 2 2" xfId="9507"/>
    <cellStyle name="Currency 7 2 2 2" xfId="9508"/>
    <cellStyle name="Currency 7 2 2 2 2" xfId="9509"/>
    <cellStyle name="Currency 7 2 2 2 2 2" xfId="9510"/>
    <cellStyle name="Currency 7 2 2 2 3" xfId="9511"/>
    <cellStyle name="Currency 7 2 2 2 3 2" xfId="9512"/>
    <cellStyle name="Currency 7 2 2 2 4" xfId="9513"/>
    <cellStyle name="Currency 7 2 2 2 4 2" xfId="9514"/>
    <cellStyle name="Currency 7 2 2 2 5" xfId="9515"/>
    <cellStyle name="Currency 7 2 2 3" xfId="9516"/>
    <cellStyle name="Currency 7 2 2 3 2" xfId="9517"/>
    <cellStyle name="Currency 7 2 2 3 2 2" xfId="9518"/>
    <cellStyle name="Currency 7 2 2 3 3" xfId="9519"/>
    <cellStyle name="Currency 7 2 2 4" xfId="9520"/>
    <cellStyle name="Currency 7 2 2 4 2" xfId="9521"/>
    <cellStyle name="Currency 7 2 2 5" xfId="9522"/>
    <cellStyle name="Currency 7 2 2 5 2" xfId="9523"/>
    <cellStyle name="Currency 7 2 2 6" xfId="9524"/>
    <cellStyle name="Currency 7 2 3" xfId="9525"/>
    <cellStyle name="Currency 7 2 3 2" xfId="9526"/>
    <cellStyle name="Currency 7 2 3 2 2" xfId="9527"/>
    <cellStyle name="Currency 7 2 3 2 2 2" xfId="9528"/>
    <cellStyle name="Currency 7 2 3 2 3" xfId="9529"/>
    <cellStyle name="Currency 7 2 3 2 3 2" xfId="9530"/>
    <cellStyle name="Currency 7 2 3 2 4" xfId="9531"/>
    <cellStyle name="Currency 7 2 3 2 5" xfId="9532"/>
    <cellStyle name="Currency 7 2 3 3" xfId="9533"/>
    <cellStyle name="Currency 7 2 3 3 2" xfId="9534"/>
    <cellStyle name="Currency 7 2 3 3 2 2" xfId="9535"/>
    <cellStyle name="Currency 7 2 3 3 3" xfId="9536"/>
    <cellStyle name="Currency 7 2 3 4" xfId="9537"/>
    <cellStyle name="Currency 7 2 3 4 2" xfId="9538"/>
    <cellStyle name="Currency 7 2 3 5" xfId="9539"/>
    <cellStyle name="Currency 7 2 3 5 2" xfId="9540"/>
    <cellStyle name="Currency 7 2 3 6" xfId="9541"/>
    <cellStyle name="Currency 7 2 4" xfId="9542"/>
    <cellStyle name="Currency 7 2 4 2" xfId="9543"/>
    <cellStyle name="Currency 7 2 4 2 2" xfId="9544"/>
    <cellStyle name="Currency 7 2 4 2 2 2" xfId="9545"/>
    <cellStyle name="Currency 7 2 4 2 3" xfId="9546"/>
    <cellStyle name="Currency 7 2 4 2 3 2" xfId="9547"/>
    <cellStyle name="Currency 7 2 4 2 4" xfId="9548"/>
    <cellStyle name="Currency 7 2 4 3" xfId="9549"/>
    <cellStyle name="Currency 7 2 4 3 2" xfId="9550"/>
    <cellStyle name="Currency 7 2 4 4" xfId="9551"/>
    <cellStyle name="Currency 7 2 4 4 2" xfId="9552"/>
    <cellStyle name="Currency 7 2 4 5" xfId="9553"/>
    <cellStyle name="Currency 7 2 4 5 2" xfId="9554"/>
    <cellStyle name="Currency 7 2 4 6" xfId="9555"/>
    <cellStyle name="Currency 7 2 5" xfId="9556"/>
    <cellStyle name="Currency 7 2 5 2" xfId="9557"/>
    <cellStyle name="Currency 7 2 5 2 2" xfId="9558"/>
    <cellStyle name="Currency 7 2 5 3" xfId="9559"/>
    <cellStyle name="Currency 7 2 5 3 2" xfId="9560"/>
    <cellStyle name="Currency 7 2 5 4" xfId="9561"/>
    <cellStyle name="Currency 7 2 5 4 2" xfId="9562"/>
    <cellStyle name="Currency 7 2 5 5" xfId="9563"/>
    <cellStyle name="Currency 7 2 6" xfId="9564"/>
    <cellStyle name="Currency 7 2 6 2" xfId="9565"/>
    <cellStyle name="Currency 7 2 6 2 2" xfId="9566"/>
    <cellStyle name="Currency 7 2 6 3" xfId="9567"/>
    <cellStyle name="Currency 7 2 6 3 2" xfId="9568"/>
    <cellStyle name="Currency 7 2 6 4" xfId="9569"/>
    <cellStyle name="Currency 7 2 7" xfId="9570"/>
    <cellStyle name="Currency 7 2 7 2" xfId="9571"/>
    <cellStyle name="Currency 7 2 7 2 2" xfId="9572"/>
    <cellStyle name="Currency 7 2 7 3" xfId="9573"/>
    <cellStyle name="Currency 7 2 8" xfId="9574"/>
    <cellStyle name="Currency 7 2 8 2" xfId="9575"/>
    <cellStyle name="Currency 7 2 9" xfId="9576"/>
    <cellStyle name="Currency 7 3" xfId="9577"/>
    <cellStyle name="Currency 7 3 2" xfId="9578"/>
    <cellStyle name="Currency 7 3 2 2" xfId="9579"/>
    <cellStyle name="Currency 7 3 2 2 2" xfId="9580"/>
    <cellStyle name="Currency 7 3 2 3" xfId="9581"/>
    <cellStyle name="Currency 7 3 2 3 2" xfId="9582"/>
    <cellStyle name="Currency 7 3 2 4" xfId="9583"/>
    <cellStyle name="Currency 7 3 2 4 2" xfId="9584"/>
    <cellStyle name="Currency 7 3 2 5" xfId="9585"/>
    <cellStyle name="Currency 7 3 3" xfId="9586"/>
    <cellStyle name="Currency 7 3 3 2" xfId="9587"/>
    <cellStyle name="Currency 7 3 3 2 2" xfId="9588"/>
    <cellStyle name="Currency 7 3 3 3" xfId="9589"/>
    <cellStyle name="Currency 7 3 4" xfId="9590"/>
    <cellStyle name="Currency 7 3 4 2" xfId="9591"/>
    <cellStyle name="Currency 7 3 5" xfId="9592"/>
    <cellStyle name="Currency 7 3 5 2" xfId="9593"/>
    <cellStyle name="Currency 7 3 6" xfId="9594"/>
    <cellStyle name="Currency 7 4" xfId="9595"/>
    <cellStyle name="Currency 7 4 2" xfId="9596"/>
    <cellStyle name="Currency 7 4 2 2" xfId="9597"/>
    <cellStyle name="Currency 7 4 2 2 2" xfId="9598"/>
    <cellStyle name="Currency 7 4 2 3" xfId="9599"/>
    <cellStyle name="Currency 7 4 2 3 2" xfId="9600"/>
    <cellStyle name="Currency 7 4 2 4" xfId="9601"/>
    <cellStyle name="Currency 7 4 2 4 2" xfId="9602"/>
    <cellStyle name="Currency 7 4 2 5" xfId="9603"/>
    <cellStyle name="Currency 7 4 3" xfId="9604"/>
    <cellStyle name="Currency 7 4 3 2" xfId="9605"/>
    <cellStyle name="Currency 7 4 3 2 2" xfId="9606"/>
    <cellStyle name="Currency 7 4 3 3" xfId="9607"/>
    <cellStyle name="Currency 7 4 4" xfId="9608"/>
    <cellStyle name="Currency 7 4 4 2" xfId="9609"/>
    <cellStyle name="Currency 7 4 5" xfId="9610"/>
    <cellStyle name="Currency 7 4 5 2" xfId="9611"/>
    <cellStyle name="Currency 7 4 6" xfId="9612"/>
    <cellStyle name="Currency 7 5" xfId="9613"/>
    <cellStyle name="Currency 7 5 2" xfId="9614"/>
    <cellStyle name="Currency 7 5 2 2" xfId="9615"/>
    <cellStyle name="Currency 7 5 2 2 2" xfId="9616"/>
    <cellStyle name="Currency 7 5 2 3" xfId="9617"/>
    <cellStyle name="Currency 7 5 2 3 2" xfId="9618"/>
    <cellStyle name="Currency 7 5 2 4" xfId="9619"/>
    <cellStyle name="Currency 7 5 2 5" xfId="9620"/>
    <cellStyle name="Currency 7 5 3" xfId="9621"/>
    <cellStyle name="Currency 7 5 3 2" xfId="9622"/>
    <cellStyle name="Currency 7 5 3 2 2" xfId="9623"/>
    <cellStyle name="Currency 7 5 3 3" xfId="9624"/>
    <cellStyle name="Currency 7 5 4" xfId="9625"/>
    <cellStyle name="Currency 7 5 4 2" xfId="9626"/>
    <cellStyle name="Currency 7 5 5" xfId="9627"/>
    <cellStyle name="Currency 7 5 5 2" xfId="9628"/>
    <cellStyle name="Currency 7 5 6" xfId="9629"/>
    <cellStyle name="Currency 7 6" xfId="9630"/>
    <cellStyle name="Currency 7 6 2" xfId="9631"/>
    <cellStyle name="Currency 7 6 2 2" xfId="9632"/>
    <cellStyle name="Currency 7 6 2 2 2" xfId="9633"/>
    <cellStyle name="Currency 7 6 2 3" xfId="9634"/>
    <cellStyle name="Currency 7 6 3" xfId="9635"/>
    <cellStyle name="Currency 7 6 3 2" xfId="9636"/>
    <cellStyle name="Currency 7 6 4" xfId="9637"/>
    <cellStyle name="Currency 7 6 4 2" xfId="9638"/>
    <cellStyle name="Currency 7 6 5" xfId="9639"/>
    <cellStyle name="Currency 7 7" xfId="9640"/>
    <cellStyle name="Currency 7 7 2" xfId="9641"/>
    <cellStyle name="Currency 7 7 2 2" xfId="9642"/>
    <cellStyle name="Currency 7 7 3" xfId="9643"/>
    <cellStyle name="Currency 7 7 3 2" xfId="9644"/>
    <cellStyle name="Currency 7 7 4" xfId="9645"/>
    <cellStyle name="Currency 7 8" xfId="9646"/>
    <cellStyle name="Currency 7 8 2" xfId="9647"/>
    <cellStyle name="Currency 7 8 2 2" xfId="9648"/>
    <cellStyle name="Currency 7 8 3" xfId="9649"/>
    <cellStyle name="Currency 7 9" xfId="9650"/>
    <cellStyle name="Currency 7 9 2" xfId="9651"/>
    <cellStyle name="Currency 7 9 2 2" xfId="9652"/>
    <cellStyle name="Currency 7 9 3" xfId="9653"/>
    <cellStyle name="Currency 8" xfId="9654"/>
    <cellStyle name="Currency 8 2" xfId="9655"/>
    <cellStyle name="Currency 8 2 2" xfId="9656"/>
    <cellStyle name="Currency 8 2 3" xfId="9657"/>
    <cellStyle name="Currency 8 2 4" xfId="9658"/>
    <cellStyle name="Currency 8 3" xfId="9659"/>
    <cellStyle name="Currency 8 3 2" xfId="9660"/>
    <cellStyle name="Currency 8 3 2 2" xfId="9661"/>
    <cellStyle name="Currency 8 3 3" xfId="9662"/>
    <cellStyle name="Currency 8 3 3 2" xfId="9663"/>
    <cellStyle name="Currency 8 3 4" xfId="9664"/>
    <cellStyle name="Currency 8 3 4 2" xfId="9665"/>
    <cellStyle name="Currency 8 3 5" xfId="9666"/>
    <cellStyle name="Currency 8 4" xfId="9667"/>
    <cellStyle name="Currency 8 5" xfId="9668"/>
    <cellStyle name="Currency 9" xfId="9669"/>
    <cellStyle name="Currency 9 10" xfId="9670"/>
    <cellStyle name="Currency 9 11" xfId="9671"/>
    <cellStyle name="Currency 9 2" xfId="9672"/>
    <cellStyle name="Currency 9 2 2" xfId="9673"/>
    <cellStyle name="Currency 9 2 2 2" xfId="9674"/>
    <cellStyle name="Currency 9 2 2 2 2" xfId="9675"/>
    <cellStyle name="Currency 9 2 2 3" xfId="9676"/>
    <cellStyle name="Currency 9 2 2 3 2" xfId="9677"/>
    <cellStyle name="Currency 9 2 2 4" xfId="9678"/>
    <cellStyle name="Currency 9 2 2 5" xfId="9679"/>
    <cellStyle name="Currency 9 2 3" xfId="9680"/>
    <cellStyle name="Currency 9 2 3 2" xfId="9681"/>
    <cellStyle name="Currency 9 2 3 2 2" xfId="9682"/>
    <cellStyle name="Currency 9 2 3 3" xfId="9683"/>
    <cellStyle name="Currency 9 2 4" xfId="9684"/>
    <cellStyle name="Currency 9 2 4 2" xfId="9685"/>
    <cellStyle name="Currency 9 2 5" xfId="9686"/>
    <cellStyle name="Currency 9 2 5 2" xfId="9687"/>
    <cellStyle name="Currency 9 2 6" xfId="9688"/>
    <cellStyle name="Currency 9 3" xfId="9689"/>
    <cellStyle name="Currency 9 3 2" xfId="9690"/>
    <cellStyle name="Currency 9 3 2 2" xfId="9691"/>
    <cellStyle name="Currency 9 3 2 2 2" xfId="9692"/>
    <cellStyle name="Currency 9 3 2 3" xfId="9693"/>
    <cellStyle name="Currency 9 3 2 3 2" xfId="9694"/>
    <cellStyle name="Currency 9 3 2 4" xfId="9695"/>
    <cellStyle name="Currency 9 3 2 5" xfId="9696"/>
    <cellStyle name="Currency 9 3 3" xfId="9697"/>
    <cellStyle name="Currency 9 3 3 2" xfId="9698"/>
    <cellStyle name="Currency 9 3 3 2 2" xfId="9699"/>
    <cellStyle name="Currency 9 3 3 3" xfId="9700"/>
    <cellStyle name="Currency 9 3 4" xfId="9701"/>
    <cellStyle name="Currency 9 3 4 2" xfId="9702"/>
    <cellStyle name="Currency 9 3 5" xfId="9703"/>
    <cellStyle name="Currency 9 3 5 2" xfId="9704"/>
    <cellStyle name="Currency 9 3 6" xfId="9705"/>
    <cellStyle name="Currency 9 4" xfId="9706"/>
    <cellStyle name="Currency 9 4 2" xfId="9707"/>
    <cellStyle name="Currency 9 4 2 2" xfId="9708"/>
    <cellStyle name="Currency 9 4 2 2 2" xfId="9709"/>
    <cellStyle name="Currency 9 4 2 3" xfId="9710"/>
    <cellStyle name="Currency 9 4 3" xfId="9711"/>
    <cellStyle name="Currency 9 4 3 2" xfId="9712"/>
    <cellStyle name="Currency 9 4 4" xfId="9713"/>
    <cellStyle name="Currency 9 4 4 2" xfId="9714"/>
    <cellStyle name="Currency 9 4 5" xfId="9715"/>
    <cellStyle name="Currency 9 5" xfId="9716"/>
    <cellStyle name="Currency 9 5 2" xfId="9717"/>
    <cellStyle name="Currency 9 5 2 2" xfId="9718"/>
    <cellStyle name="Currency 9 5 3" xfId="9719"/>
    <cellStyle name="Currency 9 5 3 2" xfId="9720"/>
    <cellStyle name="Currency 9 5 4" xfId="9721"/>
    <cellStyle name="Currency 9 5 4 2" xfId="9722"/>
    <cellStyle name="Currency 9 5 5" xfId="9723"/>
    <cellStyle name="Currency 9 6" xfId="9724"/>
    <cellStyle name="Currency 9 6 2" xfId="9725"/>
    <cellStyle name="Currency 9 6 2 2" xfId="9726"/>
    <cellStyle name="Currency 9 6 3" xfId="9727"/>
    <cellStyle name="Currency 9 6 3 2" xfId="9728"/>
    <cellStyle name="Currency 9 6 4" xfId="9729"/>
    <cellStyle name="Currency 9 7" xfId="9730"/>
    <cellStyle name="Currency 9 7 2" xfId="9731"/>
    <cellStyle name="Currency 9 7 2 2" xfId="9732"/>
    <cellStyle name="Currency 9 7 3" xfId="9733"/>
    <cellStyle name="Currency 9 8" xfId="9734"/>
    <cellStyle name="Currency 9 8 2" xfId="9735"/>
    <cellStyle name="Currency 9 9" xfId="9736"/>
    <cellStyle name="Currency 9 9 2" xfId="9737"/>
    <cellStyle name="Currency0" xfId="9738"/>
    <cellStyle name="Date" xfId="9739"/>
    <cellStyle name="Emphasis 1" xfId="9740"/>
    <cellStyle name="Emphasis 2" xfId="9741"/>
    <cellStyle name="Emphasis 3" xfId="9742"/>
    <cellStyle name="Entered" xfId="9743"/>
    <cellStyle name="Euro" xfId="7"/>
    <cellStyle name="Explanatory Text 2" xfId="9744"/>
    <cellStyle name="Explanatory Text 2 2" xfId="9745"/>
    <cellStyle name="Explanatory Text 2 2 2" xfId="9746"/>
    <cellStyle name="Explanatory Text 2 2 3" xfId="9747"/>
    <cellStyle name="Explanatory Text 2 3" xfId="9748"/>
    <cellStyle name="Explanatory Text 2 4" xfId="9749"/>
    <cellStyle name="Explanatory Text 2 4 2" xfId="9750"/>
    <cellStyle name="Explanatory Text 2 5" xfId="9751"/>
    <cellStyle name="Explanatory Text 2 6" xfId="9752"/>
    <cellStyle name="Explanatory Text 2 7" xfId="9753"/>
    <cellStyle name="Explanatory Text 2 8" xfId="9754"/>
    <cellStyle name="Explanatory Text 3" xfId="9755"/>
    <cellStyle name="Explanatory Text 3 2" xfId="9756"/>
    <cellStyle name="Explanatory Text 3 3" xfId="9757"/>
    <cellStyle name="Explanatory Text 3 4" xfId="9758"/>
    <cellStyle name="Explanatory Text 4" xfId="9759"/>
    <cellStyle name="Explanatory Text 4 2" xfId="9760"/>
    <cellStyle name="Explanatory Text 4 3" xfId="9761"/>
    <cellStyle name="Explanatory Text 5" xfId="9762"/>
    <cellStyle name="Explanatory Text 5 2" xfId="9763"/>
    <cellStyle name="Explanatory Text 5 3" xfId="9764"/>
    <cellStyle name="Explanatory Text 6" xfId="9765"/>
    <cellStyle name="Explanatory Text 6 2" xfId="9766"/>
    <cellStyle name="Fixed" xfId="9767"/>
    <cellStyle name="Fixed3 - Style3" xfId="9768"/>
    <cellStyle name="Good 2" xfId="9769"/>
    <cellStyle name="Good 2 2" xfId="9770"/>
    <cellStyle name="Good 2 2 2" xfId="9771"/>
    <cellStyle name="Good 2 2 3" xfId="9772"/>
    <cellStyle name="Good 2 2 4" xfId="9773"/>
    <cellStyle name="Good 2 3" xfId="9774"/>
    <cellStyle name="Good 2 3 2" xfId="9775"/>
    <cellStyle name="Good 2 3 3" xfId="9776"/>
    <cellStyle name="Good 2 4" xfId="9777"/>
    <cellStyle name="Good 2 4 2" xfId="9778"/>
    <cellStyle name="Good 2 4 3" xfId="9779"/>
    <cellStyle name="Good 2 5" xfId="9780"/>
    <cellStyle name="Good 2 6" xfId="9781"/>
    <cellStyle name="Good 3" xfId="9782"/>
    <cellStyle name="Good 3 2" xfId="9783"/>
    <cellStyle name="Good 3 2 2" xfId="9784"/>
    <cellStyle name="Good 3 2 3" xfId="9785"/>
    <cellStyle name="Good 3 3" xfId="9786"/>
    <cellStyle name="Good 3 4" xfId="9787"/>
    <cellStyle name="Good 3 5" xfId="9788"/>
    <cellStyle name="Good 4" xfId="9789"/>
    <cellStyle name="Good 4 2" xfId="9790"/>
    <cellStyle name="Good 4 3" xfId="9791"/>
    <cellStyle name="Good 5" xfId="9792"/>
    <cellStyle name="Good 5 2" xfId="9793"/>
    <cellStyle name="Good 5 3" xfId="9794"/>
    <cellStyle name="Good 6" xfId="9795"/>
    <cellStyle name="Good 6 2" xfId="9796"/>
    <cellStyle name="Good 6 3" xfId="9797"/>
    <cellStyle name="Good 6 4" xfId="9798"/>
    <cellStyle name="Grey" xfId="8"/>
    <cellStyle name="Grey 2" xfId="9799"/>
    <cellStyle name="Grey 3" xfId="9800"/>
    <cellStyle name="Header" xfId="9801"/>
    <cellStyle name="Header1" xfId="9802"/>
    <cellStyle name="Header2" xfId="9803"/>
    <cellStyle name="Heading" xfId="9804"/>
    <cellStyle name="Heading 1 2" xfId="9805"/>
    <cellStyle name="Heading 1 2 2" xfId="9806"/>
    <cellStyle name="Heading 1 2 2 2" xfId="9807"/>
    <cellStyle name="Heading 1 2 2 3" xfId="9808"/>
    <cellStyle name="Heading 1 2 3" xfId="9809"/>
    <cellStyle name="Heading 1 2 3 2" xfId="9810"/>
    <cellStyle name="Heading 1 2 4" xfId="9811"/>
    <cellStyle name="Heading 1 3" xfId="9812"/>
    <cellStyle name="Heading 1 3 2" xfId="9813"/>
    <cellStyle name="Heading 1 3 3" xfId="9814"/>
    <cellStyle name="Heading 1 4" xfId="9815"/>
    <cellStyle name="Heading 1 4 2" xfId="9816"/>
    <cellStyle name="Heading 1 4 3" xfId="9817"/>
    <cellStyle name="Heading 1 4 4" xfId="9818"/>
    <cellStyle name="Heading 1 5" xfId="9819"/>
    <cellStyle name="Heading 2 2" xfId="9820"/>
    <cellStyle name="Heading 2 2 2" xfId="9821"/>
    <cellStyle name="Heading 2 2 2 2" xfId="9822"/>
    <cellStyle name="Heading 2 2 2 3" xfId="9823"/>
    <cellStyle name="Heading 2 2 3" xfId="9824"/>
    <cellStyle name="Heading 2 2 3 2" xfId="9825"/>
    <cellStyle name="Heading 2 2 4" xfId="9826"/>
    <cellStyle name="Heading 2 3" xfId="9827"/>
    <cellStyle name="Heading 2 3 2" xfId="9828"/>
    <cellStyle name="Heading 2 3 3" xfId="9829"/>
    <cellStyle name="Heading 2 4" xfId="9830"/>
    <cellStyle name="Heading 2 4 2" xfId="9831"/>
    <cellStyle name="Heading 2 4 3" xfId="9832"/>
    <cellStyle name="Heading 2 4 4" xfId="9833"/>
    <cellStyle name="Heading 2 5" xfId="9834"/>
    <cellStyle name="Heading 3 2" xfId="9835"/>
    <cellStyle name="Heading 3 2 2" xfId="9836"/>
    <cellStyle name="Heading 3 2 2 2" xfId="9837"/>
    <cellStyle name="Heading 3 2 2 3" xfId="9838"/>
    <cellStyle name="Heading 3 2 3" xfId="9839"/>
    <cellStyle name="Heading 3 2 3 2" xfId="9840"/>
    <cellStyle name="Heading 3 2 4" xfId="9841"/>
    <cellStyle name="Heading 3 2 5" xfId="9842"/>
    <cellStyle name="Heading 3 3" xfId="9843"/>
    <cellStyle name="Heading 3 3 2" xfId="9844"/>
    <cellStyle name="Heading 3 3 3" xfId="9845"/>
    <cellStyle name="Heading 3 3 3 2" xfId="9846"/>
    <cellStyle name="Heading 3 4" xfId="9847"/>
    <cellStyle name="Heading 3 4 2" xfId="9848"/>
    <cellStyle name="Heading 3 4 2 2" xfId="9849"/>
    <cellStyle name="Heading 3 4 3" xfId="9850"/>
    <cellStyle name="Heading 3 4 4" xfId="9851"/>
    <cellStyle name="Heading 3 4 5" xfId="9852"/>
    <cellStyle name="Heading 3 5" xfId="9853"/>
    <cellStyle name="Heading 3 5 2" xfId="9854"/>
    <cellStyle name="Heading 4 2" xfId="9855"/>
    <cellStyle name="Heading 4 2 2" xfId="9856"/>
    <cellStyle name="Heading 4 2 2 2" xfId="9857"/>
    <cellStyle name="Heading 4 2 2 3" xfId="9858"/>
    <cellStyle name="Heading 4 2 3" xfId="9859"/>
    <cellStyle name="Heading 4 2 3 2" xfId="9860"/>
    <cellStyle name="Heading 4 2 4" xfId="9861"/>
    <cellStyle name="Heading 4 3" xfId="9862"/>
    <cellStyle name="Heading 4 3 2" xfId="9863"/>
    <cellStyle name="Heading 4 3 3" xfId="9864"/>
    <cellStyle name="Heading 4 4" xfId="9865"/>
    <cellStyle name="Heading 4 4 2" xfId="9866"/>
    <cellStyle name="Heading 4 4 3" xfId="9867"/>
    <cellStyle name="Heading 4 4 4" xfId="9868"/>
    <cellStyle name="Heading 4 5" xfId="9869"/>
    <cellStyle name="Heading1" xfId="9870"/>
    <cellStyle name="Heading2" xfId="9871"/>
    <cellStyle name="Hyperlink_F2009Tables_Final_with_link" xfId="9"/>
    <cellStyle name="Input [yellow]" xfId="10"/>
    <cellStyle name="Input [yellow] 2" xfId="9872"/>
    <cellStyle name="Input [yellow] 3" xfId="9873"/>
    <cellStyle name="Input 10" xfId="9874"/>
    <cellStyle name="Input 10 2" xfId="9875"/>
    <cellStyle name="Input 10 2 2" xfId="9876"/>
    <cellStyle name="Input 10 2 3" xfId="9877"/>
    <cellStyle name="Input 10 3" xfId="9878"/>
    <cellStyle name="Input 10 4" xfId="9879"/>
    <cellStyle name="Input 11" xfId="9880"/>
    <cellStyle name="Input 11 2" xfId="9881"/>
    <cellStyle name="Input 11 2 2" xfId="9882"/>
    <cellStyle name="Input 11 2 3" xfId="9883"/>
    <cellStyle name="Input 11 3" xfId="9884"/>
    <cellStyle name="Input 11 4" xfId="9885"/>
    <cellStyle name="Input 12" xfId="9886"/>
    <cellStyle name="Input 12 2" xfId="9887"/>
    <cellStyle name="Input 12 2 2" xfId="9888"/>
    <cellStyle name="Input 12 2 3" xfId="9889"/>
    <cellStyle name="Input 12 3" xfId="9890"/>
    <cellStyle name="Input 12 4" xfId="9891"/>
    <cellStyle name="Input 13" xfId="9892"/>
    <cellStyle name="Input 13 2" xfId="9893"/>
    <cellStyle name="Input 13 3" xfId="9894"/>
    <cellStyle name="Input 13 4" xfId="9895"/>
    <cellStyle name="Input 14" xfId="9896"/>
    <cellStyle name="Input 14 2" xfId="9897"/>
    <cellStyle name="Input 14 3" xfId="9898"/>
    <cellStyle name="Input 14 4" xfId="9899"/>
    <cellStyle name="Input 15" xfId="9900"/>
    <cellStyle name="Input 15 2" xfId="9901"/>
    <cellStyle name="Input 15 3" xfId="9902"/>
    <cellStyle name="Input 15 4" xfId="9903"/>
    <cellStyle name="Input 16" xfId="9904"/>
    <cellStyle name="Input 16 2" xfId="9905"/>
    <cellStyle name="Input 16 2 2" xfId="9906"/>
    <cellStyle name="Input 16 3" xfId="9907"/>
    <cellStyle name="Input 16 4" xfId="9908"/>
    <cellStyle name="Input 17" xfId="9909"/>
    <cellStyle name="Input 17 2" xfId="9910"/>
    <cellStyle name="Input 17 3" xfId="9911"/>
    <cellStyle name="Input 18" xfId="9912"/>
    <cellStyle name="Input 18 2" xfId="9913"/>
    <cellStyle name="Input 18 2 2" xfId="9914"/>
    <cellStyle name="Input 18 3" xfId="9915"/>
    <cellStyle name="Input 19" xfId="9916"/>
    <cellStyle name="Input 19 2" xfId="9917"/>
    <cellStyle name="Input 19 3" xfId="9918"/>
    <cellStyle name="Input 2" xfId="9919"/>
    <cellStyle name="Input 2 2" xfId="9920"/>
    <cellStyle name="Input 2 2 2" xfId="9921"/>
    <cellStyle name="Input 2 2 3" xfId="9922"/>
    <cellStyle name="Input 2 2 4" xfId="9923"/>
    <cellStyle name="Input 2 3" xfId="9924"/>
    <cellStyle name="Input 2 3 2" xfId="9925"/>
    <cellStyle name="Input 2 3 3" xfId="9926"/>
    <cellStyle name="Input 2 4" xfId="9927"/>
    <cellStyle name="Input 2 4 2" xfId="9928"/>
    <cellStyle name="Input 2 4 3" xfId="9929"/>
    <cellStyle name="Input 2 5" xfId="9930"/>
    <cellStyle name="Input 2 6" xfId="9931"/>
    <cellStyle name="Input 20" xfId="9932"/>
    <cellStyle name="Input 20 2" xfId="9933"/>
    <cellStyle name="Input 20 3" xfId="9934"/>
    <cellStyle name="Input 21" xfId="9935"/>
    <cellStyle name="Input 21 2" xfId="9936"/>
    <cellStyle name="Input 21 3" xfId="9937"/>
    <cellStyle name="Input 22" xfId="9938"/>
    <cellStyle name="Input 22 2" xfId="9939"/>
    <cellStyle name="Input 22 2 2" xfId="9940"/>
    <cellStyle name="Input 22 3" xfId="9941"/>
    <cellStyle name="Input 23" xfId="9942"/>
    <cellStyle name="Input 23 2" xfId="9943"/>
    <cellStyle name="Input 23 2 2" xfId="9944"/>
    <cellStyle name="Input 23 3" xfId="9945"/>
    <cellStyle name="Input 24" xfId="9946"/>
    <cellStyle name="Input 24 2" xfId="9947"/>
    <cellStyle name="Input 24 3" xfId="9948"/>
    <cellStyle name="Input 25" xfId="9949"/>
    <cellStyle name="Input 25 2" xfId="9950"/>
    <cellStyle name="Input 25 3" xfId="9951"/>
    <cellStyle name="Input 26" xfId="9952"/>
    <cellStyle name="Input 26 2" xfId="9953"/>
    <cellStyle name="Input 26 3" xfId="9954"/>
    <cellStyle name="Input 27" xfId="9955"/>
    <cellStyle name="Input 27 2" xfId="9956"/>
    <cellStyle name="Input 27 3" xfId="9957"/>
    <cellStyle name="Input 28" xfId="9958"/>
    <cellStyle name="Input 28 2" xfId="9959"/>
    <cellStyle name="Input 28 3" xfId="9960"/>
    <cellStyle name="Input 29" xfId="9961"/>
    <cellStyle name="Input 29 2" xfId="9962"/>
    <cellStyle name="Input 29 3" xfId="9963"/>
    <cellStyle name="Input 3" xfId="9964"/>
    <cellStyle name="Input 3 2" xfId="9965"/>
    <cellStyle name="Input 3 2 2" xfId="9966"/>
    <cellStyle name="Input 3 2 3" xfId="9967"/>
    <cellStyle name="Input 3 2 4" xfId="9968"/>
    <cellStyle name="Input 3 2 5" xfId="9969"/>
    <cellStyle name="Input 3 3" xfId="9970"/>
    <cellStyle name="Input 3 4" xfId="9971"/>
    <cellStyle name="Input 3 5" xfId="9972"/>
    <cellStyle name="Input 30" xfId="9973"/>
    <cellStyle name="Input 30 2" xfId="9974"/>
    <cellStyle name="Input 31" xfId="9975"/>
    <cellStyle name="Input 31 2" xfId="9976"/>
    <cellStyle name="Input 32" xfId="9977"/>
    <cellStyle name="Input 32 2" xfId="9978"/>
    <cellStyle name="Input 33" xfId="9979"/>
    <cellStyle name="Input 33 2" xfId="9980"/>
    <cellStyle name="Input 34" xfId="9981"/>
    <cellStyle name="Input 34 2" xfId="9982"/>
    <cellStyle name="Input 34 3" xfId="9983"/>
    <cellStyle name="Input 35" xfId="9984"/>
    <cellStyle name="Input 35 2" xfId="9985"/>
    <cellStyle name="Input 35 3" xfId="9986"/>
    <cellStyle name="Input 36" xfId="9987"/>
    <cellStyle name="Input 36 2" xfId="9988"/>
    <cellStyle name="Input 36 3" xfId="9989"/>
    <cellStyle name="Input 37" xfId="9990"/>
    <cellStyle name="Input 37 2" xfId="9991"/>
    <cellStyle name="Input 38" xfId="9992"/>
    <cellStyle name="Input 38 2" xfId="9993"/>
    <cellStyle name="Input 39" xfId="9994"/>
    <cellStyle name="Input 39 2" xfId="9995"/>
    <cellStyle name="Input 4" xfId="9996"/>
    <cellStyle name="Input 4 2" xfId="9997"/>
    <cellStyle name="Input 4 2 2" xfId="9998"/>
    <cellStyle name="Input 4 2 3" xfId="9999"/>
    <cellStyle name="Input 4 3" xfId="10000"/>
    <cellStyle name="Input 4 4" xfId="10001"/>
    <cellStyle name="Input 4 5" xfId="10002"/>
    <cellStyle name="Input 4 6" xfId="10003"/>
    <cellStyle name="Input 40" xfId="10004"/>
    <cellStyle name="Input 40 2" xfId="10005"/>
    <cellStyle name="Input 41" xfId="10006"/>
    <cellStyle name="Input 41 2" xfId="10007"/>
    <cellStyle name="Input 42" xfId="10008"/>
    <cellStyle name="Input 42 2" xfId="10009"/>
    <cellStyle name="Input 43" xfId="10010"/>
    <cellStyle name="Input 43 2" xfId="10011"/>
    <cellStyle name="Input 44" xfId="10012"/>
    <cellStyle name="Input 44 2" xfId="10013"/>
    <cellStyle name="Input 45" xfId="10014"/>
    <cellStyle name="Input 45 2" xfId="10015"/>
    <cellStyle name="Input 46" xfId="10016"/>
    <cellStyle name="Input 46 2" xfId="10017"/>
    <cellStyle name="Input 47" xfId="10018"/>
    <cellStyle name="Input 47 2" xfId="10019"/>
    <cellStyle name="Input 48" xfId="10020"/>
    <cellStyle name="Input 48 2" xfId="10021"/>
    <cellStyle name="Input 49" xfId="10022"/>
    <cellStyle name="Input 49 2" xfId="10023"/>
    <cellStyle name="Input 5" xfId="10024"/>
    <cellStyle name="Input 5 2" xfId="10025"/>
    <cellStyle name="Input 5 3" xfId="10026"/>
    <cellStyle name="Input 5 4" xfId="10027"/>
    <cellStyle name="Input 5 5" xfId="10028"/>
    <cellStyle name="Input 50" xfId="10029"/>
    <cellStyle name="Input 50 2" xfId="10030"/>
    <cellStyle name="Input 51" xfId="10031"/>
    <cellStyle name="Input 51 2" xfId="10032"/>
    <cellStyle name="Input 52" xfId="10033"/>
    <cellStyle name="Input 52 2" xfId="10034"/>
    <cellStyle name="Input 53" xfId="10035"/>
    <cellStyle name="Input 53 2" xfId="10036"/>
    <cellStyle name="Input 54" xfId="10037"/>
    <cellStyle name="Input 54 2" xfId="10038"/>
    <cellStyle name="Input 55" xfId="10039"/>
    <cellStyle name="Input 55 2" xfId="10040"/>
    <cellStyle name="Input 56" xfId="10041"/>
    <cellStyle name="Input 56 2" xfId="10042"/>
    <cellStyle name="Input 57" xfId="10043"/>
    <cellStyle name="Input 57 2" xfId="10044"/>
    <cellStyle name="Input 58" xfId="10045"/>
    <cellStyle name="Input 58 2" xfId="10046"/>
    <cellStyle name="Input 59" xfId="10047"/>
    <cellStyle name="Input 59 2" xfId="10048"/>
    <cellStyle name="Input 6" xfId="10049"/>
    <cellStyle name="Input 6 2" xfId="10050"/>
    <cellStyle name="Input 6 3" xfId="10051"/>
    <cellStyle name="Input 6 4" xfId="10052"/>
    <cellStyle name="Input 6 5" xfId="10053"/>
    <cellStyle name="Input 60" xfId="10054"/>
    <cellStyle name="Input 60 2" xfId="10055"/>
    <cellStyle name="Input 61" xfId="10056"/>
    <cellStyle name="Input 62" xfId="10057"/>
    <cellStyle name="Input 63" xfId="10058"/>
    <cellStyle name="Input 64" xfId="10059"/>
    <cellStyle name="Input 65" xfId="10060"/>
    <cellStyle name="Input 66" xfId="10061"/>
    <cellStyle name="Input 67" xfId="10062"/>
    <cellStyle name="Input 68" xfId="10063"/>
    <cellStyle name="Input 69" xfId="10064"/>
    <cellStyle name="Input 7" xfId="10065"/>
    <cellStyle name="Input 7 2" xfId="10066"/>
    <cellStyle name="Input 7 3" xfId="10067"/>
    <cellStyle name="Input 7 4" xfId="10068"/>
    <cellStyle name="Input 7 5" xfId="10069"/>
    <cellStyle name="Input 70" xfId="10070"/>
    <cellStyle name="Input 71" xfId="10071"/>
    <cellStyle name="Input 72" xfId="10072"/>
    <cellStyle name="Input 73" xfId="10073"/>
    <cellStyle name="Input 74" xfId="10074"/>
    <cellStyle name="Input 75" xfId="10075"/>
    <cellStyle name="Input 76" xfId="10076"/>
    <cellStyle name="Input 77" xfId="10077"/>
    <cellStyle name="Input 78" xfId="10078"/>
    <cellStyle name="Input 79" xfId="10079"/>
    <cellStyle name="Input 8" xfId="10080"/>
    <cellStyle name="Input 8 2" xfId="10081"/>
    <cellStyle name="Input 8 3" xfId="10082"/>
    <cellStyle name="Input 8 4" xfId="10083"/>
    <cellStyle name="Input 80" xfId="10084"/>
    <cellStyle name="Input 81" xfId="10085"/>
    <cellStyle name="Input 82" xfId="10086"/>
    <cellStyle name="Input 83" xfId="10087"/>
    <cellStyle name="Input 84" xfId="10088"/>
    <cellStyle name="Input 85" xfId="10089"/>
    <cellStyle name="Input 86" xfId="10090"/>
    <cellStyle name="Input 87" xfId="10091"/>
    <cellStyle name="Input 88" xfId="10092"/>
    <cellStyle name="Input 89" xfId="10093"/>
    <cellStyle name="Input 9" xfId="10094"/>
    <cellStyle name="Input 9 2" xfId="10095"/>
    <cellStyle name="Input 9 2 2" xfId="10096"/>
    <cellStyle name="Input 9 3" xfId="10097"/>
    <cellStyle name="Input 9 4" xfId="10098"/>
    <cellStyle name="Input 90" xfId="10099"/>
    <cellStyle name="Input 91" xfId="10100"/>
    <cellStyle name="Input 92" xfId="10101"/>
    <cellStyle name="Input 93" xfId="10102"/>
    <cellStyle name="Input 94" xfId="10103"/>
    <cellStyle name="Input 95" xfId="10104"/>
    <cellStyle name="Input 96" xfId="10105"/>
    <cellStyle name="Input 97" xfId="10106"/>
    <cellStyle name="Input Cells" xfId="10107"/>
    <cellStyle name="Input Cells Percent" xfId="10108"/>
    <cellStyle name="Input Cells_3.05 Allocation Method 2010 GRC" xfId="10109"/>
    <cellStyle name="Lines" xfId="10110"/>
    <cellStyle name="LINKED" xfId="10111"/>
    <cellStyle name="Linked Cell 2" xfId="10112"/>
    <cellStyle name="Linked Cell 2 2" xfId="10113"/>
    <cellStyle name="Linked Cell 2 2 2" xfId="10114"/>
    <cellStyle name="Linked Cell 2 2 3" xfId="10115"/>
    <cellStyle name="Linked Cell 2 2 4" xfId="10116"/>
    <cellStyle name="Linked Cell 2 3" xfId="10117"/>
    <cellStyle name="Linked Cell 2 3 2" xfId="10118"/>
    <cellStyle name="Linked Cell 2 3 3" xfId="10119"/>
    <cellStyle name="Linked Cell 2 4" xfId="10120"/>
    <cellStyle name="Linked Cell 2 4 2" xfId="10121"/>
    <cellStyle name="Linked Cell 2 4 3" xfId="10122"/>
    <cellStyle name="Linked Cell 2 5" xfId="10123"/>
    <cellStyle name="Linked Cell 2 6" xfId="10124"/>
    <cellStyle name="Linked Cell 3" xfId="10125"/>
    <cellStyle name="Linked Cell 3 2" xfId="10126"/>
    <cellStyle name="Linked Cell 3 2 2" xfId="10127"/>
    <cellStyle name="Linked Cell 3 2 3" xfId="10128"/>
    <cellStyle name="Linked Cell 3 3" xfId="10129"/>
    <cellStyle name="Linked Cell 3 4" xfId="10130"/>
    <cellStyle name="Linked Cell 3 5" xfId="10131"/>
    <cellStyle name="Linked Cell 4" xfId="10132"/>
    <cellStyle name="Linked Cell 4 2" xfId="10133"/>
    <cellStyle name="Linked Cell 4 3" xfId="10134"/>
    <cellStyle name="Linked Cell 5" xfId="10135"/>
    <cellStyle name="Linked Cell 5 2" xfId="10136"/>
    <cellStyle name="Linked Cell 5 3" xfId="10137"/>
    <cellStyle name="Linked Cell 6" xfId="10138"/>
    <cellStyle name="Linked Cell 6 2" xfId="10139"/>
    <cellStyle name="Linked Cell 6 3" xfId="10140"/>
    <cellStyle name="Linked Cell 6 4" xfId="10141"/>
    <cellStyle name="modified border" xfId="10142"/>
    <cellStyle name="modified border1" xfId="10143"/>
    <cellStyle name="Neutral 2" xfId="10144"/>
    <cellStyle name="Neutral 2 2" xfId="10145"/>
    <cellStyle name="Neutral 2 2 2" xfId="10146"/>
    <cellStyle name="Neutral 2 2 3" xfId="10147"/>
    <cellStyle name="Neutral 2 2 4" xfId="10148"/>
    <cellStyle name="Neutral 2 3" xfId="10149"/>
    <cellStyle name="Neutral 2 3 2" xfId="10150"/>
    <cellStyle name="Neutral 2 3 3" xfId="10151"/>
    <cellStyle name="Neutral 2 4" xfId="10152"/>
    <cellStyle name="Neutral 2 4 2" xfId="10153"/>
    <cellStyle name="Neutral 2 4 3" xfId="10154"/>
    <cellStyle name="Neutral 2 5" xfId="10155"/>
    <cellStyle name="Neutral 2 6" xfId="10156"/>
    <cellStyle name="Neutral 3" xfId="10157"/>
    <cellStyle name="Neutral 3 2" xfId="10158"/>
    <cellStyle name="Neutral 3 2 2" xfId="10159"/>
    <cellStyle name="Neutral 3 2 3" xfId="10160"/>
    <cellStyle name="Neutral 3 3" xfId="10161"/>
    <cellStyle name="Neutral 3 4" xfId="10162"/>
    <cellStyle name="Neutral 3 5" xfId="10163"/>
    <cellStyle name="Neutral 4" xfId="10164"/>
    <cellStyle name="Neutral 4 2" xfId="10165"/>
    <cellStyle name="Neutral 4 3" xfId="10166"/>
    <cellStyle name="Neutral 5" xfId="10167"/>
    <cellStyle name="Neutral 5 2" xfId="10168"/>
    <cellStyle name="Neutral 5 3" xfId="10169"/>
    <cellStyle name="Neutral 6" xfId="10170"/>
    <cellStyle name="Neutral 6 2" xfId="10171"/>
    <cellStyle name="Neutral 6 3" xfId="10172"/>
    <cellStyle name="Neutral 6 4" xfId="10173"/>
    <cellStyle name="no dec" xfId="10174"/>
    <cellStyle name="Normal" xfId="0" builtinId="0"/>
    <cellStyle name="Normal - Style1" xfId="11"/>
    <cellStyle name="Normal 10" xfId="10175"/>
    <cellStyle name="Normal 10 10" xfId="10176"/>
    <cellStyle name="Normal 10 10 2" xfId="10177"/>
    <cellStyle name="Normal 10 10 2 2" xfId="10178"/>
    <cellStyle name="Normal 10 10 3" xfId="10179"/>
    <cellStyle name="Normal 10 10 3 2" xfId="10180"/>
    <cellStyle name="Normal 10 10 4" xfId="10181"/>
    <cellStyle name="Normal 10 10 5" xfId="10182"/>
    <cellStyle name="Normal 10 10 6" xfId="15090"/>
    <cellStyle name="Normal 10 11" xfId="10183"/>
    <cellStyle name="Normal 10 11 2" xfId="10184"/>
    <cellStyle name="Normal 10 11 2 2" xfId="10185"/>
    <cellStyle name="Normal 10 11 3" xfId="10186"/>
    <cellStyle name="Normal 10 12" xfId="10187"/>
    <cellStyle name="Normal 10 13" xfId="10188"/>
    <cellStyle name="Normal 10 13 2" xfId="10189"/>
    <cellStyle name="Normal 10 14" xfId="10190"/>
    <cellStyle name="Normal 10 14 2" xfId="10191"/>
    <cellStyle name="Normal 10 15" xfId="10192"/>
    <cellStyle name="Normal 10 16" xfId="10193"/>
    <cellStyle name="Normal 10 2" xfId="10194"/>
    <cellStyle name="Normal 10 2 10" xfId="10195"/>
    <cellStyle name="Normal 10 2 10 2" xfId="10196"/>
    <cellStyle name="Normal 10 2 11" xfId="10197"/>
    <cellStyle name="Normal 10 2 2" xfId="10198"/>
    <cellStyle name="Normal 10 2 2 2" xfId="10199"/>
    <cellStyle name="Normal 10 2 2 2 2" xfId="10200"/>
    <cellStyle name="Normal 10 2 2 3" xfId="10201"/>
    <cellStyle name="Normal 10 2 2 4" xfId="10202"/>
    <cellStyle name="Normal 10 2 2 5" xfId="10203"/>
    <cellStyle name="Normal 10 2 3" xfId="10204"/>
    <cellStyle name="Normal 10 2 3 10" xfId="10205"/>
    <cellStyle name="Normal 10 2 3 2" xfId="10206"/>
    <cellStyle name="Normal 10 2 3 2 2" xfId="10207"/>
    <cellStyle name="Normal 10 2 3 2 2 2" xfId="10208"/>
    <cellStyle name="Normal 10 2 3 2 2 2 2" xfId="10209"/>
    <cellStyle name="Normal 10 2 3 2 2 3" xfId="10210"/>
    <cellStyle name="Normal 10 2 3 2 2 3 2" xfId="10211"/>
    <cellStyle name="Normal 10 2 3 2 2 4" xfId="10212"/>
    <cellStyle name="Normal 10 2 3 2 2 5" xfId="10213"/>
    <cellStyle name="Normal 10 2 3 2 3" xfId="10214"/>
    <cellStyle name="Normal 10 2 3 2 3 2" xfId="10215"/>
    <cellStyle name="Normal 10 2 3 2 3 2 2" xfId="10216"/>
    <cellStyle name="Normal 10 2 3 2 3 3" xfId="10217"/>
    <cellStyle name="Normal 10 2 3 2 4" xfId="10218"/>
    <cellStyle name="Normal 10 2 3 2 4 2" xfId="10219"/>
    <cellStyle name="Normal 10 2 3 2 5" xfId="10220"/>
    <cellStyle name="Normal 10 2 3 2 5 2" xfId="10221"/>
    <cellStyle name="Normal 10 2 3 2 6" xfId="10222"/>
    <cellStyle name="Normal 10 2 3 3" xfId="10223"/>
    <cellStyle name="Normal 10 2 3 3 2" xfId="10224"/>
    <cellStyle name="Normal 10 2 3 3 2 2" xfId="10225"/>
    <cellStyle name="Normal 10 2 3 3 2 2 2" xfId="10226"/>
    <cellStyle name="Normal 10 2 3 3 2 3" xfId="10227"/>
    <cellStyle name="Normal 10 2 3 3 2 3 2" xfId="10228"/>
    <cellStyle name="Normal 10 2 3 3 2 4" xfId="10229"/>
    <cellStyle name="Normal 10 2 3 3 2 5" xfId="10230"/>
    <cellStyle name="Normal 10 2 3 3 3" xfId="10231"/>
    <cellStyle name="Normal 10 2 3 3 3 2" xfId="10232"/>
    <cellStyle name="Normal 10 2 3 3 3 2 2" xfId="10233"/>
    <cellStyle name="Normal 10 2 3 3 3 3" xfId="10234"/>
    <cellStyle name="Normal 10 2 3 3 4" xfId="10235"/>
    <cellStyle name="Normal 10 2 3 3 4 2" xfId="10236"/>
    <cellStyle name="Normal 10 2 3 3 5" xfId="10237"/>
    <cellStyle name="Normal 10 2 3 3 5 2" xfId="10238"/>
    <cellStyle name="Normal 10 2 3 3 6" xfId="10239"/>
    <cellStyle name="Normal 10 2 3 4" xfId="10240"/>
    <cellStyle name="Normal 10 2 3 4 2" xfId="10241"/>
    <cellStyle name="Normal 10 2 3 4 2 2" xfId="10242"/>
    <cellStyle name="Normal 10 2 3 4 2 2 2" xfId="10243"/>
    <cellStyle name="Normal 10 2 3 4 2 3" xfId="10244"/>
    <cellStyle name="Normal 10 2 3 4 3" xfId="10245"/>
    <cellStyle name="Normal 10 2 3 4 3 2" xfId="10246"/>
    <cellStyle name="Normal 10 2 3 4 4" xfId="10247"/>
    <cellStyle name="Normal 10 2 3 4 4 2" xfId="10248"/>
    <cellStyle name="Normal 10 2 3 4 5" xfId="10249"/>
    <cellStyle name="Normal 10 2 3 5" xfId="10250"/>
    <cellStyle name="Normal 10 2 3 5 2" xfId="10251"/>
    <cellStyle name="Normal 10 2 3 5 2 2" xfId="10252"/>
    <cellStyle name="Normal 10 2 3 5 3" xfId="10253"/>
    <cellStyle name="Normal 10 2 3 5 3 2" xfId="10254"/>
    <cellStyle name="Normal 10 2 3 5 4" xfId="10255"/>
    <cellStyle name="Normal 10 2 3 6" xfId="10256"/>
    <cellStyle name="Normal 10 2 3 6 2" xfId="10257"/>
    <cellStyle name="Normal 10 2 3 6 2 2" xfId="10258"/>
    <cellStyle name="Normal 10 2 3 6 3" xfId="10259"/>
    <cellStyle name="Normal 10 2 3 7" xfId="10260"/>
    <cellStyle name="Normal 10 2 3 7 2" xfId="10261"/>
    <cellStyle name="Normal 10 2 3 7 3" xfId="10262"/>
    <cellStyle name="Normal 10 2 3 8" xfId="10263"/>
    <cellStyle name="Normal 10 2 3 8 2" xfId="10264"/>
    <cellStyle name="Normal 10 2 3 9" xfId="10265"/>
    <cellStyle name="Normal 10 2 4" xfId="10266"/>
    <cellStyle name="Normal 10 2 4 2" xfId="10267"/>
    <cellStyle name="Normal 10 2 5" xfId="10268"/>
    <cellStyle name="Normal 10 2 6" xfId="10269"/>
    <cellStyle name="Normal 10 2 6 2" xfId="10270"/>
    <cellStyle name="Normal 10 2 6 2 2" xfId="10271"/>
    <cellStyle name="Normal 10 2 6 2 2 2" xfId="10272"/>
    <cellStyle name="Normal 10 2 6 2 3" xfId="10273"/>
    <cellStyle name="Normal 10 2 6 2 3 2" xfId="10274"/>
    <cellStyle name="Normal 10 2 6 2 4" xfId="10275"/>
    <cellStyle name="Normal 10 2 6 2 5" xfId="10276"/>
    <cellStyle name="Normal 10 2 6 3" xfId="10277"/>
    <cellStyle name="Normal 10 2 6 3 2" xfId="10278"/>
    <cellStyle name="Normal 10 2 6 4" xfId="10279"/>
    <cellStyle name="Normal 10 2 6 4 2" xfId="10280"/>
    <cellStyle name="Normal 10 2 6 5" xfId="10281"/>
    <cellStyle name="Normal 10 2 6 6" xfId="10282"/>
    <cellStyle name="Normal 10 2 7" xfId="10283"/>
    <cellStyle name="Normal 10 2 7 2" xfId="10284"/>
    <cellStyle name="Normal 10 2 7 2 2" xfId="10285"/>
    <cellStyle name="Normal 10 2 7 3" xfId="10286"/>
    <cellStyle name="Normal 10 2 7 3 2" xfId="10287"/>
    <cellStyle name="Normal 10 2 7 4" xfId="10288"/>
    <cellStyle name="Normal 10 2 7 5" xfId="10289"/>
    <cellStyle name="Normal 10 2 8" xfId="10290"/>
    <cellStyle name="Normal 10 2 8 2" xfId="10291"/>
    <cellStyle name="Normal 10 2 8 2 2" xfId="10292"/>
    <cellStyle name="Normal 10 2 8 3" xfId="10293"/>
    <cellStyle name="Normal 10 2 9" xfId="10294"/>
    <cellStyle name="Normal 10 2 9 2" xfId="10295"/>
    <cellStyle name="Normal 10 3" xfId="10296"/>
    <cellStyle name="Normal 10 3 2" xfId="10297"/>
    <cellStyle name="Normal 10 3 2 2" xfId="10298"/>
    <cellStyle name="Normal 10 3 2 3" xfId="10299"/>
    <cellStyle name="Normal 10 3 3" xfId="10300"/>
    <cellStyle name="Normal 10 3 4" xfId="10301"/>
    <cellStyle name="Normal 10 3 4 2" xfId="10302"/>
    <cellStyle name="Normal 10 3 4 3" xfId="10303"/>
    <cellStyle name="Normal 10 3 4 4" xfId="10304"/>
    <cellStyle name="Normal 10 3 5" xfId="10305"/>
    <cellStyle name="Normal 10 3 5 2" xfId="10306"/>
    <cellStyle name="Normal 10 3 6" xfId="10307"/>
    <cellStyle name="Normal 10 4" xfId="10308"/>
    <cellStyle name="Normal 10 4 2" xfId="10309"/>
    <cellStyle name="Normal 10 4 2 2" xfId="10310"/>
    <cellStyle name="Normal 10 4 3" xfId="10311"/>
    <cellStyle name="Normal 10 4 4" xfId="10312"/>
    <cellStyle name="Normal 10 4 5" xfId="10313"/>
    <cellStyle name="Normal 10 5" xfId="10314"/>
    <cellStyle name="Normal 10 5 2" xfId="10315"/>
    <cellStyle name="Normal 10 5 3" xfId="10316"/>
    <cellStyle name="Normal 10 5 4" xfId="10317"/>
    <cellStyle name="Normal 10 6" xfId="10318"/>
    <cellStyle name="Normal 10 6 10" xfId="10319"/>
    <cellStyle name="Normal 10 6 11" xfId="10320"/>
    <cellStyle name="Normal 10 6 2" xfId="10321"/>
    <cellStyle name="Normal 10 6 2 2" xfId="10322"/>
    <cellStyle name="Normal 10 6 2 2 2" xfId="10323"/>
    <cellStyle name="Normal 10 6 2 2 2 2" xfId="10324"/>
    <cellStyle name="Normal 10 6 2 2 3" xfId="10325"/>
    <cellStyle name="Normal 10 6 2 2 3 2" xfId="10326"/>
    <cellStyle name="Normal 10 6 2 2 4" xfId="10327"/>
    <cellStyle name="Normal 10 6 2 2 5" xfId="10328"/>
    <cellStyle name="Normal 10 6 2 3" xfId="10329"/>
    <cellStyle name="Normal 10 6 2 3 2" xfId="10330"/>
    <cellStyle name="Normal 10 6 2 3 2 2" xfId="10331"/>
    <cellStyle name="Normal 10 6 2 3 3" xfId="10332"/>
    <cellStyle name="Normal 10 6 2 4" xfId="10333"/>
    <cellStyle name="Normal 10 6 2 4 2" xfId="10334"/>
    <cellStyle name="Normal 10 6 2 5" xfId="10335"/>
    <cellStyle name="Normal 10 6 2 5 2" xfId="10336"/>
    <cellStyle name="Normal 10 6 2 6" xfId="10337"/>
    <cellStyle name="Normal 10 6 3" xfId="10338"/>
    <cellStyle name="Normal 10 6 3 2" xfId="10339"/>
    <cellStyle name="Normal 10 6 3 2 2" xfId="10340"/>
    <cellStyle name="Normal 10 6 3 2 2 2" xfId="10341"/>
    <cellStyle name="Normal 10 6 3 2 3" xfId="10342"/>
    <cellStyle name="Normal 10 6 3 2 3 2" xfId="10343"/>
    <cellStyle name="Normal 10 6 3 2 4" xfId="10344"/>
    <cellStyle name="Normal 10 6 3 2 5" xfId="10345"/>
    <cellStyle name="Normal 10 6 3 3" xfId="10346"/>
    <cellStyle name="Normal 10 6 3 3 2" xfId="10347"/>
    <cellStyle name="Normal 10 6 3 3 2 2" xfId="10348"/>
    <cellStyle name="Normal 10 6 3 3 3" xfId="10349"/>
    <cellStyle name="Normal 10 6 3 4" xfId="10350"/>
    <cellStyle name="Normal 10 6 3 4 2" xfId="10351"/>
    <cellStyle name="Normal 10 6 3 5" xfId="10352"/>
    <cellStyle name="Normal 10 6 3 5 2" xfId="10353"/>
    <cellStyle name="Normal 10 6 3 6" xfId="10354"/>
    <cellStyle name="Normal 10 6 4" xfId="10355"/>
    <cellStyle name="Normal 10 6 4 2" xfId="10356"/>
    <cellStyle name="Normal 10 6 4 2 2" xfId="10357"/>
    <cellStyle name="Normal 10 6 4 2 2 2" xfId="10358"/>
    <cellStyle name="Normal 10 6 4 2 3" xfId="10359"/>
    <cellStyle name="Normal 10 6 4 3" xfId="10360"/>
    <cellStyle name="Normal 10 6 4 3 2" xfId="10361"/>
    <cellStyle name="Normal 10 6 4 4" xfId="10362"/>
    <cellStyle name="Normal 10 6 4 4 2" xfId="10363"/>
    <cellStyle name="Normal 10 6 4 5" xfId="10364"/>
    <cellStyle name="Normal 10 6 5" xfId="10365"/>
    <cellStyle name="Normal 10 6 5 2" xfId="10366"/>
    <cellStyle name="Normal 10 6 5 2 2" xfId="10367"/>
    <cellStyle name="Normal 10 6 5 3" xfId="10368"/>
    <cellStyle name="Normal 10 6 5 3 2" xfId="10369"/>
    <cellStyle name="Normal 10 6 5 4" xfId="10370"/>
    <cellStyle name="Normal 10 6 6" xfId="10371"/>
    <cellStyle name="Normal 10 6 6 2" xfId="10372"/>
    <cellStyle name="Normal 10 6 6 2 2" xfId="10373"/>
    <cellStyle name="Normal 10 6 6 3" xfId="10374"/>
    <cellStyle name="Normal 10 6 7" xfId="10375"/>
    <cellStyle name="Normal 10 6 7 2" xfId="10376"/>
    <cellStyle name="Normal 10 6 7 3" xfId="10377"/>
    <cellStyle name="Normal 10 6 8" xfId="10378"/>
    <cellStyle name="Normal 10 6 8 2" xfId="10379"/>
    <cellStyle name="Normal 10 6 9" xfId="10380"/>
    <cellStyle name="Normal 10 7" xfId="10381"/>
    <cellStyle name="Normal 10 7 2" xfId="10382"/>
    <cellStyle name="Normal 10 8" xfId="10383"/>
    <cellStyle name="Normal 10 9" xfId="10384"/>
    <cellStyle name="Normal 10 9 2" xfId="10385"/>
    <cellStyle name="Normal 10 9 2 2" xfId="10386"/>
    <cellStyle name="Normal 10 9 2 2 2" xfId="10387"/>
    <cellStyle name="Normal 10 9 2 3" xfId="10388"/>
    <cellStyle name="Normal 10 9 2 3 2" xfId="10389"/>
    <cellStyle name="Normal 10 9 2 4" xfId="10390"/>
    <cellStyle name="Normal 10 9 2 5" xfId="10391"/>
    <cellStyle name="Normal 10 9 3" xfId="10392"/>
    <cellStyle name="Normal 10 9 3 2" xfId="10393"/>
    <cellStyle name="Normal 10 9 3 2 2" xfId="10394"/>
    <cellStyle name="Normal 10 9 3 3" xfId="10395"/>
    <cellStyle name="Normal 10 9 4" xfId="10396"/>
    <cellStyle name="Normal 10 9 4 2" xfId="10397"/>
    <cellStyle name="Normal 10 9 5" xfId="10398"/>
    <cellStyle name="Normal 10 9 5 2" xfId="10399"/>
    <cellStyle name="Normal 10 9 6" xfId="10400"/>
    <cellStyle name="Normal 100" xfId="10401"/>
    <cellStyle name="Normal 100 2" xfId="10402"/>
    <cellStyle name="Normal 100 2 2" xfId="10403"/>
    <cellStyle name="Normal 100 3" xfId="10404"/>
    <cellStyle name="Normal 100 4" xfId="10405"/>
    <cellStyle name="Normal 100 5" xfId="10406"/>
    <cellStyle name="Normal 101" xfId="10407"/>
    <cellStyle name="Normal 101 2" xfId="10408"/>
    <cellStyle name="Normal 101 3" xfId="10409"/>
    <cellStyle name="Normal 101 4" xfId="10410"/>
    <cellStyle name="Normal 101 5" xfId="10411"/>
    <cellStyle name="Normal 102" xfId="10412"/>
    <cellStyle name="Normal 102 2" xfId="10413"/>
    <cellStyle name="Normal 102 3" xfId="10414"/>
    <cellStyle name="Normal 102 4" xfId="10415"/>
    <cellStyle name="Normal 102 5" xfId="10416"/>
    <cellStyle name="Normal 103" xfId="10417"/>
    <cellStyle name="Normal 103 2" xfId="10418"/>
    <cellStyle name="Normal 103 3" xfId="10419"/>
    <cellStyle name="Normal 103 4" xfId="10420"/>
    <cellStyle name="Normal 103 5" xfId="10421"/>
    <cellStyle name="Normal 104" xfId="10422"/>
    <cellStyle name="Normal 104 2" xfId="10423"/>
    <cellStyle name="Normal 104 3" xfId="10424"/>
    <cellStyle name="Normal 104 4" xfId="10425"/>
    <cellStyle name="Normal 104 5" xfId="10426"/>
    <cellStyle name="Normal 105" xfId="10427"/>
    <cellStyle name="Normal 105 2" xfId="10428"/>
    <cellStyle name="Normal 105 3" xfId="10429"/>
    <cellStyle name="Normal 105 4" xfId="10430"/>
    <cellStyle name="Normal 106" xfId="10431"/>
    <cellStyle name="Normal 106 2" xfId="10432"/>
    <cellStyle name="Normal 106 3" xfId="10433"/>
    <cellStyle name="Normal 106 4" xfId="10434"/>
    <cellStyle name="Normal 107" xfId="10435"/>
    <cellStyle name="Normal 107 2" xfId="10436"/>
    <cellStyle name="Normal 108" xfId="10437"/>
    <cellStyle name="Normal 108 2" xfId="10438"/>
    <cellStyle name="Normal 109" xfId="10439"/>
    <cellStyle name="Normal 109 2" xfId="10440"/>
    <cellStyle name="Normal 11" xfId="10441"/>
    <cellStyle name="Normal 11 10" xfId="10442"/>
    <cellStyle name="Normal 11 10 2" xfId="10443"/>
    <cellStyle name="Normal 11 10 3" xfId="10444"/>
    <cellStyle name="Normal 11 11" xfId="10445"/>
    <cellStyle name="Normal 11 11 2" xfId="10446"/>
    <cellStyle name="Normal 11 12" xfId="10447"/>
    <cellStyle name="Normal 11 13" xfId="10448"/>
    <cellStyle name="Normal 11 2" xfId="10449"/>
    <cellStyle name="Normal 11 2 10" xfId="10450"/>
    <cellStyle name="Normal 11 2 2" xfId="10451"/>
    <cellStyle name="Normal 11 2 2 2" xfId="10452"/>
    <cellStyle name="Normal 11 2 2 2 2" xfId="10453"/>
    <cellStyle name="Normal 11 2 2 2 2 2" xfId="10454"/>
    <cellStyle name="Normal 11 2 2 2 3" xfId="10455"/>
    <cellStyle name="Normal 11 2 2 2 3 2" xfId="10456"/>
    <cellStyle name="Normal 11 2 2 2 4" xfId="10457"/>
    <cellStyle name="Normal 11 2 2 2 5" xfId="10458"/>
    <cellStyle name="Normal 11 2 2 3" xfId="10459"/>
    <cellStyle name="Normal 11 2 2 3 2" xfId="10460"/>
    <cellStyle name="Normal 11 2 2 3 2 2" xfId="10461"/>
    <cellStyle name="Normal 11 2 2 3 3" xfId="10462"/>
    <cellStyle name="Normal 11 2 2 4" xfId="10463"/>
    <cellStyle name="Normal 11 2 2 4 2" xfId="10464"/>
    <cellStyle name="Normal 11 2 2 5" xfId="10465"/>
    <cellStyle name="Normal 11 2 2 5 2" xfId="10466"/>
    <cellStyle name="Normal 11 2 2 6" xfId="10467"/>
    <cellStyle name="Normal 11 2 3" xfId="10468"/>
    <cellStyle name="Normal 11 2 3 2" xfId="10469"/>
    <cellStyle name="Normal 11 2 3 2 2" xfId="10470"/>
    <cellStyle name="Normal 11 2 3 2 2 2" xfId="10471"/>
    <cellStyle name="Normal 11 2 3 2 3" xfId="10472"/>
    <cellStyle name="Normal 11 2 3 2 3 2" xfId="10473"/>
    <cellStyle name="Normal 11 2 3 2 4" xfId="10474"/>
    <cellStyle name="Normal 11 2 3 2 5" xfId="10475"/>
    <cellStyle name="Normal 11 2 3 3" xfId="10476"/>
    <cellStyle name="Normal 11 2 3 3 2" xfId="10477"/>
    <cellStyle name="Normal 11 2 3 3 2 2" xfId="10478"/>
    <cellStyle name="Normal 11 2 3 3 3" xfId="10479"/>
    <cellStyle name="Normal 11 2 3 4" xfId="10480"/>
    <cellStyle name="Normal 11 2 3 4 2" xfId="10481"/>
    <cellStyle name="Normal 11 2 3 5" xfId="10482"/>
    <cellStyle name="Normal 11 2 3 5 2" xfId="10483"/>
    <cellStyle name="Normal 11 2 3 6" xfId="10484"/>
    <cellStyle name="Normal 11 2 4" xfId="10485"/>
    <cellStyle name="Normal 11 2 4 2" xfId="10486"/>
    <cellStyle name="Normal 11 2 4 2 2" xfId="10487"/>
    <cellStyle name="Normal 11 2 4 2 2 2" xfId="10488"/>
    <cellStyle name="Normal 11 2 4 2 3" xfId="10489"/>
    <cellStyle name="Normal 11 2 4 2 3 2" xfId="10490"/>
    <cellStyle name="Normal 11 2 4 2 4" xfId="10491"/>
    <cellStyle name="Normal 11 2 4 2 5" xfId="10492"/>
    <cellStyle name="Normal 11 2 4 3" xfId="10493"/>
    <cellStyle name="Normal 11 2 4 3 2" xfId="10494"/>
    <cellStyle name="Normal 11 2 4 3 2 2" xfId="10495"/>
    <cellStyle name="Normal 11 2 4 3 3" xfId="10496"/>
    <cellStyle name="Normal 11 2 4 4" xfId="10497"/>
    <cellStyle name="Normal 11 2 4 4 2" xfId="10498"/>
    <cellStyle name="Normal 11 2 4 5" xfId="10499"/>
    <cellStyle name="Normal 11 2 4 5 2" xfId="10500"/>
    <cellStyle name="Normal 11 2 4 6" xfId="10501"/>
    <cellStyle name="Normal 11 2 5" xfId="10502"/>
    <cellStyle name="Normal 11 2 5 2" xfId="10503"/>
    <cellStyle name="Normal 11 2 5 2 2" xfId="10504"/>
    <cellStyle name="Normal 11 2 5 3" xfId="10505"/>
    <cellStyle name="Normal 11 2 5 3 2" xfId="10506"/>
    <cellStyle name="Normal 11 2 5 4" xfId="10507"/>
    <cellStyle name="Normal 11 2 5 4 2" xfId="10508"/>
    <cellStyle name="Normal 11 2 5 5" xfId="10509"/>
    <cellStyle name="Normal 11 2 6" xfId="10510"/>
    <cellStyle name="Normal 11 2 6 2" xfId="10511"/>
    <cellStyle name="Normal 11 2 6 2 2" xfId="10512"/>
    <cellStyle name="Normal 11 2 6 3" xfId="10513"/>
    <cellStyle name="Normal 11 2 6 3 2" xfId="10514"/>
    <cellStyle name="Normal 11 2 6 4" xfId="10515"/>
    <cellStyle name="Normal 11 2 7" xfId="10516"/>
    <cellStyle name="Normal 11 2 7 2" xfId="10517"/>
    <cellStyle name="Normal 11 2 7 2 2" xfId="10518"/>
    <cellStyle name="Normal 11 2 7 3" xfId="10519"/>
    <cellStyle name="Normal 11 2 8" xfId="10520"/>
    <cellStyle name="Normal 11 2 8 2" xfId="10521"/>
    <cellStyle name="Normal 11 2 9" xfId="10522"/>
    <cellStyle name="Normal 11 3" xfId="10523"/>
    <cellStyle name="Normal 11 3 10" xfId="10524"/>
    <cellStyle name="Normal 11 3 2" xfId="10525"/>
    <cellStyle name="Normal 11 3 2 2" xfId="10526"/>
    <cellStyle name="Normal 11 3 2 2 2" xfId="10527"/>
    <cellStyle name="Normal 11 3 2 2 2 2" xfId="10528"/>
    <cellStyle name="Normal 11 3 2 2 3" xfId="10529"/>
    <cellStyle name="Normal 11 3 2 2 3 2" xfId="10530"/>
    <cellStyle name="Normal 11 3 2 2 4" xfId="10531"/>
    <cellStyle name="Normal 11 3 2 2 5" xfId="10532"/>
    <cellStyle name="Normal 11 3 2 3" xfId="10533"/>
    <cellStyle name="Normal 11 3 2 3 2" xfId="10534"/>
    <cellStyle name="Normal 11 3 2 3 2 2" xfId="10535"/>
    <cellStyle name="Normal 11 3 2 3 3" xfId="10536"/>
    <cellStyle name="Normal 11 3 2 4" xfId="10537"/>
    <cellStyle name="Normal 11 3 2 4 2" xfId="10538"/>
    <cellStyle name="Normal 11 3 2 5" xfId="10539"/>
    <cellStyle name="Normal 11 3 2 5 2" xfId="10540"/>
    <cellStyle name="Normal 11 3 2 6" xfId="10541"/>
    <cellStyle name="Normal 11 3 3" xfId="10542"/>
    <cellStyle name="Normal 11 3 3 2" xfId="10543"/>
    <cellStyle name="Normal 11 3 3 2 2" xfId="10544"/>
    <cellStyle name="Normal 11 3 3 2 2 2" xfId="10545"/>
    <cellStyle name="Normal 11 3 3 2 3" xfId="10546"/>
    <cellStyle name="Normal 11 3 3 2 3 2" xfId="10547"/>
    <cellStyle name="Normal 11 3 3 2 4" xfId="10548"/>
    <cellStyle name="Normal 11 3 3 3" xfId="10549"/>
    <cellStyle name="Normal 11 3 3 3 2" xfId="10550"/>
    <cellStyle name="Normal 11 3 3 4" xfId="10551"/>
    <cellStyle name="Normal 11 3 3 4 2" xfId="10552"/>
    <cellStyle name="Normal 11 3 3 5" xfId="10553"/>
    <cellStyle name="Normal 11 3 3 5 2" xfId="10554"/>
    <cellStyle name="Normal 11 3 3 6" xfId="10555"/>
    <cellStyle name="Normal 11 3 4" xfId="10556"/>
    <cellStyle name="Normal 11 3 4 2" xfId="10557"/>
    <cellStyle name="Normal 11 3 4 2 2" xfId="10558"/>
    <cellStyle name="Normal 11 3 4 3" xfId="10559"/>
    <cellStyle name="Normal 11 3 4 3 2" xfId="10560"/>
    <cellStyle name="Normal 11 3 4 4" xfId="10561"/>
    <cellStyle name="Normal 11 3 4 4 2" xfId="10562"/>
    <cellStyle name="Normal 11 3 4 5" xfId="10563"/>
    <cellStyle name="Normal 11 3 5" xfId="10564"/>
    <cellStyle name="Normal 11 3 5 2" xfId="10565"/>
    <cellStyle name="Normal 11 3 5 2 2" xfId="10566"/>
    <cellStyle name="Normal 11 3 5 3" xfId="10567"/>
    <cellStyle name="Normal 11 3 5 3 2" xfId="10568"/>
    <cellStyle name="Normal 11 3 5 4" xfId="10569"/>
    <cellStyle name="Normal 11 3 6" xfId="10570"/>
    <cellStyle name="Normal 11 3 6 2" xfId="10571"/>
    <cellStyle name="Normal 11 3 6 2 2" xfId="10572"/>
    <cellStyle name="Normal 11 3 6 3" xfId="10573"/>
    <cellStyle name="Normal 11 3 7" xfId="10574"/>
    <cellStyle name="Normal 11 3 7 2" xfId="10575"/>
    <cellStyle name="Normal 11 3 8" xfId="10576"/>
    <cellStyle name="Normal 11 3 9" xfId="10577"/>
    <cellStyle name="Normal 11 4" xfId="10578"/>
    <cellStyle name="Normal 11 4 2" xfId="10579"/>
    <cellStyle name="Normal 11 4 2 2" xfId="10580"/>
    <cellStyle name="Normal 11 4 2 2 2" xfId="10581"/>
    <cellStyle name="Normal 11 4 2 2 2 2" xfId="10582"/>
    <cellStyle name="Normal 11 4 2 2 3" xfId="10583"/>
    <cellStyle name="Normal 11 4 2 2 3 2" xfId="10584"/>
    <cellStyle name="Normal 11 4 2 2 4" xfId="10585"/>
    <cellStyle name="Normal 11 4 2 2 5" xfId="10586"/>
    <cellStyle name="Normal 11 4 2 3" xfId="10587"/>
    <cellStyle name="Normal 11 4 2 3 2" xfId="10588"/>
    <cellStyle name="Normal 11 4 2 3 2 2" xfId="10589"/>
    <cellStyle name="Normal 11 4 2 3 3" xfId="10590"/>
    <cellStyle name="Normal 11 4 2 4" xfId="10591"/>
    <cellStyle name="Normal 11 4 2 4 2" xfId="10592"/>
    <cellStyle name="Normal 11 4 2 5" xfId="10593"/>
    <cellStyle name="Normal 11 4 2 5 2" xfId="10594"/>
    <cellStyle name="Normal 11 4 2 6" xfId="10595"/>
    <cellStyle name="Normal 11 4 3" xfId="10596"/>
    <cellStyle name="Normal 11 4 3 2" xfId="10597"/>
    <cellStyle name="Normal 11 4 3 2 2" xfId="10598"/>
    <cellStyle name="Normal 11 4 3 2 2 2" xfId="10599"/>
    <cellStyle name="Normal 11 4 3 2 3" xfId="10600"/>
    <cellStyle name="Normal 11 4 3 3" xfId="10601"/>
    <cellStyle name="Normal 11 4 3 3 2" xfId="10602"/>
    <cellStyle name="Normal 11 4 3 4" xfId="10603"/>
    <cellStyle name="Normal 11 4 3 4 2" xfId="10604"/>
    <cellStyle name="Normal 11 4 3 5" xfId="10605"/>
    <cellStyle name="Normal 11 4 4" xfId="10606"/>
    <cellStyle name="Normal 11 4 4 2" xfId="10607"/>
    <cellStyle name="Normal 11 4 4 2 2" xfId="10608"/>
    <cellStyle name="Normal 11 4 4 3" xfId="10609"/>
    <cellStyle name="Normal 11 4 4 3 2" xfId="10610"/>
    <cellStyle name="Normal 11 4 4 4" xfId="10611"/>
    <cellStyle name="Normal 11 4 5" xfId="10612"/>
    <cellStyle name="Normal 11 4 5 2" xfId="10613"/>
    <cellStyle name="Normal 11 4 5 2 2" xfId="10614"/>
    <cellStyle name="Normal 11 4 5 3" xfId="10615"/>
    <cellStyle name="Normal 11 4 6" xfId="10616"/>
    <cellStyle name="Normal 11 4 6 2" xfId="10617"/>
    <cellStyle name="Normal 11 4 6 3" xfId="10618"/>
    <cellStyle name="Normal 11 4 7" xfId="10619"/>
    <cellStyle name="Normal 11 4 7 2" xfId="10620"/>
    <cellStyle name="Normal 11 4 8" xfId="10621"/>
    <cellStyle name="Normal 11 4 9" xfId="10622"/>
    <cellStyle name="Normal 11 5" xfId="10623"/>
    <cellStyle name="Normal 11 5 2" xfId="10624"/>
    <cellStyle name="Normal 11 5 2 2" xfId="10625"/>
    <cellStyle name="Normal 11 5 2 2 2" xfId="10626"/>
    <cellStyle name="Normal 11 5 2 2 2 2" xfId="10627"/>
    <cellStyle name="Normal 11 5 2 2 3" xfId="10628"/>
    <cellStyle name="Normal 11 5 2 3" xfId="10629"/>
    <cellStyle name="Normal 11 5 2 3 2" xfId="10630"/>
    <cellStyle name="Normal 11 5 2 4" xfId="10631"/>
    <cellStyle name="Normal 11 5 2 4 2" xfId="10632"/>
    <cellStyle name="Normal 11 5 2 5" xfId="10633"/>
    <cellStyle name="Normal 11 5 3" xfId="10634"/>
    <cellStyle name="Normal 11 5 3 2" xfId="10635"/>
    <cellStyle name="Normal 11 5 3 2 2" xfId="10636"/>
    <cellStyle name="Normal 11 5 3 3" xfId="10637"/>
    <cellStyle name="Normal 11 5 3 3 2" xfId="10638"/>
    <cellStyle name="Normal 11 5 3 4" xfId="10639"/>
    <cellStyle name="Normal 11 5 4" xfId="10640"/>
    <cellStyle name="Normal 11 5 4 2" xfId="10641"/>
    <cellStyle name="Normal 11 5 4 2 2" xfId="10642"/>
    <cellStyle name="Normal 11 5 4 3" xfId="10643"/>
    <cellStyle name="Normal 11 5 5" xfId="10644"/>
    <cellStyle name="Normal 11 5 5 2" xfId="10645"/>
    <cellStyle name="Normal 11 5 5 3" xfId="10646"/>
    <cellStyle name="Normal 11 5 6" xfId="10647"/>
    <cellStyle name="Normal 11 5 6 2" xfId="10648"/>
    <cellStyle name="Normal 11 5 7" xfId="10649"/>
    <cellStyle name="Normal 11 5 8" xfId="10650"/>
    <cellStyle name="Normal 11 6" xfId="10651"/>
    <cellStyle name="Normal 11 6 2" xfId="10652"/>
    <cellStyle name="Normal 11 6 2 2" xfId="10653"/>
    <cellStyle name="Normal 11 6 2 2 2" xfId="10654"/>
    <cellStyle name="Normal 11 6 2 3" xfId="10655"/>
    <cellStyle name="Normal 11 6 3" xfId="10656"/>
    <cellStyle name="Normal 11 6 3 2" xfId="10657"/>
    <cellStyle name="Normal 11 6 4" xfId="10658"/>
    <cellStyle name="Normal 11 6 4 2" xfId="10659"/>
    <cellStyle name="Normal 11 6 5" xfId="10660"/>
    <cellStyle name="Normal 11 7" xfId="10661"/>
    <cellStyle name="Normal 11 7 2" xfId="10662"/>
    <cellStyle name="Normal 11 7 2 2" xfId="10663"/>
    <cellStyle name="Normal 11 7 3" xfId="10664"/>
    <cellStyle name="Normal 11 7 3 2" xfId="10665"/>
    <cellStyle name="Normal 11 7 4" xfId="10666"/>
    <cellStyle name="Normal 11 8" xfId="10667"/>
    <cellStyle name="Normal 11 8 2" xfId="10668"/>
    <cellStyle name="Normal 11 8 2 2" xfId="10669"/>
    <cellStyle name="Normal 11 8 3" xfId="10670"/>
    <cellStyle name="Normal 11 9" xfId="10671"/>
    <cellStyle name="Normal 11 9 2" xfId="10672"/>
    <cellStyle name="Normal 11 9 2 2" xfId="10673"/>
    <cellStyle name="Normal 11 9 3" xfId="10674"/>
    <cellStyle name="Normal 110" xfId="10675"/>
    <cellStyle name="Normal 110 2" xfId="10676"/>
    <cellStyle name="Normal 111" xfId="10677"/>
    <cellStyle name="Normal 111 2" xfId="10678"/>
    <cellStyle name="Normal 111 3" xfId="10679"/>
    <cellStyle name="Normal 111 4" xfId="10680"/>
    <cellStyle name="Normal 112" xfId="10681"/>
    <cellStyle name="Normal 112 2" xfId="10682"/>
    <cellStyle name="Normal 112 3" xfId="10683"/>
    <cellStyle name="Normal 112 4" xfId="10684"/>
    <cellStyle name="Normal 113" xfId="10685"/>
    <cellStyle name="Normal 113 2" xfId="10686"/>
    <cellStyle name="Normal 113 3" xfId="10687"/>
    <cellStyle name="Normal 113 4" xfId="10688"/>
    <cellStyle name="Normal 114" xfId="10689"/>
    <cellStyle name="Normal 114 2" xfId="10690"/>
    <cellStyle name="Normal 114 3" xfId="10691"/>
    <cellStyle name="Normal 114 4" xfId="10692"/>
    <cellStyle name="Normal 115" xfId="10693"/>
    <cellStyle name="Normal 115 2" xfId="10694"/>
    <cellStyle name="Normal 115 3" xfId="10695"/>
    <cellStyle name="Normal 116" xfId="10696"/>
    <cellStyle name="Normal 116 2" xfId="10697"/>
    <cellStyle name="Normal 116 3" xfId="10698"/>
    <cellStyle name="Normal 117" xfId="10699"/>
    <cellStyle name="Normal 117 2" xfId="10700"/>
    <cellStyle name="Normal 117 3" xfId="10701"/>
    <cellStyle name="Normal 118" xfId="10702"/>
    <cellStyle name="Normal 118 2" xfId="10703"/>
    <cellStyle name="Normal 118 3" xfId="10704"/>
    <cellStyle name="Normal 119" xfId="10705"/>
    <cellStyle name="Normal 119 2" xfId="10706"/>
    <cellStyle name="Normal 119 3" xfId="10707"/>
    <cellStyle name="Normal 12" xfId="10708"/>
    <cellStyle name="Normal 12 10" xfId="10709"/>
    <cellStyle name="Normal 12 10 2" xfId="10710"/>
    <cellStyle name="Normal 12 10 3" xfId="10711"/>
    <cellStyle name="Normal 12 11" xfId="10712"/>
    <cellStyle name="Normal 12 11 2" xfId="10713"/>
    <cellStyle name="Normal 12 11 3" xfId="10714"/>
    <cellStyle name="Normal 12 12" xfId="10715"/>
    <cellStyle name="Normal 12 13" xfId="10716"/>
    <cellStyle name="Normal 12 2" xfId="10717"/>
    <cellStyle name="Normal 12 2 10" xfId="10718"/>
    <cellStyle name="Normal 12 2 11" xfId="10719"/>
    <cellStyle name="Normal 12 2 2" xfId="10720"/>
    <cellStyle name="Normal 12 2 2 2" xfId="10721"/>
    <cellStyle name="Normal 12 2 2 2 2" xfId="10722"/>
    <cellStyle name="Normal 12 2 2 2 2 2" xfId="10723"/>
    <cellStyle name="Normal 12 2 2 2 3" xfId="10724"/>
    <cellStyle name="Normal 12 2 2 2 3 2" xfId="10725"/>
    <cellStyle name="Normal 12 2 2 2 4" xfId="10726"/>
    <cellStyle name="Normal 12 2 2 2 4 2" xfId="10727"/>
    <cellStyle name="Normal 12 2 2 2 5" xfId="10728"/>
    <cellStyle name="Normal 12 2 2 3" xfId="10729"/>
    <cellStyle name="Normal 12 2 2 3 2" xfId="10730"/>
    <cellStyle name="Normal 12 2 2 3 2 2" xfId="10731"/>
    <cellStyle name="Normal 12 2 2 3 3" xfId="10732"/>
    <cellStyle name="Normal 12 2 2 4" xfId="10733"/>
    <cellStyle name="Normal 12 2 2 4 2" xfId="10734"/>
    <cellStyle name="Normal 12 2 2 5" xfId="10735"/>
    <cellStyle name="Normal 12 2 2 5 2" xfId="10736"/>
    <cellStyle name="Normal 12 2 2 6" xfId="10737"/>
    <cellStyle name="Normal 12 2 3" xfId="10738"/>
    <cellStyle name="Normal 12 2 3 2" xfId="10739"/>
    <cellStyle name="Normal 12 2 3 2 2" xfId="10740"/>
    <cellStyle name="Normal 12 2 3 2 2 2" xfId="10741"/>
    <cellStyle name="Normal 12 2 3 2 3" xfId="10742"/>
    <cellStyle name="Normal 12 2 3 2 3 2" xfId="10743"/>
    <cellStyle name="Normal 12 2 3 2 4" xfId="10744"/>
    <cellStyle name="Normal 12 2 3 2 4 2" xfId="10745"/>
    <cellStyle name="Normal 12 2 3 2 5" xfId="10746"/>
    <cellStyle name="Normal 12 2 3 3" xfId="10747"/>
    <cellStyle name="Normal 12 2 3 3 2" xfId="10748"/>
    <cellStyle name="Normal 12 2 3 3 2 2" xfId="10749"/>
    <cellStyle name="Normal 12 2 3 3 3" xfId="10750"/>
    <cellStyle name="Normal 12 2 3 4" xfId="10751"/>
    <cellStyle name="Normal 12 2 3 4 2" xfId="10752"/>
    <cellStyle name="Normal 12 2 3 5" xfId="10753"/>
    <cellStyle name="Normal 12 2 3 5 2" xfId="10754"/>
    <cellStyle name="Normal 12 2 3 6" xfId="10755"/>
    <cellStyle name="Normal 12 2 4" xfId="10756"/>
    <cellStyle name="Normal 12 2 4 2" xfId="10757"/>
    <cellStyle name="Normal 12 2 4 2 2" xfId="10758"/>
    <cellStyle name="Normal 12 2 4 2 2 2" xfId="10759"/>
    <cellStyle name="Normal 12 2 4 2 3" xfId="10760"/>
    <cellStyle name="Normal 12 2 4 2 3 2" xfId="10761"/>
    <cellStyle name="Normal 12 2 4 2 4" xfId="10762"/>
    <cellStyle name="Normal 12 2 4 2 5" xfId="10763"/>
    <cellStyle name="Normal 12 2 4 3" xfId="10764"/>
    <cellStyle name="Normal 12 2 4 3 2" xfId="10765"/>
    <cellStyle name="Normal 12 2 4 3 2 2" xfId="10766"/>
    <cellStyle name="Normal 12 2 4 3 3" xfId="10767"/>
    <cellStyle name="Normal 12 2 4 4" xfId="10768"/>
    <cellStyle name="Normal 12 2 4 4 2" xfId="10769"/>
    <cellStyle name="Normal 12 2 4 5" xfId="10770"/>
    <cellStyle name="Normal 12 2 4 5 2" xfId="10771"/>
    <cellStyle name="Normal 12 2 4 6" xfId="10772"/>
    <cellStyle name="Normal 12 2 5" xfId="10773"/>
    <cellStyle name="Normal 12 2 5 2" xfId="10774"/>
    <cellStyle name="Normal 12 2 5 2 2" xfId="10775"/>
    <cellStyle name="Normal 12 2 5 2 2 2" xfId="10776"/>
    <cellStyle name="Normal 12 2 5 2 3" xfId="10777"/>
    <cellStyle name="Normal 12 2 5 3" xfId="10778"/>
    <cellStyle name="Normal 12 2 5 3 2" xfId="10779"/>
    <cellStyle name="Normal 12 2 5 4" xfId="10780"/>
    <cellStyle name="Normal 12 2 5 4 2" xfId="10781"/>
    <cellStyle name="Normal 12 2 5 5" xfId="10782"/>
    <cellStyle name="Normal 12 2 6" xfId="10783"/>
    <cellStyle name="Normal 12 2 6 2" xfId="10784"/>
    <cellStyle name="Normal 12 2 6 2 2" xfId="10785"/>
    <cellStyle name="Normal 12 2 6 3" xfId="10786"/>
    <cellStyle name="Normal 12 2 6 3 2" xfId="10787"/>
    <cellStyle name="Normal 12 2 6 4" xfId="10788"/>
    <cellStyle name="Normal 12 2 7" xfId="10789"/>
    <cellStyle name="Normal 12 2 7 2" xfId="10790"/>
    <cellStyle name="Normal 12 2 7 2 2" xfId="10791"/>
    <cellStyle name="Normal 12 2 7 3" xfId="10792"/>
    <cellStyle name="Normal 12 2 8" xfId="10793"/>
    <cellStyle name="Normal 12 2 8 2" xfId="10794"/>
    <cellStyle name="Normal 12 2 8 3" xfId="10795"/>
    <cellStyle name="Normal 12 2 9" xfId="10796"/>
    <cellStyle name="Normal 12 2 9 2" xfId="10797"/>
    <cellStyle name="Normal 12 3" xfId="10798"/>
    <cellStyle name="Normal 12 3 2" xfId="10799"/>
    <cellStyle name="Normal 12 3 2 2" xfId="10800"/>
    <cellStyle name="Normal 12 3 2 2 2" xfId="10801"/>
    <cellStyle name="Normal 12 3 2 2 2 2" xfId="10802"/>
    <cellStyle name="Normal 12 3 2 2 3" xfId="10803"/>
    <cellStyle name="Normal 12 3 2 2 3 2" xfId="10804"/>
    <cellStyle name="Normal 12 3 2 2 4" xfId="10805"/>
    <cellStyle name="Normal 12 3 2 2 4 2" xfId="10806"/>
    <cellStyle name="Normal 12 3 2 2 5" xfId="10807"/>
    <cellStyle name="Normal 12 3 2 3" xfId="10808"/>
    <cellStyle name="Normal 12 3 2 3 2" xfId="10809"/>
    <cellStyle name="Normal 12 3 2 3 2 2" xfId="10810"/>
    <cellStyle name="Normal 12 3 2 3 3" xfId="10811"/>
    <cellStyle name="Normal 12 3 2 4" xfId="10812"/>
    <cellStyle name="Normal 12 3 2 4 2" xfId="10813"/>
    <cellStyle name="Normal 12 3 2 5" xfId="10814"/>
    <cellStyle name="Normal 12 3 2 5 2" xfId="10815"/>
    <cellStyle name="Normal 12 3 2 6" xfId="10816"/>
    <cellStyle name="Normal 12 3 3" xfId="10817"/>
    <cellStyle name="Normal 12 3 3 2" xfId="10818"/>
    <cellStyle name="Normal 12 3 3 2 2" xfId="10819"/>
    <cellStyle name="Normal 12 3 3 2 2 2" xfId="10820"/>
    <cellStyle name="Normal 12 3 3 2 3" xfId="10821"/>
    <cellStyle name="Normal 12 3 3 2 3 2" xfId="10822"/>
    <cellStyle name="Normal 12 3 3 2 4" xfId="10823"/>
    <cellStyle name="Normal 12 3 3 2 5" xfId="10824"/>
    <cellStyle name="Normal 12 3 3 3" xfId="10825"/>
    <cellStyle name="Normal 12 3 3 3 2" xfId="10826"/>
    <cellStyle name="Normal 12 3 3 3 2 2" xfId="10827"/>
    <cellStyle name="Normal 12 3 3 3 3" xfId="10828"/>
    <cellStyle name="Normal 12 3 3 4" xfId="10829"/>
    <cellStyle name="Normal 12 3 3 4 2" xfId="10830"/>
    <cellStyle name="Normal 12 3 3 5" xfId="10831"/>
    <cellStyle name="Normal 12 3 3 5 2" xfId="10832"/>
    <cellStyle name="Normal 12 3 3 6" xfId="10833"/>
    <cellStyle name="Normal 12 3 4" xfId="10834"/>
    <cellStyle name="Normal 12 3 4 2" xfId="10835"/>
    <cellStyle name="Normal 12 3 4 2 2" xfId="10836"/>
    <cellStyle name="Normal 12 3 4 3" xfId="10837"/>
    <cellStyle name="Normal 12 3 4 3 2" xfId="10838"/>
    <cellStyle name="Normal 12 3 4 4" xfId="10839"/>
    <cellStyle name="Normal 12 3 4 4 2" xfId="10840"/>
    <cellStyle name="Normal 12 3 4 5" xfId="10841"/>
    <cellStyle name="Normal 12 3 5" xfId="10842"/>
    <cellStyle name="Normal 12 3 5 2" xfId="10843"/>
    <cellStyle name="Normal 12 3 5 2 2" xfId="10844"/>
    <cellStyle name="Normal 12 3 5 3" xfId="10845"/>
    <cellStyle name="Normal 12 3 5 3 2" xfId="10846"/>
    <cellStyle name="Normal 12 3 5 4" xfId="10847"/>
    <cellStyle name="Normal 12 3 6" xfId="10848"/>
    <cellStyle name="Normal 12 3 6 2" xfId="10849"/>
    <cellStyle name="Normal 12 3 6 2 2" xfId="10850"/>
    <cellStyle name="Normal 12 3 6 3" xfId="10851"/>
    <cellStyle name="Normal 12 3 7" xfId="10852"/>
    <cellStyle name="Normal 12 3 7 2" xfId="10853"/>
    <cellStyle name="Normal 12 3 8" xfId="10854"/>
    <cellStyle name="Normal 12 3 9" xfId="10855"/>
    <cellStyle name="Normal 12 4" xfId="10856"/>
    <cellStyle name="Normal 12 4 2" xfId="10857"/>
    <cellStyle name="Normal 12 4 2 2" xfId="10858"/>
    <cellStyle name="Normal 12 4 2 2 2" xfId="10859"/>
    <cellStyle name="Normal 12 4 2 2 2 2" xfId="10860"/>
    <cellStyle name="Normal 12 4 2 2 3" xfId="10861"/>
    <cellStyle name="Normal 12 4 2 2 3 2" xfId="10862"/>
    <cellStyle name="Normal 12 4 2 2 4" xfId="10863"/>
    <cellStyle name="Normal 12 4 2 2 5" xfId="10864"/>
    <cellStyle name="Normal 12 4 2 3" xfId="10865"/>
    <cellStyle name="Normal 12 4 2 3 2" xfId="10866"/>
    <cellStyle name="Normal 12 4 2 3 2 2" xfId="10867"/>
    <cellStyle name="Normal 12 4 2 3 3" xfId="10868"/>
    <cellStyle name="Normal 12 4 2 4" xfId="10869"/>
    <cellStyle name="Normal 12 4 2 4 2" xfId="10870"/>
    <cellStyle name="Normal 12 4 2 5" xfId="10871"/>
    <cellStyle name="Normal 12 4 2 5 2" xfId="10872"/>
    <cellStyle name="Normal 12 4 2 6" xfId="10873"/>
    <cellStyle name="Normal 12 4 3" xfId="10874"/>
    <cellStyle name="Normal 12 4 3 2" xfId="10875"/>
    <cellStyle name="Normal 12 4 3 2 2" xfId="10876"/>
    <cellStyle name="Normal 12 4 3 2 2 2" xfId="10877"/>
    <cellStyle name="Normal 12 4 3 2 3" xfId="10878"/>
    <cellStyle name="Normal 12 4 3 3" xfId="10879"/>
    <cellStyle name="Normal 12 4 3 3 2" xfId="10880"/>
    <cellStyle name="Normal 12 4 3 4" xfId="10881"/>
    <cellStyle name="Normal 12 4 3 4 2" xfId="10882"/>
    <cellStyle name="Normal 12 4 3 5" xfId="10883"/>
    <cellStyle name="Normal 12 4 4" xfId="10884"/>
    <cellStyle name="Normal 12 4 4 2" xfId="10885"/>
    <cellStyle name="Normal 12 4 4 2 2" xfId="10886"/>
    <cellStyle name="Normal 12 4 4 3" xfId="10887"/>
    <cellStyle name="Normal 12 4 4 3 2" xfId="10888"/>
    <cellStyle name="Normal 12 4 4 4" xfId="10889"/>
    <cellStyle name="Normal 12 4 5" xfId="10890"/>
    <cellStyle name="Normal 12 4 5 2" xfId="10891"/>
    <cellStyle name="Normal 12 4 5 2 2" xfId="10892"/>
    <cellStyle name="Normal 12 4 5 3" xfId="10893"/>
    <cellStyle name="Normal 12 4 6" xfId="10894"/>
    <cellStyle name="Normal 12 4 6 2" xfId="10895"/>
    <cellStyle name="Normal 12 4 6 3" xfId="10896"/>
    <cellStyle name="Normal 12 4 7" xfId="10897"/>
    <cellStyle name="Normal 12 4 7 2" xfId="10898"/>
    <cellStyle name="Normal 12 4 8" xfId="10899"/>
    <cellStyle name="Normal 12 4 9" xfId="10900"/>
    <cellStyle name="Normal 12 5" xfId="10901"/>
    <cellStyle name="Normal 12 5 2" xfId="10902"/>
    <cellStyle name="Normal 12 5 2 2" xfId="10903"/>
    <cellStyle name="Normal 12 5 2 2 2" xfId="10904"/>
    <cellStyle name="Normal 12 5 2 2 2 2" xfId="10905"/>
    <cellStyle name="Normal 12 5 2 2 3" xfId="10906"/>
    <cellStyle name="Normal 12 5 2 3" xfId="10907"/>
    <cellStyle name="Normal 12 5 2 3 2" xfId="10908"/>
    <cellStyle name="Normal 12 5 2 4" xfId="10909"/>
    <cellStyle name="Normal 12 5 2 4 2" xfId="10910"/>
    <cellStyle name="Normal 12 5 2 5" xfId="10911"/>
    <cellStyle name="Normal 12 5 3" xfId="10912"/>
    <cellStyle name="Normal 12 5 3 2" xfId="10913"/>
    <cellStyle name="Normal 12 5 3 2 2" xfId="10914"/>
    <cellStyle name="Normal 12 5 3 3" xfId="10915"/>
    <cellStyle name="Normal 12 5 3 3 2" xfId="10916"/>
    <cellStyle name="Normal 12 5 3 4" xfId="10917"/>
    <cellStyle name="Normal 12 5 4" xfId="10918"/>
    <cellStyle name="Normal 12 5 4 2" xfId="10919"/>
    <cellStyle name="Normal 12 5 4 2 2" xfId="10920"/>
    <cellStyle name="Normal 12 5 4 3" xfId="10921"/>
    <cellStyle name="Normal 12 5 5" xfId="10922"/>
    <cellStyle name="Normal 12 5 5 2" xfId="10923"/>
    <cellStyle name="Normal 12 5 5 3" xfId="10924"/>
    <cellStyle name="Normal 12 5 6" xfId="10925"/>
    <cellStyle name="Normal 12 5 6 2" xfId="10926"/>
    <cellStyle name="Normal 12 5 7" xfId="10927"/>
    <cellStyle name="Normal 12 5 8" xfId="10928"/>
    <cellStyle name="Normal 12 6" xfId="10929"/>
    <cellStyle name="Normal 12 6 2" xfId="10930"/>
    <cellStyle name="Normal 12 6 2 2" xfId="10931"/>
    <cellStyle name="Normal 12 6 3" xfId="10932"/>
    <cellStyle name="Normal 12 6 3 2" xfId="10933"/>
    <cellStyle name="Normal 12 6 3 3" xfId="10934"/>
    <cellStyle name="Normal 12 6 4" xfId="10935"/>
    <cellStyle name="Normal 12 6 4 2" xfId="10936"/>
    <cellStyle name="Normal 12 6 5" xfId="10937"/>
    <cellStyle name="Normal 12 7" xfId="10938"/>
    <cellStyle name="Normal 12 7 2" xfId="10939"/>
    <cellStyle name="Normal 12 7 2 2" xfId="10940"/>
    <cellStyle name="Normal 12 7 3" xfId="10941"/>
    <cellStyle name="Normal 12 7 3 2" xfId="10942"/>
    <cellStyle name="Normal 12 7 4" xfId="10943"/>
    <cellStyle name="Normal 12 8" xfId="10944"/>
    <cellStyle name="Normal 12 8 2" xfId="10945"/>
    <cellStyle name="Normal 12 8 2 2" xfId="10946"/>
    <cellStyle name="Normal 12 8 3" xfId="10947"/>
    <cellStyle name="Normal 12 9" xfId="10948"/>
    <cellStyle name="Normal 12 9 2" xfId="10949"/>
    <cellStyle name="Normal 12 9 3" xfId="10950"/>
    <cellStyle name="Normal 120" xfId="10951"/>
    <cellStyle name="Normal 120 2" xfId="10952"/>
    <cellStyle name="Normal 120 3" xfId="10953"/>
    <cellStyle name="Normal 121" xfId="10954"/>
    <cellStyle name="Normal 121 2" xfId="10955"/>
    <cellStyle name="Normal 122" xfId="10956"/>
    <cellStyle name="Normal 122 2" xfId="10957"/>
    <cellStyle name="Normal 123" xfId="10958"/>
    <cellStyle name="Normal 123 2" xfId="10959"/>
    <cellStyle name="Normal 124" xfId="10960"/>
    <cellStyle name="Normal 124 2" xfId="10961"/>
    <cellStyle name="Normal 125" xfId="10962"/>
    <cellStyle name="Normal 125 2" xfId="10963"/>
    <cellStyle name="Normal 126" xfId="10964"/>
    <cellStyle name="Normal 126 2" xfId="10965"/>
    <cellStyle name="Normal 127" xfId="10966"/>
    <cellStyle name="Normal 127 2" xfId="10967"/>
    <cellStyle name="Normal 128" xfId="10968"/>
    <cellStyle name="Normal 128 2" xfId="10969"/>
    <cellStyle name="Normal 129" xfId="10970"/>
    <cellStyle name="Normal 129 2" xfId="10971"/>
    <cellStyle name="Normal 13" xfId="10972"/>
    <cellStyle name="Normal 13 2" xfId="10973"/>
    <cellStyle name="Normal 13 2 2" xfId="10974"/>
    <cellStyle name="Normal 13 2 3" xfId="10975"/>
    <cellStyle name="Normal 13 3" xfId="10976"/>
    <cellStyle name="Normal 13 4" xfId="10977"/>
    <cellStyle name="Normal 13 5" xfId="10978"/>
    <cellStyle name="Normal 130" xfId="10979"/>
    <cellStyle name="Normal 130 2" xfId="10980"/>
    <cellStyle name="Normal 131" xfId="10981"/>
    <cellStyle name="Normal 131 2" xfId="10982"/>
    <cellStyle name="Normal 132" xfId="10983"/>
    <cellStyle name="Normal 132 2" xfId="10984"/>
    <cellStyle name="Normal 133" xfId="10985"/>
    <cellStyle name="Normal 133 2" xfId="10986"/>
    <cellStyle name="Normal 134" xfId="10987"/>
    <cellStyle name="Normal 134 2" xfId="10988"/>
    <cellStyle name="Normal 135" xfId="10989"/>
    <cellStyle name="Normal 135 2" xfId="10990"/>
    <cellStyle name="Normal 136" xfId="10991"/>
    <cellStyle name="Normal 136 2" xfId="10992"/>
    <cellStyle name="Normal 137" xfId="10993"/>
    <cellStyle name="Normal 137 2" xfId="10994"/>
    <cellStyle name="Normal 138" xfId="10995"/>
    <cellStyle name="Normal 138 2" xfId="10996"/>
    <cellStyle name="Normal 139" xfId="10997"/>
    <cellStyle name="Normal 139 2" xfId="10998"/>
    <cellStyle name="Normal 14" xfId="10999"/>
    <cellStyle name="Normal 14 10" xfId="11000"/>
    <cellStyle name="Normal 14 11" xfId="11001"/>
    <cellStyle name="Normal 14 2" xfId="18"/>
    <cellStyle name="Normal 14 2 2" xfId="11002"/>
    <cellStyle name="Normal 14 2 2 2" xfId="11003"/>
    <cellStyle name="Normal 14 2 2 2 2" xfId="11004"/>
    <cellStyle name="Normal 14 2 2 3" xfId="11005"/>
    <cellStyle name="Normal 14 2 2 3 2" xfId="11006"/>
    <cellStyle name="Normal 14 2 2 4" xfId="11007"/>
    <cellStyle name="Normal 14 2 2 4 2" xfId="11008"/>
    <cellStyle name="Normal 14 2 2 5" xfId="11009"/>
    <cellStyle name="Normal 14 2 3" xfId="11010"/>
    <cellStyle name="Normal 14 2 3 2" xfId="11011"/>
    <cellStyle name="Normal 14 2 3 2 2" xfId="11012"/>
    <cellStyle name="Normal 14 2 3 3" xfId="11013"/>
    <cellStyle name="Normal 14 2 3 3 2" xfId="11014"/>
    <cellStyle name="Normal 14 2 3 3 3" xfId="11015"/>
    <cellStyle name="Normal 14 2 3 3 3 2" xfId="11016"/>
    <cellStyle name="Normal 14 2 3 4" xfId="11017"/>
    <cellStyle name="Normal 14 2 3 4 2" xfId="11018"/>
    <cellStyle name="Normal 14 2 3 5" xfId="11019"/>
    <cellStyle name="Normal 14 2 3 5 2" xfId="11020"/>
    <cellStyle name="Normal 14 2 3 6" xfId="11021"/>
    <cellStyle name="Normal 14 2 4" xfId="11022"/>
    <cellStyle name="Normal 14 2 4 2" xfId="11023"/>
    <cellStyle name="Normal 14 2 4 2 2" xfId="11024"/>
    <cellStyle name="Normal 14 2 4 3" xfId="11025"/>
    <cellStyle name="Normal 14 2 4 3 2" xfId="11026"/>
    <cellStyle name="Normal 14 2 4 4" xfId="11027"/>
    <cellStyle name="Normal 14 2 4 5" xfId="11028"/>
    <cellStyle name="Normal 14 2 5" xfId="11029"/>
    <cellStyle name="Normal 14 2 5 2" xfId="11030"/>
    <cellStyle name="Normal 14 2 5 2 2" xfId="11031"/>
    <cellStyle name="Normal 14 2 5 3" xfId="11032"/>
    <cellStyle name="Normal 14 2 5 3 2" xfId="11033"/>
    <cellStyle name="Normal 14 2 5 4" xfId="11034"/>
    <cellStyle name="Normal 14 2 6" xfId="11035"/>
    <cellStyle name="Normal 14 2 6 2" xfId="11036"/>
    <cellStyle name="Normal 14 2 7" xfId="11037"/>
    <cellStyle name="Normal 14 3" xfId="11038"/>
    <cellStyle name="Normal 14 3 2" xfId="11039"/>
    <cellStyle name="Normal 14 3 2 2" xfId="11040"/>
    <cellStyle name="Normal 14 3 2 2 2" xfId="11041"/>
    <cellStyle name="Normal 14 3 2 3" xfId="11042"/>
    <cellStyle name="Normal 14 3 2 3 2" xfId="11043"/>
    <cellStyle name="Normal 14 3 2 4" xfId="11044"/>
    <cellStyle name="Normal 14 3 3" xfId="11045"/>
    <cellStyle name="Normal 14 3 3 2" xfId="11046"/>
    <cellStyle name="Normal 14 3 3 2 2" xfId="11047"/>
    <cellStyle name="Normal 14 3 3 3" xfId="11048"/>
    <cellStyle name="Normal 14 3 3 3 2" xfId="11049"/>
    <cellStyle name="Normal 14 3 3 4" xfId="11050"/>
    <cellStyle name="Normal 14 3 3 5" xfId="11051"/>
    <cellStyle name="Normal 14 3 3 5 2" xfId="11052"/>
    <cellStyle name="Normal 14 3 3 6" xfId="11053"/>
    <cellStyle name="Normal 14 3 4" xfId="11054"/>
    <cellStyle name="Normal 14 3 4 2" xfId="11055"/>
    <cellStyle name="Normal 14 3 4 2 2" xfId="11056"/>
    <cellStyle name="Normal 14 3 5" xfId="11057"/>
    <cellStyle name="Normal 14 3 5 2" xfId="11058"/>
    <cellStyle name="Normal 14 3 6" xfId="11059"/>
    <cellStyle name="Normal 14 4" xfId="11060"/>
    <cellStyle name="Normal 14 4 2" xfId="11061"/>
    <cellStyle name="Normal 14 4 2 2" xfId="11062"/>
    <cellStyle name="Normal 14 4 2 2 2" xfId="11063"/>
    <cellStyle name="Normal 14 4 2 2 2 2" xfId="11064"/>
    <cellStyle name="Normal 14 4 2 3" xfId="11065"/>
    <cellStyle name="Normal 14 4 2 3 2" xfId="11066"/>
    <cellStyle name="Normal 14 4 2 4" xfId="11067"/>
    <cellStyle name="Normal 14 4 2 5" xfId="11068"/>
    <cellStyle name="Normal 14 4 3" xfId="11069"/>
    <cellStyle name="Normal 14 4 3 2" xfId="11070"/>
    <cellStyle name="Normal 14 4 3 2 2" xfId="11071"/>
    <cellStyle name="Normal 14 4 3 3" xfId="11072"/>
    <cellStyle name="Normal 14 4 4" xfId="11073"/>
    <cellStyle name="Normal 14 4 4 2" xfId="11074"/>
    <cellStyle name="Normal 14 4 4 2 2" xfId="11075"/>
    <cellStyle name="Normal 14 4 4 3" xfId="11076"/>
    <cellStyle name="Normal 14 4 5" xfId="11077"/>
    <cellStyle name="Normal 14 4 5 2" xfId="11078"/>
    <cellStyle name="Normal 14 4 5 2 2" xfId="11079"/>
    <cellStyle name="Normal 14 4 5 3" xfId="11080"/>
    <cellStyle name="Normal 14 4 6" xfId="11081"/>
    <cellStyle name="Normal 14 4 6 2" xfId="11082"/>
    <cellStyle name="Normal 14 4 6 2 2" xfId="11083"/>
    <cellStyle name="Normal 14 4 7" xfId="11084"/>
    <cellStyle name="Normal 14 5" xfId="11085"/>
    <cellStyle name="Normal 14 5 2" xfId="11086"/>
    <cellStyle name="Normal 14 5 2 2" xfId="11087"/>
    <cellStyle name="Normal 14 5 2 2 2" xfId="11088"/>
    <cellStyle name="Normal 14 5 3" xfId="11089"/>
    <cellStyle name="Normal 14 5 4" xfId="11090"/>
    <cellStyle name="Normal 14 6" xfId="11091"/>
    <cellStyle name="Normal 14 6 2" xfId="11092"/>
    <cellStyle name="Normal 14 7" xfId="11093"/>
    <cellStyle name="Normal 14 7 2" xfId="11094"/>
    <cellStyle name="Normal 14 8" xfId="11095"/>
    <cellStyle name="Normal 14 8 2" xfId="11096"/>
    <cellStyle name="Normal 14 9" xfId="11097"/>
    <cellStyle name="Normal 14 9 2" xfId="11098"/>
    <cellStyle name="Normal 140" xfId="11099"/>
    <cellStyle name="Normal 140 2" xfId="11100"/>
    <cellStyle name="Normal 141" xfId="11101"/>
    <cellStyle name="Normal 141 2" xfId="11102"/>
    <cellStyle name="Normal 142" xfId="11103"/>
    <cellStyle name="Normal 142 2" xfId="11104"/>
    <cellStyle name="Normal 143" xfId="11105"/>
    <cellStyle name="Normal 143 2" xfId="11106"/>
    <cellStyle name="Normal 144" xfId="11107"/>
    <cellStyle name="Normal 144 2" xfId="11108"/>
    <cellStyle name="Normal 145" xfId="11109"/>
    <cellStyle name="Normal 145 2" xfId="11110"/>
    <cellStyle name="Normal 146" xfId="11111"/>
    <cellStyle name="Normal 146 2" xfId="11112"/>
    <cellStyle name="Normal 147" xfId="11113"/>
    <cellStyle name="Normal 147 2" xfId="11114"/>
    <cellStyle name="Normal 148" xfId="11115"/>
    <cellStyle name="Normal 148 2" xfId="11116"/>
    <cellStyle name="Normal 149" xfId="11117"/>
    <cellStyle name="Normal 149 2" xfId="11118"/>
    <cellStyle name="Normal 15" xfId="11119"/>
    <cellStyle name="Normal 15 10" xfId="11120"/>
    <cellStyle name="Normal 15 11" xfId="11121"/>
    <cellStyle name="Normal 15 2" xfId="11122"/>
    <cellStyle name="Normal 15 2 2" xfId="11123"/>
    <cellStyle name="Normal 15 2 2 2" xfId="11124"/>
    <cellStyle name="Normal 15 2 2 2 2" xfId="11125"/>
    <cellStyle name="Normal 15 2 2 3" xfId="11126"/>
    <cellStyle name="Normal 15 2 2 3 2" xfId="11127"/>
    <cellStyle name="Normal 15 2 2 4" xfId="11128"/>
    <cellStyle name="Normal 15 2 3" xfId="11129"/>
    <cellStyle name="Normal 15 2 3 2" xfId="11130"/>
    <cellStyle name="Normal 15 2 3 2 2" xfId="11131"/>
    <cellStyle name="Normal 15 2 3 3" xfId="11132"/>
    <cellStyle name="Normal 15 2 3 3 2" xfId="11133"/>
    <cellStyle name="Normal 15 2 3 4" xfId="11134"/>
    <cellStyle name="Normal 15 2 4" xfId="11135"/>
    <cellStyle name="Normal 15 2 4 2" xfId="11136"/>
    <cellStyle name="Normal 15 2 4 2 2" xfId="11137"/>
    <cellStyle name="Normal 15 2 4 3" xfId="11138"/>
    <cellStyle name="Normal 15 2 5" xfId="11139"/>
    <cellStyle name="Normal 15 2 5 2" xfId="11140"/>
    <cellStyle name="Normal 15 2 6" xfId="11141"/>
    <cellStyle name="Normal 15 2 6 2" xfId="11142"/>
    <cellStyle name="Normal 15 2 7" xfId="11143"/>
    <cellStyle name="Normal 15 3" xfId="11144"/>
    <cellStyle name="Normal 15 3 2" xfId="11145"/>
    <cellStyle name="Normal 15 3 2 2" xfId="11146"/>
    <cellStyle name="Normal 15 3 2 2 2" xfId="11147"/>
    <cellStyle name="Normal 15 3 2 3" xfId="11148"/>
    <cellStyle name="Normal 15 3 2 3 2" xfId="11149"/>
    <cellStyle name="Normal 15 3 2 4" xfId="11150"/>
    <cellStyle name="Normal 15 3 3" xfId="11151"/>
    <cellStyle name="Normal 15 3 3 2" xfId="11152"/>
    <cellStyle name="Normal 15 3 3 2 2" xfId="11153"/>
    <cellStyle name="Normal 15 3 3 3" xfId="11154"/>
    <cellStyle name="Normal 15 3 3 3 2" xfId="11155"/>
    <cellStyle name="Normal 15 3 3 4" xfId="11156"/>
    <cellStyle name="Normal 15 3 4" xfId="11157"/>
    <cellStyle name="Normal 15 3 4 2" xfId="11158"/>
    <cellStyle name="Normal 15 3 4 2 2" xfId="11159"/>
    <cellStyle name="Normal 15 3 5" xfId="11160"/>
    <cellStyle name="Normal 15 3 5 2" xfId="11161"/>
    <cellStyle name="Normal 15 3 6" xfId="11162"/>
    <cellStyle name="Normal 15 4" xfId="11163"/>
    <cellStyle name="Normal 15 4 2" xfId="11164"/>
    <cellStyle name="Normal 15 4 2 2" xfId="11165"/>
    <cellStyle name="Normal 15 4 2 2 2" xfId="11166"/>
    <cellStyle name="Normal 15 4 2 2 2 2" xfId="11167"/>
    <cellStyle name="Normal 15 4 2 3" xfId="11168"/>
    <cellStyle name="Normal 15 4 2 3 2" xfId="11169"/>
    <cellStyle name="Normal 15 4 2 4" xfId="11170"/>
    <cellStyle name="Normal 15 4 2 5" xfId="11171"/>
    <cellStyle name="Normal 15 4 3" xfId="11172"/>
    <cellStyle name="Normal 15 4 3 2" xfId="11173"/>
    <cellStyle name="Normal 15 4 3 2 2" xfId="11174"/>
    <cellStyle name="Normal 15 4 3 3" xfId="11175"/>
    <cellStyle name="Normal 15 4 4" xfId="11176"/>
    <cellStyle name="Normal 15 4 4 2" xfId="11177"/>
    <cellStyle name="Normal 15 4 4 2 2" xfId="11178"/>
    <cellStyle name="Normal 15 4 4 3" xfId="11179"/>
    <cellStyle name="Normal 15 4 5" xfId="11180"/>
    <cellStyle name="Normal 15 4 5 2" xfId="11181"/>
    <cellStyle name="Normal 15 4 5 2 2" xfId="11182"/>
    <cellStyle name="Normal 15 4 5 3" xfId="11183"/>
    <cellStyle name="Normal 15 4 6" xfId="11184"/>
    <cellStyle name="Normal 15 4 6 2" xfId="11185"/>
    <cellStyle name="Normal 15 4 6 2 2" xfId="11186"/>
    <cellStyle name="Normal 15 4 7" xfId="11187"/>
    <cellStyle name="Normal 15 5" xfId="11188"/>
    <cellStyle name="Normal 15 5 2" xfId="11189"/>
    <cellStyle name="Normal 15 5 2 2" xfId="11190"/>
    <cellStyle name="Normal 15 5 3" xfId="11191"/>
    <cellStyle name="Normal 15 6" xfId="11192"/>
    <cellStyle name="Normal 15 6 2" xfId="11193"/>
    <cellStyle name="Normal 15 7" xfId="11194"/>
    <cellStyle name="Normal 15 7 2" xfId="11195"/>
    <cellStyle name="Normal 15 8" xfId="11196"/>
    <cellStyle name="Normal 15 8 2" xfId="11197"/>
    <cellStyle name="Normal 15 9" xfId="11198"/>
    <cellStyle name="Normal 150" xfId="11199"/>
    <cellStyle name="Normal 150 2" xfId="11200"/>
    <cellStyle name="Normal 151" xfId="11201"/>
    <cellStyle name="Normal 151 2" xfId="11202"/>
    <cellStyle name="Normal 152" xfId="11203"/>
    <cellStyle name="Normal 152 2" xfId="11204"/>
    <cellStyle name="Normal 153" xfId="11205"/>
    <cellStyle name="Normal 153 2" xfId="11206"/>
    <cellStyle name="Normal 154" xfId="11207"/>
    <cellStyle name="Normal 154 2" xfId="11208"/>
    <cellStyle name="Normal 155" xfId="11209"/>
    <cellStyle name="Normal 155 2" xfId="11210"/>
    <cellStyle name="Normal 156" xfId="11211"/>
    <cellStyle name="Normal 156 2" xfId="11212"/>
    <cellStyle name="Normal 157" xfId="11213"/>
    <cellStyle name="Normal 158" xfId="11214"/>
    <cellStyle name="Normal 159" xfId="11215"/>
    <cellStyle name="Normal 16" xfId="11216"/>
    <cellStyle name="Normal 16 10" xfId="11217"/>
    <cellStyle name="Normal 16 11" xfId="11218"/>
    <cellStyle name="Normal 16 12" xfId="11219"/>
    <cellStyle name="Normal 16 2" xfId="11220"/>
    <cellStyle name="Normal 16 2 2" xfId="11221"/>
    <cellStyle name="Normal 16 2 2 2" xfId="11222"/>
    <cellStyle name="Normal 16 2 3" xfId="11223"/>
    <cellStyle name="Normal 16 2 3 2" xfId="11224"/>
    <cellStyle name="Normal 16 2 4" xfId="11225"/>
    <cellStyle name="Normal 16 2 4 2" xfId="11226"/>
    <cellStyle name="Normal 16 2 5" xfId="11227"/>
    <cellStyle name="Normal 16 2 5 2" xfId="11228"/>
    <cellStyle name="Normal 16 2 6" xfId="11229"/>
    <cellStyle name="Normal 16 3" xfId="11230"/>
    <cellStyle name="Normal 16 3 2" xfId="11231"/>
    <cellStyle name="Normal 16 3 2 2" xfId="11232"/>
    <cellStyle name="Normal 16 3 2 2 2" xfId="11233"/>
    <cellStyle name="Normal 16 3 2 3" xfId="11234"/>
    <cellStyle name="Normal 16 3 2 3 2" xfId="11235"/>
    <cellStyle name="Normal 16 3 2 4" xfId="11236"/>
    <cellStyle name="Normal 16 3 2 4 2" xfId="11237"/>
    <cellStyle name="Normal 16 3 2 5" xfId="11238"/>
    <cellStyle name="Normal 16 3 3" xfId="11239"/>
    <cellStyle name="Normal 16 3 3 2" xfId="11240"/>
    <cellStyle name="Normal 16 3 3 2 2" xfId="11241"/>
    <cellStyle name="Normal 16 3 3 3" xfId="11242"/>
    <cellStyle name="Normal 16 3 3 3 2" xfId="11243"/>
    <cellStyle name="Normal 16 3 3 4" xfId="11244"/>
    <cellStyle name="Normal 16 3 4" xfId="11245"/>
    <cellStyle name="Normal 16 3 4 2" xfId="11246"/>
    <cellStyle name="Normal 16 3 4 2 2" xfId="11247"/>
    <cellStyle name="Normal 16 3 4 3" xfId="11248"/>
    <cellStyle name="Normal 16 3 4 3 2" xfId="11249"/>
    <cellStyle name="Normal 16 3 4 4" xfId="11250"/>
    <cellStyle name="Normal 16 3 5" xfId="11251"/>
    <cellStyle name="Normal 16 3 5 2" xfId="11252"/>
    <cellStyle name="Normal 16 3 5 2 2" xfId="11253"/>
    <cellStyle name="Normal 16 3 5 3" xfId="11254"/>
    <cellStyle name="Normal 16 3 5 3 2" xfId="11255"/>
    <cellStyle name="Normal 16 3 5 4" xfId="11256"/>
    <cellStyle name="Normal 16 3 6" xfId="11257"/>
    <cellStyle name="Normal 16 4" xfId="11258"/>
    <cellStyle name="Normal 16 4 2" xfId="11259"/>
    <cellStyle name="Normal 16 4 2 2" xfId="11260"/>
    <cellStyle name="Normal 16 4 2 2 2" xfId="11261"/>
    <cellStyle name="Normal 16 4 2 3" xfId="11262"/>
    <cellStyle name="Normal 16 4 2 3 2" xfId="11263"/>
    <cellStyle name="Normal 16 4 2 4" xfId="11264"/>
    <cellStyle name="Normal 16 4 3" xfId="11265"/>
    <cellStyle name="Normal 16 4 3 2" xfId="11266"/>
    <cellStyle name="Normal 16 4 3 2 2" xfId="11267"/>
    <cellStyle name="Normal 16 4 3 3" xfId="11268"/>
    <cellStyle name="Normal 16 4 3 3 2" xfId="11269"/>
    <cellStyle name="Normal 16 4 3 4" xfId="11270"/>
    <cellStyle name="Normal 16 4 4" xfId="11271"/>
    <cellStyle name="Normal 16 4 4 2" xfId="11272"/>
    <cellStyle name="Normal 16 4 4 2 2" xfId="11273"/>
    <cellStyle name="Normal 16 4 5" xfId="11274"/>
    <cellStyle name="Normal 16 4 5 2" xfId="11275"/>
    <cellStyle name="Normal 16 4 6" xfId="11276"/>
    <cellStyle name="Normal 16 5" xfId="11277"/>
    <cellStyle name="Normal 16 5 2" xfId="11278"/>
    <cellStyle name="Normal 16 5 2 2" xfId="11279"/>
    <cellStyle name="Normal 16 5 2 2 2" xfId="11280"/>
    <cellStyle name="Normal 16 5 2 2 2 2" xfId="11281"/>
    <cellStyle name="Normal 16 5 2 3" xfId="11282"/>
    <cellStyle name="Normal 16 5 2 3 2" xfId="11283"/>
    <cellStyle name="Normal 16 5 2 4" xfId="11284"/>
    <cellStyle name="Normal 16 5 2 5" xfId="11285"/>
    <cellStyle name="Normal 16 5 3" xfId="11286"/>
    <cellStyle name="Normal 16 5 3 2" xfId="11287"/>
    <cellStyle name="Normal 16 5 3 2 2" xfId="11288"/>
    <cellStyle name="Normal 16 5 3 3" xfId="11289"/>
    <cellStyle name="Normal 16 5 4" xfId="11290"/>
    <cellStyle name="Normal 16 5 4 2" xfId="11291"/>
    <cellStyle name="Normal 16 5 4 2 2" xfId="11292"/>
    <cellStyle name="Normal 16 5 4 3" xfId="11293"/>
    <cellStyle name="Normal 16 5 5" xfId="11294"/>
    <cellStyle name="Normal 16 5 5 2" xfId="11295"/>
    <cellStyle name="Normal 16 5 5 2 2" xfId="11296"/>
    <cellStyle name="Normal 16 5 5 3" xfId="11297"/>
    <cellStyle name="Normal 16 5 6" xfId="11298"/>
    <cellStyle name="Normal 16 5 6 2" xfId="11299"/>
    <cellStyle name="Normal 16 5 6 2 2" xfId="11300"/>
    <cellStyle name="Normal 16 5 7" xfId="11301"/>
    <cellStyle name="Normal 16 6" xfId="11302"/>
    <cellStyle name="Normal 16 6 2" xfId="11303"/>
    <cellStyle name="Normal 16 6 2 2" xfId="11304"/>
    <cellStyle name="Normal 16 6 3" xfId="11305"/>
    <cellStyle name="Normal 16 7" xfId="11306"/>
    <cellStyle name="Normal 16 7 2" xfId="11307"/>
    <cellStyle name="Normal 16 8" xfId="11308"/>
    <cellStyle name="Normal 16 8 2" xfId="11309"/>
    <cellStyle name="Normal 16 9" xfId="11310"/>
    <cellStyle name="Normal 16 9 2" xfId="11311"/>
    <cellStyle name="Normal 160" xfId="11312"/>
    <cellStyle name="Normal 161" xfId="11313"/>
    <cellStyle name="Normal 162" xfId="11314"/>
    <cellStyle name="Normal 163" xfId="11315"/>
    <cellStyle name="Normal 164" xfId="11316"/>
    <cellStyle name="Normal 165" xfId="11317"/>
    <cellStyle name="Normal 166" xfId="11318"/>
    <cellStyle name="Normal 167" xfId="11319"/>
    <cellStyle name="Normal 168" xfId="11320"/>
    <cellStyle name="Normal 169" xfId="11321"/>
    <cellStyle name="Normal 17" xfId="11322"/>
    <cellStyle name="Normal 17 10" xfId="11323"/>
    <cellStyle name="Normal 17 10 2" xfId="11324"/>
    <cellStyle name="Normal 17 10 3" xfId="11325"/>
    <cellStyle name="Normal 17 10 4" xfId="11326"/>
    <cellStyle name="Normal 17 10 4 2" xfId="11327"/>
    <cellStyle name="Normal 17 11" xfId="11328"/>
    <cellStyle name="Normal 17 11 2" xfId="11329"/>
    <cellStyle name="Normal 17 11 2 2" xfId="11330"/>
    <cellStyle name="Normal 17 11 3" xfId="11331"/>
    <cellStyle name="Normal 17 11 4" xfId="11332"/>
    <cellStyle name="Normal 17 12" xfId="11333"/>
    <cellStyle name="Normal 17 12 2" xfId="11334"/>
    <cellStyle name="Normal 17 13" xfId="11335"/>
    <cellStyle name="Normal 17 14" xfId="11336"/>
    <cellStyle name="Normal 17 15" xfId="11337"/>
    <cellStyle name="Normal 17 16" xfId="11338"/>
    <cellStyle name="Normal 17 2" xfId="11339"/>
    <cellStyle name="Normal 17 2 2" xfId="11340"/>
    <cellStyle name="Normal 17 2 2 2" xfId="11341"/>
    <cellStyle name="Normal 17 2 2 3" xfId="11342"/>
    <cellStyle name="Normal 17 2 3" xfId="11343"/>
    <cellStyle name="Normal 17 2 3 2" xfId="11344"/>
    <cellStyle name="Normal 17 2 4" xfId="11345"/>
    <cellStyle name="Normal 17 3" xfId="11346"/>
    <cellStyle name="Normal 17 3 2" xfId="11347"/>
    <cellStyle name="Normal 17 3 2 2" xfId="11348"/>
    <cellStyle name="Normal 17 3 2 2 2" xfId="11349"/>
    <cellStyle name="Normal 17 3 2 2 3" xfId="11350"/>
    <cellStyle name="Normal 17 3 2 2 4" xfId="11351"/>
    <cellStyle name="Normal 17 3 2 3" xfId="11352"/>
    <cellStyle name="Normal 17 3 2 3 2" xfId="11353"/>
    <cellStyle name="Normal 17 3 2 3 2 2" xfId="11354"/>
    <cellStyle name="Normal 17 3 2 3 3" xfId="11355"/>
    <cellStyle name="Normal 17 3 2 4" xfId="11356"/>
    <cellStyle name="Normal 17 3 2 4 2" xfId="11357"/>
    <cellStyle name="Normal 17 3 2 5" xfId="11358"/>
    <cellStyle name="Normal 17 3 2 5 2" xfId="11359"/>
    <cellStyle name="Normal 17 3 2 6" xfId="11360"/>
    <cellStyle name="Normal 17 3 2 6 2" xfId="11361"/>
    <cellStyle name="Normal 17 3 2 6 2 2" xfId="11362"/>
    <cellStyle name="Normal 17 3 2 7" xfId="11363"/>
    <cellStyle name="Normal 17 3 2 7 2" xfId="11364"/>
    <cellStyle name="Normal 17 3 2 8" xfId="11365"/>
    <cellStyle name="Normal 17 3 3" xfId="11366"/>
    <cellStyle name="Normal 17 3 3 2" xfId="11367"/>
    <cellStyle name="Normal 17 3 3 2 2" xfId="11368"/>
    <cellStyle name="Normal 17 3 3 2 2 2" xfId="11369"/>
    <cellStyle name="Normal 17 3 3 2 3" xfId="11370"/>
    <cellStyle name="Normal 17 3 3 3" xfId="11371"/>
    <cellStyle name="Normal 17 3 3 3 2" xfId="11372"/>
    <cellStyle name="Normal 17 3 3 3 2 2" xfId="11373"/>
    <cellStyle name="Normal 17 3 3 4" xfId="11374"/>
    <cellStyle name="Normal 17 3 3 4 2" xfId="11375"/>
    <cellStyle name="Normal 17 3 3 4 2 2" xfId="11376"/>
    <cellStyle name="Normal 17 3 3 5" xfId="11377"/>
    <cellStyle name="Normal 17 3 4" xfId="11378"/>
    <cellStyle name="Normal 17 3 4 2" xfId="11379"/>
    <cellStyle name="Normal 17 3 4 2 2" xfId="11380"/>
    <cellStyle name="Normal 17 3 4 2 2 2" xfId="11381"/>
    <cellStyle name="Normal 17 3 4 3" xfId="11382"/>
    <cellStyle name="Normal 17 3 4 3 2" xfId="11383"/>
    <cellStyle name="Normal 17 3 4 4" xfId="11384"/>
    <cellStyle name="Normal 17 3 4 5" xfId="11385"/>
    <cellStyle name="Normal 17 3 5" xfId="11386"/>
    <cellStyle name="Normal 17 3 5 2" xfId="11387"/>
    <cellStyle name="Normal 17 3 6" xfId="11388"/>
    <cellStyle name="Normal 17 3 7" xfId="11389"/>
    <cellStyle name="Normal 17 4" xfId="11390"/>
    <cellStyle name="Normal 17 4 2" xfId="11391"/>
    <cellStyle name="Normal 17 4 2 2" xfId="11392"/>
    <cellStyle name="Normal 17 4 2 2 2" xfId="11393"/>
    <cellStyle name="Normal 17 4 2 2 2 2" xfId="11394"/>
    <cellStyle name="Normal 17 4 2 2 3" xfId="11395"/>
    <cellStyle name="Normal 17 4 2 3" xfId="11396"/>
    <cellStyle name="Normal 17 4 2 3 2" xfId="11397"/>
    <cellStyle name="Normal 17 4 2 3 2 2" xfId="11398"/>
    <cellStyle name="Normal 17 4 2 3 3" xfId="11399"/>
    <cellStyle name="Normal 17 4 2 4" xfId="11400"/>
    <cellStyle name="Normal 17 4 2 4 2" xfId="11401"/>
    <cellStyle name="Normal 17 4 2 4 2 2" xfId="11402"/>
    <cellStyle name="Normal 17 4 2 5" xfId="11403"/>
    <cellStyle name="Normal 17 4 2 5 2" xfId="11404"/>
    <cellStyle name="Normal 17 4 2 5 2 2" xfId="11405"/>
    <cellStyle name="Normal 17 4 2 6" xfId="11406"/>
    <cellStyle name="Normal 17 4 3" xfId="11407"/>
    <cellStyle name="Normal 17 4 3 2" xfId="11408"/>
    <cellStyle name="Normal 17 4 3 2 2" xfId="11409"/>
    <cellStyle name="Normal 17 4 3 2 2 2" xfId="11410"/>
    <cellStyle name="Normal 17 4 3 2 3" xfId="11411"/>
    <cellStyle name="Normal 17 4 3 3" xfId="11412"/>
    <cellStyle name="Normal 17 4 3 3 2" xfId="11413"/>
    <cellStyle name="Normal 17 4 3 3 2 2" xfId="11414"/>
    <cellStyle name="Normal 17 4 3 4" xfId="11415"/>
    <cellStyle name="Normal 17 4 3 4 2" xfId="11416"/>
    <cellStyle name="Normal 17 4 3 4 2 2" xfId="11417"/>
    <cellStyle name="Normal 17 4 3 5" xfId="11418"/>
    <cellStyle name="Normal 17 4 4" xfId="11419"/>
    <cellStyle name="Normal 17 4 4 2" xfId="11420"/>
    <cellStyle name="Normal 17 4 5" xfId="11421"/>
    <cellStyle name="Normal 17 4 5 2" xfId="11422"/>
    <cellStyle name="Normal 17 4 6" xfId="11423"/>
    <cellStyle name="Normal 17 5" xfId="11424"/>
    <cellStyle name="Normal 17 5 2" xfId="11425"/>
    <cellStyle name="Normal 17 5 2 2" xfId="11426"/>
    <cellStyle name="Normal 17 5 2 2 2" xfId="11427"/>
    <cellStyle name="Normal 17 5 2 3" xfId="11428"/>
    <cellStyle name="Normal 17 5 2 3 2" xfId="11429"/>
    <cellStyle name="Normal 17 5 2 4" xfId="11430"/>
    <cellStyle name="Normal 17 5 2 5" xfId="11431"/>
    <cellStyle name="Normal 17 5 3" xfId="11432"/>
    <cellStyle name="Normal 17 5 3 2" xfId="11433"/>
    <cellStyle name="Normal 17 5 3 2 2" xfId="11434"/>
    <cellStyle name="Normal 17 5 3 3" xfId="11435"/>
    <cellStyle name="Normal 17 5 4" xfId="11436"/>
    <cellStyle name="Normal 17 5 4 2" xfId="11437"/>
    <cellStyle name="Normal 17 5 5" xfId="11438"/>
    <cellStyle name="Normal 17 5 5 2" xfId="11439"/>
    <cellStyle name="Normal 17 5 6" xfId="11440"/>
    <cellStyle name="Normal 17 6" xfId="11441"/>
    <cellStyle name="Normal 17 6 2" xfId="11442"/>
    <cellStyle name="Normal 17 6 2 2" xfId="11443"/>
    <cellStyle name="Normal 17 6 2 3" xfId="11444"/>
    <cellStyle name="Normal 17 6 2 3 2" xfId="11445"/>
    <cellStyle name="Normal 17 6 2 4" xfId="11446"/>
    <cellStyle name="Normal 17 6 3" xfId="11447"/>
    <cellStyle name="Normal 17 6 3 2" xfId="11448"/>
    <cellStyle name="Normal 17 6 4" xfId="11449"/>
    <cellStyle name="Normal 17 6 4 2" xfId="11450"/>
    <cellStyle name="Normal 17 6 4 3" xfId="11451"/>
    <cellStyle name="Normal 17 6 4 3 2" xfId="11452"/>
    <cellStyle name="Normal 17 6 5" xfId="11453"/>
    <cellStyle name="Normal 17 6 5 2" xfId="11454"/>
    <cellStyle name="Normal 17 6 6" xfId="11455"/>
    <cellStyle name="Normal 17 6 6 2" xfId="11456"/>
    <cellStyle name="Normal 17 6 7" xfId="11457"/>
    <cellStyle name="Normal 17 7" xfId="11458"/>
    <cellStyle name="Normal 17 7 2" xfId="11459"/>
    <cellStyle name="Normal 17 7 2 2" xfId="11460"/>
    <cellStyle name="Normal 17 7 2 2 2" xfId="11461"/>
    <cellStyle name="Normal 17 7 2 3" xfId="11462"/>
    <cellStyle name="Normal 17 7 3" xfId="11463"/>
    <cellStyle name="Normal 17 7 3 2" xfId="11464"/>
    <cellStyle name="Normal 17 7 4" xfId="11465"/>
    <cellStyle name="Normal 17 7 4 2" xfId="11466"/>
    <cellStyle name="Normal 17 7 5" xfId="11467"/>
    <cellStyle name="Normal 17 8" xfId="11468"/>
    <cellStyle name="Normal 17 8 2" xfId="11469"/>
    <cellStyle name="Normal 17 8 2 2" xfId="11470"/>
    <cellStyle name="Normal 17 8 3" xfId="11471"/>
    <cellStyle name="Normal 17 8 3 2" xfId="11472"/>
    <cellStyle name="Normal 17 8 3 2 2" xfId="11473"/>
    <cellStyle name="Normal 17 8 3 3" xfId="11474"/>
    <cellStyle name="Normal 17 8 3 4" xfId="11475"/>
    <cellStyle name="Normal 17 9" xfId="11476"/>
    <cellStyle name="Normal 17 9 2" xfId="11477"/>
    <cellStyle name="Normal 17 9 3" xfId="11478"/>
    <cellStyle name="Normal 17 9 4" xfId="11479"/>
    <cellStyle name="Normal 170" xfId="11480"/>
    <cellStyle name="Normal 171" xfId="11481"/>
    <cellStyle name="Normal 172" xfId="11482"/>
    <cellStyle name="Normal 173" xfId="11483"/>
    <cellStyle name="Normal 174" xfId="11484"/>
    <cellStyle name="Normal 175" xfId="11485"/>
    <cellStyle name="Normal 176" xfId="11486"/>
    <cellStyle name="Normal 177" xfId="11487"/>
    <cellStyle name="Normal 178" xfId="11488"/>
    <cellStyle name="Normal 179" xfId="11489"/>
    <cellStyle name="Normal 18" xfId="11490"/>
    <cellStyle name="Normal 18 2" xfId="11491"/>
    <cellStyle name="Normal 18 2 2" xfId="11492"/>
    <cellStyle name="Normal 18 2 2 2" xfId="11493"/>
    <cellStyle name="Normal 18 2 2 2 2" xfId="11494"/>
    <cellStyle name="Normal 18 2 2 3" xfId="11495"/>
    <cellStyle name="Normal 18 2 2 3 2" xfId="11496"/>
    <cellStyle name="Normal 18 2 2 4" xfId="11497"/>
    <cellStyle name="Normal 18 2 3" xfId="11498"/>
    <cellStyle name="Normal 18 2 3 2" xfId="11499"/>
    <cellStyle name="Normal 18 2 3 2 2" xfId="11500"/>
    <cellStyle name="Normal 18 2 3 3" xfId="11501"/>
    <cellStyle name="Normal 18 2 3 3 2" xfId="11502"/>
    <cellStyle name="Normal 18 2 3 4" xfId="11503"/>
    <cellStyle name="Normal 18 2 3 5" xfId="11504"/>
    <cellStyle name="Normal 18 2 4" xfId="11505"/>
    <cellStyle name="Normal 18 2 4 2" xfId="11506"/>
    <cellStyle name="Normal 18 2 4 2 2" xfId="11507"/>
    <cellStyle name="Normal 18 2 4 3" xfId="11508"/>
    <cellStyle name="Normal 18 2 4 3 2" xfId="11509"/>
    <cellStyle name="Normal 18 2 4 4" xfId="11510"/>
    <cellStyle name="Normal 18 2 5" xfId="11511"/>
    <cellStyle name="Normal 18 2 5 2" xfId="11512"/>
    <cellStyle name="Normal 18 2 6" xfId="11513"/>
    <cellStyle name="Normal 18 3" xfId="11514"/>
    <cellStyle name="Normal 18 3 2" xfId="11515"/>
    <cellStyle name="Normal 18 3 2 2" xfId="11516"/>
    <cellStyle name="Normal 18 3 2 2 2" xfId="11517"/>
    <cellStyle name="Normal 18 3 2 3" xfId="11518"/>
    <cellStyle name="Normal 18 3 2 3 2" xfId="11519"/>
    <cellStyle name="Normal 18 3 2 4" xfId="11520"/>
    <cellStyle name="Normal 18 3 3" xfId="11521"/>
    <cellStyle name="Normal 18 3 3 2" xfId="11522"/>
    <cellStyle name="Normal 18 3 3 2 2" xfId="11523"/>
    <cellStyle name="Normal 18 3 4" xfId="11524"/>
    <cellStyle name="Normal 18 3 4 2" xfId="11525"/>
    <cellStyle name="Normal 18 3 5" xfId="11526"/>
    <cellStyle name="Normal 18 4" xfId="11527"/>
    <cellStyle name="Normal 18 4 2" xfId="11528"/>
    <cellStyle name="Normal 18 4 2 2" xfId="11529"/>
    <cellStyle name="Normal 18 4 3" xfId="11530"/>
    <cellStyle name="Normal 18 4 3 2" xfId="11531"/>
    <cellStyle name="Normal 18 4 4" xfId="11532"/>
    <cellStyle name="Normal 18 4 5" xfId="11533"/>
    <cellStyle name="Normal 18 4 5 2" xfId="11534"/>
    <cellStyle name="Normal 18 4 5 2 2" xfId="11535"/>
    <cellStyle name="Normal 18 4 6" xfId="11536"/>
    <cellStyle name="Normal 18 5" xfId="11537"/>
    <cellStyle name="Normal 18 5 2" xfId="11538"/>
    <cellStyle name="Normal 18 6" xfId="11539"/>
    <cellStyle name="Normal 18 6 2" xfId="11540"/>
    <cellStyle name="Normal 18 7" xfId="11541"/>
    <cellStyle name="Normal 18 7 2" xfId="11542"/>
    <cellStyle name="Normal 18 8" xfId="11543"/>
    <cellStyle name="Normal 18 8 2" xfId="11544"/>
    <cellStyle name="Normal 18 9" xfId="11545"/>
    <cellStyle name="Normal 180" xfId="11546"/>
    <cellStyle name="Normal 181" xfId="11547"/>
    <cellStyle name="Normal 182" xfId="11548"/>
    <cellStyle name="Normal 183" xfId="11549"/>
    <cellStyle name="Normal 184" xfId="11550"/>
    <cellStyle name="Normal 185" xfId="11551"/>
    <cellStyle name="Normal 186" xfId="11552"/>
    <cellStyle name="Normal 187" xfId="11553"/>
    <cellStyle name="Normal 188" xfId="11554"/>
    <cellStyle name="Normal 189" xfId="11555"/>
    <cellStyle name="Normal 19" xfId="11556"/>
    <cellStyle name="Normal 19 10" xfId="11557"/>
    <cellStyle name="Normal 19 11" xfId="11558"/>
    <cellStyle name="Normal 19 2" xfId="11559"/>
    <cellStyle name="Normal 19 2 2" xfId="11560"/>
    <cellStyle name="Normal 19 2 2 2" xfId="11561"/>
    <cellStyle name="Normal 19 2 2 2 2" xfId="11562"/>
    <cellStyle name="Normal 19 2 2 3" xfId="11563"/>
    <cellStyle name="Normal 19 2 2 3 2" xfId="11564"/>
    <cellStyle name="Normal 19 2 2 4" xfId="11565"/>
    <cellStyle name="Normal 19 2 3" xfId="11566"/>
    <cellStyle name="Normal 19 2 3 2" xfId="11567"/>
    <cellStyle name="Normal 19 2 3 2 2" xfId="11568"/>
    <cellStyle name="Normal 19 2 3 3" xfId="11569"/>
    <cellStyle name="Normal 19 2 3 3 2" xfId="11570"/>
    <cellStyle name="Normal 19 2 3 4" xfId="11571"/>
    <cellStyle name="Normal 19 2 3 5" xfId="11572"/>
    <cellStyle name="Normal 19 2 4" xfId="11573"/>
    <cellStyle name="Normal 19 2 4 2" xfId="11574"/>
    <cellStyle name="Normal 19 2 4 2 2" xfId="11575"/>
    <cellStyle name="Normal 19 2 4 3" xfId="11576"/>
    <cellStyle name="Normal 19 2 4 3 2" xfId="11577"/>
    <cellStyle name="Normal 19 2 4 4" xfId="11578"/>
    <cellStyle name="Normal 19 2 5" xfId="11579"/>
    <cellStyle name="Normal 19 2 5 2" xfId="11580"/>
    <cellStyle name="Normal 19 2 6" xfId="11581"/>
    <cellStyle name="Normal 19 3" xfId="11582"/>
    <cellStyle name="Normal 19 3 2" xfId="11583"/>
    <cellStyle name="Normal 19 3 2 2" xfId="11584"/>
    <cellStyle name="Normal 19 3 2 2 2" xfId="11585"/>
    <cellStyle name="Normal 19 3 2 3" xfId="11586"/>
    <cellStyle name="Normal 19 3 2 3 2" xfId="11587"/>
    <cellStyle name="Normal 19 3 2 4" xfId="11588"/>
    <cellStyle name="Normal 19 3 3" xfId="11589"/>
    <cellStyle name="Normal 19 3 3 2" xfId="11590"/>
    <cellStyle name="Normal 19 3 3 2 2" xfId="11591"/>
    <cellStyle name="Normal 19 3 4" xfId="11592"/>
    <cellStyle name="Normal 19 3 4 2" xfId="11593"/>
    <cellStyle name="Normal 19 3 5" xfId="11594"/>
    <cellStyle name="Normal 19 4" xfId="11595"/>
    <cellStyle name="Normal 19 4 2" xfId="11596"/>
    <cellStyle name="Normal 19 4 2 2" xfId="11597"/>
    <cellStyle name="Normal 19 4 3" xfId="11598"/>
    <cellStyle name="Normal 19 4 3 2" xfId="11599"/>
    <cellStyle name="Normal 19 4 4" xfId="11600"/>
    <cellStyle name="Normal 19 4 5" xfId="11601"/>
    <cellStyle name="Normal 19 4 5 2" xfId="11602"/>
    <cellStyle name="Normal 19 4 5 2 2" xfId="11603"/>
    <cellStyle name="Normal 19 4 6" xfId="11604"/>
    <cellStyle name="Normal 19 5" xfId="11605"/>
    <cellStyle name="Normal 19 5 2" xfId="11606"/>
    <cellStyle name="Normal 19 6" xfId="11607"/>
    <cellStyle name="Normal 19 6 2" xfId="11608"/>
    <cellStyle name="Normal 19 7" xfId="11609"/>
    <cellStyle name="Normal 19 7 2" xfId="11610"/>
    <cellStyle name="Normal 19 8" xfId="11611"/>
    <cellStyle name="Normal 19 8 2" xfId="11612"/>
    <cellStyle name="Normal 19 9" xfId="11613"/>
    <cellStyle name="Normal 190" xfId="11614"/>
    <cellStyle name="Normal 191" xfId="11615"/>
    <cellStyle name="Normal 192" xfId="11616"/>
    <cellStyle name="Normal 193" xfId="11617"/>
    <cellStyle name="Normal 194" xfId="11618"/>
    <cellStyle name="Normal 195" xfId="11619"/>
    <cellStyle name="Normal 196" xfId="11620"/>
    <cellStyle name="Normal 197" xfId="11621"/>
    <cellStyle name="Normal 198" xfId="11622"/>
    <cellStyle name="Normal 199" xfId="11623"/>
    <cellStyle name="Normal 2" xfId="2"/>
    <cellStyle name="Normal 2 10" xfId="12"/>
    <cellStyle name="Normal 2 10 2" xfId="11624"/>
    <cellStyle name="Normal 2 10 3" xfId="11625"/>
    <cellStyle name="Normal 2 11" xfId="11626"/>
    <cellStyle name="Normal 2 11 2" xfId="11627"/>
    <cellStyle name="Normal 2 11 3" xfId="11628"/>
    <cellStyle name="Normal 2 12" xfId="11629"/>
    <cellStyle name="Normal 2 12 2" xfId="11630"/>
    <cellStyle name="Normal 2 12 3" xfId="11631"/>
    <cellStyle name="Normal 2 13" xfId="11632"/>
    <cellStyle name="Normal 2 13 2" xfId="11633"/>
    <cellStyle name="Normal 2 13 2 2" xfId="11634"/>
    <cellStyle name="Normal 2 14" xfId="11635"/>
    <cellStyle name="Normal 2 15" xfId="11636"/>
    <cellStyle name="Normal 2 16" xfId="11637"/>
    <cellStyle name="Normal 2 2" xfId="11638"/>
    <cellStyle name="Normal 2 2 10" xfId="11639"/>
    <cellStyle name="Normal 2 2 10 2" xfId="11640"/>
    <cellStyle name="Normal 2 2 11" xfId="11641"/>
    <cellStyle name="Normal 2 2 12" xfId="11642"/>
    <cellStyle name="Normal 2 2 2" xfId="11643"/>
    <cellStyle name="Normal 2 2 2 2" xfId="11644"/>
    <cellStyle name="Normal 2 2 2 2 10" xfId="11645"/>
    <cellStyle name="Normal 2 2 2 2 2" xfId="11646"/>
    <cellStyle name="Normal 2 2 2 2 2 2" xfId="11647"/>
    <cellStyle name="Normal 2 2 2 2 2 2 2" xfId="11648"/>
    <cellStyle name="Normal 2 2 2 2 2 2 2 2" xfId="11649"/>
    <cellStyle name="Normal 2 2 2 2 2 2 3" xfId="11650"/>
    <cellStyle name="Normal 2 2 2 2 2 2 3 2" xfId="11651"/>
    <cellStyle name="Normal 2 2 2 2 2 2 4" xfId="11652"/>
    <cellStyle name="Normal 2 2 2 2 2 2 5" xfId="11653"/>
    <cellStyle name="Normal 2 2 2 2 2 3" xfId="11654"/>
    <cellStyle name="Normal 2 2 2 2 2 3 2" xfId="11655"/>
    <cellStyle name="Normal 2 2 2 2 2 3 2 2" xfId="11656"/>
    <cellStyle name="Normal 2 2 2 2 2 3 3" xfId="11657"/>
    <cellStyle name="Normal 2 2 2 2 2 4" xfId="11658"/>
    <cellStyle name="Normal 2 2 2 2 2 4 2" xfId="11659"/>
    <cellStyle name="Normal 2 2 2 2 2 5" xfId="11660"/>
    <cellStyle name="Normal 2 2 2 2 2 5 2" xfId="11661"/>
    <cellStyle name="Normal 2 2 2 2 2 6" xfId="11662"/>
    <cellStyle name="Normal 2 2 2 2 3" xfId="11663"/>
    <cellStyle name="Normal 2 2 2 2 3 2" xfId="11664"/>
    <cellStyle name="Normal 2 2 2 2 3 2 2" xfId="11665"/>
    <cellStyle name="Normal 2 2 2 2 3 2 2 2" xfId="11666"/>
    <cellStyle name="Normal 2 2 2 2 3 2 3" xfId="11667"/>
    <cellStyle name="Normal 2 2 2 2 3 2 3 2" xfId="11668"/>
    <cellStyle name="Normal 2 2 2 2 3 2 4" xfId="11669"/>
    <cellStyle name="Normal 2 2 2 2 3 2 5" xfId="11670"/>
    <cellStyle name="Normal 2 2 2 2 3 3" xfId="11671"/>
    <cellStyle name="Normal 2 2 2 2 3 3 2" xfId="11672"/>
    <cellStyle name="Normal 2 2 2 2 3 3 2 2" xfId="11673"/>
    <cellStyle name="Normal 2 2 2 2 3 3 3" xfId="11674"/>
    <cellStyle name="Normal 2 2 2 2 3 4" xfId="11675"/>
    <cellStyle name="Normal 2 2 2 2 3 4 2" xfId="11676"/>
    <cellStyle name="Normal 2 2 2 2 3 5" xfId="11677"/>
    <cellStyle name="Normal 2 2 2 2 3 5 2" xfId="11678"/>
    <cellStyle name="Normal 2 2 2 2 3 6" xfId="11679"/>
    <cellStyle name="Normal 2 2 2 2 4" xfId="11680"/>
    <cellStyle name="Normal 2 2 2 2 4 2" xfId="11681"/>
    <cellStyle name="Normal 2 2 2 2 4 2 2" xfId="11682"/>
    <cellStyle name="Normal 2 2 2 2 4 2 2 2" xfId="11683"/>
    <cellStyle name="Normal 2 2 2 2 4 2 3" xfId="11684"/>
    <cellStyle name="Normal 2 2 2 2 4 3" xfId="11685"/>
    <cellStyle name="Normal 2 2 2 2 4 3 2" xfId="11686"/>
    <cellStyle name="Normal 2 2 2 2 4 4" xfId="11687"/>
    <cellStyle name="Normal 2 2 2 2 4 4 2" xfId="11688"/>
    <cellStyle name="Normal 2 2 2 2 4 5" xfId="11689"/>
    <cellStyle name="Normal 2 2 2 2 5" xfId="11690"/>
    <cellStyle name="Normal 2 2 2 2 5 2" xfId="11691"/>
    <cellStyle name="Normal 2 2 2 2 5 2 2" xfId="11692"/>
    <cellStyle name="Normal 2 2 2 2 5 3" xfId="11693"/>
    <cellStyle name="Normal 2 2 2 2 5 3 2" xfId="11694"/>
    <cellStyle name="Normal 2 2 2 2 5 4" xfId="11695"/>
    <cellStyle name="Normal 2 2 2 2 6" xfId="11696"/>
    <cellStyle name="Normal 2 2 2 2 6 2" xfId="11697"/>
    <cellStyle name="Normal 2 2 2 2 6 2 2" xfId="11698"/>
    <cellStyle name="Normal 2 2 2 2 6 3" xfId="11699"/>
    <cellStyle name="Normal 2 2 2 2 7" xfId="11700"/>
    <cellStyle name="Normal 2 2 2 2 7 2" xfId="11701"/>
    <cellStyle name="Normal 2 2 2 2 7 3" xfId="11702"/>
    <cellStyle name="Normal 2 2 2 2 8" xfId="11703"/>
    <cellStyle name="Normal 2 2 2 2 8 2" xfId="11704"/>
    <cellStyle name="Normal 2 2 2 2 9" xfId="11705"/>
    <cellStyle name="Normal 2 2 2 3" xfId="11706"/>
    <cellStyle name="Normal 2 2 2 3 2" xfId="11707"/>
    <cellStyle name="Normal 2 2 2 4" xfId="11708"/>
    <cellStyle name="Normal 2 2 2 4 2" xfId="11709"/>
    <cellStyle name="Normal 2 2 2 4 2 2" xfId="11710"/>
    <cellStyle name="Normal 2 2 2 4 3" xfId="11711"/>
    <cellStyle name="Normal 2 2 2 4 3 2" xfId="11712"/>
    <cellStyle name="Normal 2 2 2 4 4" xfId="11713"/>
    <cellStyle name="Normal 2 2 2 4 5" xfId="11714"/>
    <cellStyle name="Normal 2 2 2 5" xfId="11715"/>
    <cellStyle name="Normal 2 2 2 5 2" xfId="11716"/>
    <cellStyle name="Normal 2 2 2 5 2 2" xfId="11717"/>
    <cellStyle name="Normal 2 2 2 5 3" xfId="11718"/>
    <cellStyle name="Normal 2 2 2 5 3 2" xfId="11719"/>
    <cellStyle name="Normal 2 2 2 5 4" xfId="11720"/>
    <cellStyle name="Normal 2 2 2 6" xfId="11721"/>
    <cellStyle name="Normal 2 2 2 6 2" xfId="11722"/>
    <cellStyle name="Normal 2 2 2 6 2 2" xfId="11723"/>
    <cellStyle name="Normal 2 2 2 6 3" xfId="11724"/>
    <cellStyle name="Normal 2 2 2 7" xfId="11725"/>
    <cellStyle name="Normal 2 2 2 7 2" xfId="11726"/>
    <cellStyle name="Normal 2 2 2 8" xfId="11727"/>
    <cellStyle name="Normal 2 2 2 8 2" xfId="11728"/>
    <cellStyle name="Normal 2 2 3" xfId="11729"/>
    <cellStyle name="Normal 2 2 3 2" xfId="11730"/>
    <cellStyle name="Normal 2 2 3 2 2" xfId="11731"/>
    <cellStyle name="Normal 2 2 3 2 2 2" xfId="11732"/>
    <cellStyle name="Normal 2 2 3 2 3" xfId="11733"/>
    <cellStyle name="Normal 2 2 3 2 3 2" xfId="11734"/>
    <cellStyle name="Normal 2 2 3 2 4" xfId="11735"/>
    <cellStyle name="Normal 2 2 3 2 4 2" xfId="11736"/>
    <cellStyle name="Normal 2 2 3 2 5" xfId="11737"/>
    <cellStyle name="Normal 2 2 3 3" xfId="11738"/>
    <cellStyle name="Normal 2 2 3 3 2" xfId="11739"/>
    <cellStyle name="Normal 2 2 3 3 2 2" xfId="11740"/>
    <cellStyle name="Normal 2 2 3 3 3" xfId="11741"/>
    <cellStyle name="Normal 2 2 3 4" xfId="11742"/>
    <cellStyle name="Normal 2 2 3 4 2" xfId="11743"/>
    <cellStyle name="Normal 2 2 3 5" xfId="11744"/>
    <cellStyle name="Normal 2 2 3 5 2" xfId="11745"/>
    <cellStyle name="Normal 2 2 3 6" xfId="11746"/>
    <cellStyle name="Normal 2 2 4" xfId="11747"/>
    <cellStyle name="Normal 2 2 4 2" xfId="11748"/>
    <cellStyle name="Normal 2 2 4 2 2" xfId="11749"/>
    <cellStyle name="Normal 2 2 4 2 2 2" xfId="11750"/>
    <cellStyle name="Normal 2 2 4 2 3" xfId="11751"/>
    <cellStyle name="Normal 2 2 4 2 3 2" xfId="11752"/>
    <cellStyle name="Normal 2 2 4 2 4" xfId="11753"/>
    <cellStyle name="Normal 2 2 4 2 5" xfId="11754"/>
    <cellStyle name="Normal 2 2 4 3" xfId="11755"/>
    <cellStyle name="Normal 2 2 4 3 2" xfId="11756"/>
    <cellStyle name="Normal 2 2 4 3 2 2" xfId="11757"/>
    <cellStyle name="Normal 2 2 4 3 3" xfId="11758"/>
    <cellStyle name="Normal 2 2 4 4" xfId="11759"/>
    <cellStyle name="Normal 2 2 4 4 2" xfId="11760"/>
    <cellStyle name="Normal 2 2 4 5" xfId="11761"/>
    <cellStyle name="Normal 2 2 4 5 2" xfId="11762"/>
    <cellStyle name="Normal 2 2 4 6" xfId="11763"/>
    <cellStyle name="Normal 2 2 5" xfId="11764"/>
    <cellStyle name="Normal 2 2 5 2" xfId="11765"/>
    <cellStyle name="Normal 2 2 5 2 2" xfId="11766"/>
    <cellStyle name="Normal 2 2 5 3" xfId="11767"/>
    <cellStyle name="Normal 2 2 5 3 2" xfId="11768"/>
    <cellStyle name="Normal 2 2 5 4" xfId="11769"/>
    <cellStyle name="Normal 2 2 6" xfId="11770"/>
    <cellStyle name="Normal 2 2 6 2" xfId="11771"/>
    <cellStyle name="Normal 2 2 6 2 2" xfId="11772"/>
    <cellStyle name="Normal 2 2 6 3" xfId="11773"/>
    <cellStyle name="Normal 2 2 6 3 2" xfId="11774"/>
    <cellStyle name="Normal 2 2 6 4" xfId="11775"/>
    <cellStyle name="Normal 2 2 7" xfId="11776"/>
    <cellStyle name="Normal 2 2 7 2" xfId="11777"/>
    <cellStyle name="Normal 2 2 7 2 2" xfId="11778"/>
    <cellStyle name="Normal 2 2 7 3" xfId="11779"/>
    <cellStyle name="Normal 2 2 8" xfId="11780"/>
    <cellStyle name="Normal 2 2 8 2" xfId="11781"/>
    <cellStyle name="Normal 2 2 8 3" xfId="11782"/>
    <cellStyle name="Normal 2 2 9" xfId="11783"/>
    <cellStyle name="Normal 2 2 9 2" xfId="11784"/>
    <cellStyle name="Normal 2 2 9 3" xfId="11785"/>
    <cellStyle name="Normal 2 3" xfId="11786"/>
    <cellStyle name="Normal 2 3 10" xfId="11787"/>
    <cellStyle name="Normal 2 3 10 2" xfId="11788"/>
    <cellStyle name="Normal 2 3 11" xfId="11789"/>
    <cellStyle name="Normal 2 3 12" xfId="11790"/>
    <cellStyle name="Normal 2 3 2" xfId="11791"/>
    <cellStyle name="Normal 2 3 2 10" xfId="11792"/>
    <cellStyle name="Normal 2 3 2 11" xfId="11793"/>
    <cellStyle name="Normal 2 3 2 2" xfId="11794"/>
    <cellStyle name="Normal 2 3 2 2 2" xfId="11795"/>
    <cellStyle name="Normal 2 3 2 2 2 2" xfId="11796"/>
    <cellStyle name="Normal 2 3 2 2 2 2 2" xfId="11797"/>
    <cellStyle name="Normal 2 3 2 2 2 3" xfId="11798"/>
    <cellStyle name="Normal 2 3 2 2 2 3 2" xfId="11799"/>
    <cellStyle name="Normal 2 3 2 2 2 4" xfId="11800"/>
    <cellStyle name="Normal 2 3 2 2 2 5" xfId="11801"/>
    <cellStyle name="Normal 2 3 2 2 3" xfId="11802"/>
    <cellStyle name="Normal 2 3 2 2 3 2" xfId="11803"/>
    <cellStyle name="Normal 2 3 2 2 3 2 2" xfId="11804"/>
    <cellStyle name="Normal 2 3 2 2 3 3" xfId="11805"/>
    <cellStyle name="Normal 2 3 2 2 4" xfId="11806"/>
    <cellStyle name="Normal 2 3 2 2 4 2" xfId="11807"/>
    <cellStyle name="Normal 2 3 2 2 5" xfId="11808"/>
    <cellStyle name="Normal 2 3 2 2 5 2" xfId="11809"/>
    <cellStyle name="Normal 2 3 2 2 6" xfId="11810"/>
    <cellStyle name="Normal 2 3 2 3" xfId="11811"/>
    <cellStyle name="Normal 2 3 2 3 2" xfId="11812"/>
    <cellStyle name="Normal 2 3 2 3 2 2" xfId="11813"/>
    <cellStyle name="Normal 2 3 2 3 2 2 2" xfId="11814"/>
    <cellStyle name="Normal 2 3 2 3 2 3" xfId="11815"/>
    <cellStyle name="Normal 2 3 2 3 2 3 2" xfId="11816"/>
    <cellStyle name="Normal 2 3 2 3 2 4" xfId="11817"/>
    <cellStyle name="Normal 2 3 2 3 2 5" xfId="11818"/>
    <cellStyle name="Normal 2 3 2 3 3" xfId="11819"/>
    <cellStyle name="Normal 2 3 2 3 3 2" xfId="11820"/>
    <cellStyle name="Normal 2 3 2 3 3 2 2" xfId="11821"/>
    <cellStyle name="Normal 2 3 2 3 3 3" xfId="11822"/>
    <cellStyle name="Normal 2 3 2 3 4" xfId="11823"/>
    <cellStyle name="Normal 2 3 2 3 4 2" xfId="11824"/>
    <cellStyle name="Normal 2 3 2 3 5" xfId="11825"/>
    <cellStyle name="Normal 2 3 2 3 5 2" xfId="11826"/>
    <cellStyle name="Normal 2 3 2 3 6" xfId="11827"/>
    <cellStyle name="Normal 2 3 2 4" xfId="11828"/>
    <cellStyle name="Normal 2 3 2 4 2" xfId="11829"/>
    <cellStyle name="Normal 2 3 2 4 2 2" xfId="11830"/>
    <cellStyle name="Normal 2 3 2 4 2 2 2" xfId="11831"/>
    <cellStyle name="Normal 2 3 2 4 2 3" xfId="11832"/>
    <cellStyle name="Normal 2 3 2 4 3" xfId="11833"/>
    <cellStyle name="Normal 2 3 2 4 3 2" xfId="11834"/>
    <cellStyle name="Normal 2 3 2 4 4" xfId="11835"/>
    <cellStyle name="Normal 2 3 2 4 4 2" xfId="11836"/>
    <cellStyle name="Normal 2 3 2 4 5" xfId="11837"/>
    <cellStyle name="Normal 2 3 2 5" xfId="11838"/>
    <cellStyle name="Normal 2 3 2 5 2" xfId="11839"/>
    <cellStyle name="Normal 2 3 2 5 2 2" xfId="11840"/>
    <cellStyle name="Normal 2 3 2 5 3" xfId="11841"/>
    <cellStyle name="Normal 2 3 2 5 3 2" xfId="11842"/>
    <cellStyle name="Normal 2 3 2 5 4" xfId="11843"/>
    <cellStyle name="Normal 2 3 2 5 4 2" xfId="11844"/>
    <cellStyle name="Normal 2 3 2 5 5" xfId="11845"/>
    <cellStyle name="Normal 2 3 2 6" xfId="11846"/>
    <cellStyle name="Normal 2 3 2 6 2" xfId="11847"/>
    <cellStyle name="Normal 2 3 2 6 2 2" xfId="11848"/>
    <cellStyle name="Normal 2 3 2 6 3" xfId="11849"/>
    <cellStyle name="Normal 2 3 2 7" xfId="11850"/>
    <cellStyle name="Normal 2 3 2 7 2" xfId="11851"/>
    <cellStyle name="Normal 2 3 2 7 2 2" xfId="11852"/>
    <cellStyle name="Normal 2 3 2 7 3" xfId="11853"/>
    <cellStyle name="Normal 2 3 2 8" xfId="11854"/>
    <cellStyle name="Normal 2 3 2 8 2" xfId="11855"/>
    <cellStyle name="Normal 2 3 2 9" xfId="11856"/>
    <cellStyle name="Normal 2 3 3" xfId="11857"/>
    <cellStyle name="Normal 2 3 3 2" xfId="11858"/>
    <cellStyle name="Normal 2 3 3 2 2" xfId="11859"/>
    <cellStyle name="Normal 2 3 3 2 2 2" xfId="11860"/>
    <cellStyle name="Normal 2 3 3 2 3" xfId="11861"/>
    <cellStyle name="Normal 2 3 3 2 3 2" xfId="11862"/>
    <cellStyle name="Normal 2 3 3 2 4" xfId="11863"/>
    <cellStyle name="Normal 2 3 3 2 5" xfId="11864"/>
    <cellStyle name="Normal 2 3 3 3" xfId="11865"/>
    <cellStyle name="Normal 2 3 3 3 2" xfId="11866"/>
    <cellStyle name="Normal 2 3 3 3 2 2" xfId="11867"/>
    <cellStyle name="Normal 2 3 3 3 3" xfId="11868"/>
    <cellStyle name="Normal 2 3 3 4" xfId="11869"/>
    <cellStyle name="Normal 2 3 3 4 2" xfId="11870"/>
    <cellStyle name="Normal 2 3 3 5" xfId="11871"/>
    <cellStyle name="Normal 2 3 3 5 2" xfId="11872"/>
    <cellStyle name="Normal 2 3 3 6" xfId="11873"/>
    <cellStyle name="Normal 2 3 3 7" xfId="11874"/>
    <cellStyle name="Normal 2 3 3 8" xfId="11875"/>
    <cellStyle name="Normal 2 3 4" xfId="11876"/>
    <cellStyle name="Normal 2 3 4 2" xfId="11877"/>
    <cellStyle name="Normal 2 3 4 2 2" xfId="11878"/>
    <cellStyle name="Normal 2 3 4 2 2 2" xfId="11879"/>
    <cellStyle name="Normal 2 3 4 2 3" xfId="11880"/>
    <cellStyle name="Normal 2 3 4 2 3 2" xfId="11881"/>
    <cellStyle name="Normal 2 3 4 2 4" xfId="11882"/>
    <cellStyle name="Normal 2 3 4 2 5" xfId="11883"/>
    <cellStyle name="Normal 2 3 4 3" xfId="11884"/>
    <cellStyle name="Normal 2 3 4 3 2" xfId="11885"/>
    <cellStyle name="Normal 2 3 4 3 2 2" xfId="11886"/>
    <cellStyle name="Normal 2 3 4 3 3" xfId="11887"/>
    <cellStyle name="Normal 2 3 4 4" xfId="11888"/>
    <cellStyle name="Normal 2 3 4 4 2" xfId="11889"/>
    <cellStyle name="Normal 2 3 4 5" xfId="11890"/>
    <cellStyle name="Normal 2 3 4 5 2" xfId="11891"/>
    <cellStyle name="Normal 2 3 4 6" xfId="11892"/>
    <cellStyle name="Normal 2 3 4 7" xfId="11893"/>
    <cellStyle name="Normal 2 3 5" xfId="11894"/>
    <cellStyle name="Normal 2 3 5 2" xfId="11895"/>
    <cellStyle name="Normal 2 3 5 2 2" xfId="11896"/>
    <cellStyle name="Normal 2 3 5 2 2 2" xfId="11897"/>
    <cellStyle name="Normal 2 3 5 2 3" xfId="11898"/>
    <cellStyle name="Normal 2 3 5 2 3 2" xfId="11899"/>
    <cellStyle name="Normal 2 3 5 2 4" xfId="11900"/>
    <cellStyle name="Normal 2 3 5 2 5" xfId="11901"/>
    <cellStyle name="Normal 2 3 5 2 6" xfId="11902"/>
    <cellStyle name="Normal 2 3 5 3" xfId="11903"/>
    <cellStyle name="Normal 2 3 5 4" xfId="11904"/>
    <cellStyle name="Normal 2 3 5 4 2" xfId="11905"/>
    <cellStyle name="Normal 2 3 5 5" xfId="11906"/>
    <cellStyle name="Normal 2 3 5 5 2" xfId="11907"/>
    <cellStyle name="Normal 2 3 5 6" xfId="11908"/>
    <cellStyle name="Normal 2 3 5 6 2" xfId="11909"/>
    <cellStyle name="Normal 2 3 5 7" xfId="11910"/>
    <cellStyle name="Normal 2 3 5 7 2" xfId="11911"/>
    <cellStyle name="Normal 2 3 5 8" xfId="11912"/>
    <cellStyle name="Normal 2 3 6" xfId="11913"/>
    <cellStyle name="Normal 2 3 6 2" xfId="11914"/>
    <cellStyle name="Normal 2 3 6 2 2" xfId="11915"/>
    <cellStyle name="Normal 2 3 6 2 2 2" xfId="11916"/>
    <cellStyle name="Normal 2 3 6 2 3" xfId="11917"/>
    <cellStyle name="Normal 2 3 6 3" xfId="11918"/>
    <cellStyle name="Normal 2 3 6 4" xfId="11919"/>
    <cellStyle name="Normal 2 3 6 4 2" xfId="11920"/>
    <cellStyle name="Normal 2 3 6 5" xfId="11921"/>
    <cellStyle name="Normal 2 3 7" xfId="11922"/>
    <cellStyle name="Normal 2 3 7 2" xfId="11923"/>
    <cellStyle name="Normal 2 3 7 2 2" xfId="11924"/>
    <cellStyle name="Normal 2 3 7 3" xfId="11925"/>
    <cellStyle name="Normal 2 3 7 3 2" xfId="11926"/>
    <cellStyle name="Normal 2 3 7 4" xfId="11927"/>
    <cellStyle name="Normal 2 3 7 4 2" xfId="11928"/>
    <cellStyle name="Normal 2 3 7 5" xfId="11929"/>
    <cellStyle name="Normal 2 3 8" xfId="11930"/>
    <cellStyle name="Normal 2 3 8 2" xfId="11931"/>
    <cellStyle name="Normal 2 3 8 2 2" xfId="11932"/>
    <cellStyle name="Normal 2 3 8 3" xfId="11933"/>
    <cellStyle name="Normal 2 3 8 3 2" xfId="11934"/>
    <cellStyle name="Normal 2 3 8 4" xfId="11935"/>
    <cellStyle name="Normal 2 3 9" xfId="11936"/>
    <cellStyle name="Normal 2 3 9 2" xfId="11937"/>
    <cellStyle name="Normal 2 3 9 2 2" xfId="11938"/>
    <cellStyle name="Normal 2 3 9 3" xfId="11939"/>
    <cellStyle name="Normal 2 4" xfId="11940"/>
    <cellStyle name="Normal 2 4 2" xfId="11941"/>
    <cellStyle name="Normal 2 4 3" xfId="11942"/>
    <cellStyle name="Normal 2 4 3 2" xfId="11943"/>
    <cellStyle name="Normal 2 4 3 2 2" xfId="11944"/>
    <cellStyle name="Normal 2 4 3 3" xfId="11945"/>
    <cellStyle name="Normal 2 4 3 3 2" xfId="11946"/>
    <cellStyle name="Normal 2 4 3 4" xfId="11947"/>
    <cellStyle name="Normal 2 4 3 5" xfId="11948"/>
    <cellStyle name="Normal 2 4 4" xfId="11949"/>
    <cellStyle name="Normal 2 4 4 2" xfId="11950"/>
    <cellStyle name="Normal 2 4 5" xfId="11951"/>
    <cellStyle name="Normal 2 4 5 2" xfId="11952"/>
    <cellStyle name="Normal 2 4 6" xfId="11953"/>
    <cellStyle name="Normal 2 4 6 2" xfId="11954"/>
    <cellStyle name="Normal 2 4 7" xfId="11955"/>
    <cellStyle name="Normal 2 4 8" xfId="11956"/>
    <cellStyle name="Normal 2 5" xfId="11957"/>
    <cellStyle name="Normal 2 5 2" xfId="11958"/>
    <cellStyle name="Normal 2 5 2 2" xfId="11959"/>
    <cellStyle name="Normal 2 5 2 2 2" xfId="11960"/>
    <cellStyle name="Normal 2 5 2 2 2 2" xfId="11961"/>
    <cellStyle name="Normal 2 5 2 2 3" xfId="11962"/>
    <cellStyle name="Normal 2 5 2 2 3 2" xfId="11963"/>
    <cellStyle name="Normal 2 5 2 2 4" xfId="11964"/>
    <cellStyle name="Normal 2 5 2 2 5" xfId="11965"/>
    <cellStyle name="Normal 2 5 2 3" xfId="11966"/>
    <cellStyle name="Normal 2 5 2 3 2" xfId="11967"/>
    <cellStyle name="Normal 2 5 2 3 2 2" xfId="11968"/>
    <cellStyle name="Normal 2 5 2 3 3" xfId="11969"/>
    <cellStyle name="Normal 2 5 2 4" xfId="11970"/>
    <cellStyle name="Normal 2 5 2 4 2" xfId="11971"/>
    <cellStyle name="Normal 2 5 2 5" xfId="11972"/>
    <cellStyle name="Normal 2 5 2 5 2" xfId="11973"/>
    <cellStyle name="Normal 2 5 2 6" xfId="11974"/>
    <cellStyle name="Normal 2 5 3" xfId="11975"/>
    <cellStyle name="Normal 2 5 3 2" xfId="11976"/>
    <cellStyle name="Normal 2 5 3 2 2" xfId="11977"/>
    <cellStyle name="Normal 2 5 3 2 2 2" xfId="11978"/>
    <cellStyle name="Normal 2 5 3 2 3" xfId="11979"/>
    <cellStyle name="Normal 2 5 3 3" xfId="11980"/>
    <cellStyle name="Normal 2 5 3 3 2" xfId="11981"/>
    <cellStyle name="Normal 2 5 3 4" xfId="11982"/>
    <cellStyle name="Normal 2 5 3 4 2" xfId="11983"/>
    <cellStyle name="Normal 2 5 3 5" xfId="11984"/>
    <cellStyle name="Normal 2 5 4" xfId="11985"/>
    <cellStyle name="Normal 2 5 4 2" xfId="11986"/>
    <cellStyle name="Normal 2 5 4 2 2" xfId="11987"/>
    <cellStyle name="Normal 2 5 4 3" xfId="11988"/>
    <cellStyle name="Normal 2 5 4 3 2" xfId="11989"/>
    <cellStyle name="Normal 2 5 4 4" xfId="11990"/>
    <cellStyle name="Normal 2 5 5" xfId="11991"/>
    <cellStyle name="Normal 2 5 5 2" xfId="11992"/>
    <cellStyle name="Normal 2 5 5 2 2" xfId="11993"/>
    <cellStyle name="Normal 2 5 5 3" xfId="11994"/>
    <cellStyle name="Normal 2 5 6" xfId="11995"/>
    <cellStyle name="Normal 2 5 6 2" xfId="11996"/>
    <cellStyle name="Normal 2 5 6 3" xfId="11997"/>
    <cellStyle name="Normal 2 5 7" xfId="11998"/>
    <cellStyle name="Normal 2 5 7 2" xfId="11999"/>
    <cellStyle name="Normal 2 5 8" xfId="12000"/>
    <cellStyle name="Normal 2 5 9" xfId="12001"/>
    <cellStyle name="Normal 2 6" xfId="12002"/>
    <cellStyle name="Normal 2 6 2" xfId="12003"/>
    <cellStyle name="Normal 2 6 2 2" xfId="12004"/>
    <cellStyle name="Normal 2 6 2 2 2" xfId="12005"/>
    <cellStyle name="Normal 2 6 2 2 2 2" xfId="12006"/>
    <cellStyle name="Normal 2 6 2 2 3" xfId="12007"/>
    <cellStyle name="Normal 2 6 2 2 3 2" xfId="12008"/>
    <cellStyle name="Normal 2 6 2 2 4" xfId="12009"/>
    <cellStyle name="Normal 2 6 2 2 5" xfId="12010"/>
    <cellStyle name="Normal 2 6 2 3" xfId="12011"/>
    <cellStyle name="Normal 2 6 2 3 2" xfId="12012"/>
    <cellStyle name="Normal 2 6 2 3 2 2" xfId="12013"/>
    <cellStyle name="Normal 2 6 2 3 3" xfId="12014"/>
    <cellStyle name="Normal 2 6 2 4" xfId="12015"/>
    <cellStyle name="Normal 2 6 2 4 2" xfId="12016"/>
    <cellStyle name="Normal 2 6 2 5" xfId="12017"/>
    <cellStyle name="Normal 2 6 2 5 2" xfId="12018"/>
    <cellStyle name="Normal 2 6 2 6" xfId="12019"/>
    <cellStyle name="Normal 2 6 3" xfId="12020"/>
    <cellStyle name="Normal 2 6 3 2" xfId="12021"/>
    <cellStyle name="Normal 2 6 3 2 2" xfId="12022"/>
    <cellStyle name="Normal 2 6 3 2 2 2" xfId="12023"/>
    <cellStyle name="Normal 2 6 3 2 3" xfId="12024"/>
    <cellStyle name="Normal 2 6 3 3" xfId="12025"/>
    <cellStyle name="Normal 2 6 3 3 2" xfId="12026"/>
    <cellStyle name="Normal 2 6 3 4" xfId="12027"/>
    <cellStyle name="Normal 2 6 3 4 2" xfId="12028"/>
    <cellStyle name="Normal 2 6 3 5" xfId="12029"/>
    <cellStyle name="Normal 2 6 4" xfId="12030"/>
    <cellStyle name="Normal 2 6 4 2" xfId="12031"/>
    <cellStyle name="Normal 2 6 4 2 2" xfId="12032"/>
    <cellStyle name="Normal 2 6 4 3" xfId="12033"/>
    <cellStyle name="Normal 2 6 4 3 2" xfId="12034"/>
    <cellStyle name="Normal 2 6 4 4" xfId="12035"/>
    <cellStyle name="Normal 2 6 5" xfId="12036"/>
    <cellStyle name="Normal 2 6 5 2" xfId="12037"/>
    <cellStyle name="Normal 2 6 5 2 2" xfId="12038"/>
    <cellStyle name="Normal 2 6 5 3" xfId="12039"/>
    <cellStyle name="Normal 2 6 6" xfId="12040"/>
    <cellStyle name="Normal 2 6 6 2" xfId="12041"/>
    <cellStyle name="Normal 2 6 6 3" xfId="12042"/>
    <cellStyle name="Normal 2 6 7" xfId="12043"/>
    <cellStyle name="Normal 2 6 7 2" xfId="12044"/>
    <cellStyle name="Normal 2 6 8" xfId="12045"/>
    <cellStyle name="Normal 2 6 9" xfId="12046"/>
    <cellStyle name="Normal 2 7" xfId="12047"/>
    <cellStyle name="Normal 2 7 2" xfId="12048"/>
    <cellStyle name="Normal 2 7 2 2" xfId="12049"/>
    <cellStyle name="Normal 2 7 2 2 2" xfId="12050"/>
    <cellStyle name="Normal 2 7 2 2 2 2" xfId="12051"/>
    <cellStyle name="Normal 2 7 2 2 3" xfId="12052"/>
    <cellStyle name="Normal 2 7 2 3" xfId="12053"/>
    <cellStyle name="Normal 2 7 2 3 2" xfId="12054"/>
    <cellStyle name="Normal 2 7 2 4" xfId="12055"/>
    <cellStyle name="Normal 2 7 2 4 2" xfId="12056"/>
    <cellStyle name="Normal 2 7 2 5" xfId="12057"/>
    <cellStyle name="Normal 2 7 3" xfId="12058"/>
    <cellStyle name="Normal 2 7 3 2" xfId="12059"/>
    <cellStyle name="Normal 2 7 3 2 2" xfId="12060"/>
    <cellStyle name="Normal 2 7 3 3" xfId="12061"/>
    <cellStyle name="Normal 2 7 3 3 2" xfId="12062"/>
    <cellStyle name="Normal 2 7 3 4" xfId="12063"/>
    <cellStyle name="Normal 2 7 4" xfId="12064"/>
    <cellStyle name="Normal 2 7 4 2" xfId="12065"/>
    <cellStyle name="Normal 2 7 4 2 2" xfId="12066"/>
    <cellStyle name="Normal 2 7 4 3" xfId="12067"/>
    <cellStyle name="Normal 2 7 5" xfId="12068"/>
    <cellStyle name="Normal 2 7 5 2" xfId="12069"/>
    <cellStyle name="Normal 2 7 5 3" xfId="12070"/>
    <cellStyle name="Normal 2 7 6" xfId="12071"/>
    <cellStyle name="Normal 2 7 6 2" xfId="12072"/>
    <cellStyle name="Normal 2 7 7" xfId="12073"/>
    <cellStyle name="Normal 2 7 8" xfId="12074"/>
    <cellStyle name="Normal 2 8" xfId="12075"/>
    <cellStyle name="Normal 2 8 2" xfId="12076"/>
    <cellStyle name="Normal 2 8 2 2" xfId="12077"/>
    <cellStyle name="Normal 2 8 3" xfId="12078"/>
    <cellStyle name="Normal 2 8 3 2" xfId="12079"/>
    <cellStyle name="Normal 2 8 4" xfId="12080"/>
    <cellStyle name="Normal 2 9" xfId="12081"/>
    <cellStyle name="Normal 2 9 2" xfId="12082"/>
    <cellStyle name="Normal 2 9 2 2" xfId="12083"/>
    <cellStyle name="Normal 2 9 3" xfId="12084"/>
    <cellStyle name="Normal 2 9 3 2" xfId="12085"/>
    <cellStyle name="Normal 2 9 4" xfId="12086"/>
    <cellStyle name="Normal 2_3.05 Allocation Method 2010 GRC" xfId="12087"/>
    <cellStyle name="Normal 20" xfId="12088"/>
    <cellStyle name="Normal 20 10" xfId="12089"/>
    <cellStyle name="Normal 20 11" xfId="12090"/>
    <cellStyle name="Normal 20 2" xfId="12091"/>
    <cellStyle name="Normal 20 2 2" xfId="12092"/>
    <cellStyle name="Normal 20 2 2 2" xfId="12093"/>
    <cellStyle name="Normal 20 2 2 2 2" xfId="12094"/>
    <cellStyle name="Normal 20 2 2 3" xfId="12095"/>
    <cellStyle name="Normal 20 2 2 3 2" xfId="12096"/>
    <cellStyle name="Normal 20 2 2 4" xfId="12097"/>
    <cellStyle name="Normal 20 2 3" xfId="12098"/>
    <cellStyle name="Normal 20 2 3 2" xfId="12099"/>
    <cellStyle name="Normal 20 2 3 2 2" xfId="12100"/>
    <cellStyle name="Normal 20 2 3 3" xfId="12101"/>
    <cellStyle name="Normal 20 2 3 3 2" xfId="12102"/>
    <cellStyle name="Normal 20 2 3 4" xfId="12103"/>
    <cellStyle name="Normal 20 2 3 5" xfId="12104"/>
    <cellStyle name="Normal 20 2 4" xfId="12105"/>
    <cellStyle name="Normal 20 2 4 2" xfId="12106"/>
    <cellStyle name="Normal 20 2 4 2 2" xfId="12107"/>
    <cellStyle name="Normal 20 2 4 3" xfId="12108"/>
    <cellStyle name="Normal 20 2 4 3 2" xfId="12109"/>
    <cellStyle name="Normal 20 2 4 4" xfId="12110"/>
    <cellStyle name="Normal 20 2 5" xfId="12111"/>
    <cellStyle name="Normal 20 2 5 2" xfId="12112"/>
    <cellStyle name="Normal 20 2 6" xfId="12113"/>
    <cellStyle name="Normal 20 3" xfId="12114"/>
    <cellStyle name="Normal 20 3 2" xfId="12115"/>
    <cellStyle name="Normal 20 3 2 2" xfId="12116"/>
    <cellStyle name="Normal 20 3 2 2 2" xfId="12117"/>
    <cellStyle name="Normal 20 3 2 3" xfId="12118"/>
    <cellStyle name="Normal 20 3 2 3 2" xfId="12119"/>
    <cellStyle name="Normal 20 3 2 4" xfId="12120"/>
    <cellStyle name="Normal 20 3 3" xfId="12121"/>
    <cellStyle name="Normal 20 3 3 2" xfId="12122"/>
    <cellStyle name="Normal 20 3 3 2 2" xfId="12123"/>
    <cellStyle name="Normal 20 3 4" xfId="12124"/>
    <cellStyle name="Normal 20 3 4 2" xfId="12125"/>
    <cellStyle name="Normal 20 3 5" xfId="12126"/>
    <cellStyle name="Normal 20 4" xfId="12127"/>
    <cellStyle name="Normal 20 4 2" xfId="12128"/>
    <cellStyle name="Normal 20 4 2 2" xfId="12129"/>
    <cellStyle name="Normal 20 4 3" xfId="12130"/>
    <cellStyle name="Normal 20 4 3 2" xfId="12131"/>
    <cellStyle name="Normal 20 4 4" xfId="12132"/>
    <cellStyle name="Normal 20 4 5" xfId="12133"/>
    <cellStyle name="Normal 20 4 5 2" xfId="12134"/>
    <cellStyle name="Normal 20 4 5 2 2" xfId="12135"/>
    <cellStyle name="Normal 20 4 6" xfId="12136"/>
    <cellStyle name="Normal 20 5" xfId="12137"/>
    <cellStyle name="Normal 20 5 2" xfId="12138"/>
    <cellStyle name="Normal 20 6" xfId="12139"/>
    <cellStyle name="Normal 20 6 2" xfId="12140"/>
    <cellStyle name="Normal 20 7" xfId="12141"/>
    <cellStyle name="Normal 20 7 2" xfId="12142"/>
    <cellStyle name="Normal 20 8" xfId="12143"/>
    <cellStyle name="Normal 20 8 2" xfId="12144"/>
    <cellStyle name="Normal 20 9" xfId="12145"/>
    <cellStyle name="Normal 200" xfId="12146"/>
    <cellStyle name="Normal 201" xfId="12147"/>
    <cellStyle name="Normal 202" xfId="12148"/>
    <cellStyle name="Normal 203" xfId="12149"/>
    <cellStyle name="Normal 204" xfId="12150"/>
    <cellStyle name="Normal 205" xfId="12151"/>
    <cellStyle name="Normal 206" xfId="12152"/>
    <cellStyle name="Normal 207" xfId="12153"/>
    <cellStyle name="Normal 208" xfId="12154"/>
    <cellStyle name="Normal 209" xfId="12155"/>
    <cellStyle name="Normal 21" xfId="12156"/>
    <cellStyle name="Normal 21 10" xfId="12157"/>
    <cellStyle name="Normal 21 11" xfId="12158"/>
    <cellStyle name="Normal 21 2" xfId="12159"/>
    <cellStyle name="Normal 21 2 2" xfId="12160"/>
    <cellStyle name="Normal 21 2 2 2" xfId="12161"/>
    <cellStyle name="Normal 21 2 2 3" xfId="12162"/>
    <cellStyle name="Normal 21 2 3" xfId="12163"/>
    <cellStyle name="Normal 21 2 3 2" xfId="12164"/>
    <cellStyle name="Normal 21 2 4" xfId="12165"/>
    <cellStyle name="Normal 21 3" xfId="12166"/>
    <cellStyle name="Normal 21 3 2" xfId="12167"/>
    <cellStyle name="Normal 21 3 2 2" xfId="12168"/>
    <cellStyle name="Normal 21 3 2 2 2" xfId="12169"/>
    <cellStyle name="Normal 21 3 2 3" xfId="12170"/>
    <cellStyle name="Normal 21 3 2 3 2" xfId="12171"/>
    <cellStyle name="Normal 21 3 2 4" xfId="12172"/>
    <cellStyle name="Normal 21 3 3" xfId="12173"/>
    <cellStyle name="Normal 21 3 3 2" xfId="12174"/>
    <cellStyle name="Normal 21 3 3 2 2" xfId="12175"/>
    <cellStyle name="Normal 21 3 3 3" xfId="12176"/>
    <cellStyle name="Normal 21 3 3 3 2" xfId="12177"/>
    <cellStyle name="Normal 21 3 3 4" xfId="12178"/>
    <cellStyle name="Normal 21 3 4" xfId="12179"/>
    <cellStyle name="Normal 21 3 4 2" xfId="12180"/>
    <cellStyle name="Normal 21 3 4 2 2" xfId="12181"/>
    <cellStyle name="Normal 21 3 4 3" xfId="12182"/>
    <cellStyle name="Normal 21 3 4 3 2" xfId="12183"/>
    <cellStyle name="Normal 21 3 4 4" xfId="12184"/>
    <cellStyle name="Normal 21 3 5" xfId="12185"/>
    <cellStyle name="Normal 21 4" xfId="12186"/>
    <cellStyle name="Normal 21 4 2" xfId="12187"/>
    <cellStyle name="Normal 21 4 2 2" xfId="12188"/>
    <cellStyle name="Normal 21 4 2 2 2" xfId="12189"/>
    <cellStyle name="Normal 21 4 2 3" xfId="12190"/>
    <cellStyle name="Normal 21 4 2 3 2" xfId="12191"/>
    <cellStyle name="Normal 21 4 2 4" xfId="12192"/>
    <cellStyle name="Normal 21 4 3" xfId="12193"/>
    <cellStyle name="Normal 21 4 3 2" xfId="12194"/>
    <cellStyle name="Normal 21 4 3 2 2" xfId="12195"/>
    <cellStyle name="Normal 21 4 4" xfId="12196"/>
    <cellStyle name="Normal 21 4 4 2" xfId="12197"/>
    <cellStyle name="Normal 21 4 5" xfId="12198"/>
    <cellStyle name="Normal 21 5" xfId="12199"/>
    <cellStyle name="Normal 21 5 2" xfId="12200"/>
    <cellStyle name="Normal 21 5 2 2" xfId="12201"/>
    <cellStyle name="Normal 21 5 2 2 2" xfId="12202"/>
    <cellStyle name="Normal 21 5 3" xfId="12203"/>
    <cellStyle name="Normal 21 6" xfId="12204"/>
    <cellStyle name="Normal 21 6 2" xfId="12205"/>
    <cellStyle name="Normal 21 7" xfId="12206"/>
    <cellStyle name="Normal 21 7 2" xfId="12207"/>
    <cellStyle name="Normal 21 8" xfId="12208"/>
    <cellStyle name="Normal 21 8 2" xfId="12209"/>
    <cellStyle name="Normal 21 9" xfId="12210"/>
    <cellStyle name="Normal 210" xfId="12211"/>
    <cellStyle name="Normal 211" xfId="12212"/>
    <cellStyle name="Normal 212" xfId="12213"/>
    <cellStyle name="Normal 213" xfId="12214"/>
    <cellStyle name="Normal 214" xfId="12215"/>
    <cellStyle name="Normal 215" xfId="12216"/>
    <cellStyle name="Normal 216" xfId="12217"/>
    <cellStyle name="Normal 217" xfId="12218"/>
    <cellStyle name="Normal 218" xfId="12219"/>
    <cellStyle name="Normal 219" xfId="12220"/>
    <cellStyle name="Normal 22" xfId="12221"/>
    <cellStyle name="Normal 22 2" xfId="12222"/>
    <cellStyle name="Normal 22 2 2" xfId="12223"/>
    <cellStyle name="Normal 22 2 2 2" xfId="12224"/>
    <cellStyle name="Normal 22 2 2 3" xfId="12225"/>
    <cellStyle name="Normal 22 2 3" xfId="12226"/>
    <cellStyle name="Normal 22 2 3 2" xfId="12227"/>
    <cellStyle name="Normal 22 2 3 2 2" xfId="12228"/>
    <cellStyle name="Normal 22 2 4" xfId="12229"/>
    <cellStyle name="Normal 22 2 5" xfId="12230"/>
    <cellStyle name="Normal 22 3" xfId="12231"/>
    <cellStyle name="Normal 22 3 2" xfId="12232"/>
    <cellStyle name="Normal 22 3 2 2" xfId="12233"/>
    <cellStyle name="Normal 22 3 2 2 2" xfId="12234"/>
    <cellStyle name="Normal 22 3 2 3" xfId="12235"/>
    <cellStyle name="Normal 22 3 2 3 2" xfId="12236"/>
    <cellStyle name="Normal 22 3 2 4" xfId="12237"/>
    <cellStyle name="Normal 22 3 3" xfId="12238"/>
    <cellStyle name="Normal 22 3 3 2" xfId="12239"/>
    <cellStyle name="Normal 22 3 3 2 2" xfId="12240"/>
    <cellStyle name="Normal 22 3 3 3" xfId="12241"/>
    <cellStyle name="Normal 22 3 3 3 2" xfId="12242"/>
    <cellStyle name="Normal 22 3 3 4" xfId="12243"/>
    <cellStyle name="Normal 22 3 4" xfId="12244"/>
    <cellStyle name="Normal 22 3 4 2" xfId="12245"/>
    <cellStyle name="Normal 22 3 4 2 2" xfId="12246"/>
    <cellStyle name="Normal 22 3 4 3" xfId="12247"/>
    <cellStyle name="Normal 22 3 4 3 2" xfId="12248"/>
    <cellStyle name="Normal 22 3 4 4" xfId="12249"/>
    <cellStyle name="Normal 22 3 5" xfId="12250"/>
    <cellStyle name="Normal 22 4" xfId="12251"/>
    <cellStyle name="Normal 22 4 2" xfId="12252"/>
    <cellStyle name="Normal 22 4 2 2" xfId="12253"/>
    <cellStyle name="Normal 22 4 2 2 2" xfId="12254"/>
    <cellStyle name="Normal 22 4 2 3" xfId="12255"/>
    <cellStyle name="Normal 22 4 2 3 2" xfId="12256"/>
    <cellStyle name="Normal 22 4 2 4" xfId="12257"/>
    <cellStyle name="Normal 22 4 3" xfId="12258"/>
    <cellStyle name="Normal 22 4 3 2" xfId="12259"/>
    <cellStyle name="Normal 22 4 3 2 2" xfId="12260"/>
    <cellStyle name="Normal 22 4 4" xfId="12261"/>
    <cellStyle name="Normal 22 4 4 2" xfId="12262"/>
    <cellStyle name="Normal 22 4 5" xfId="12263"/>
    <cellStyle name="Normal 22 5" xfId="12264"/>
    <cellStyle name="Normal 22 5 2" xfId="12265"/>
    <cellStyle name="Normal 22 5 2 2" xfId="12266"/>
    <cellStyle name="Normal 22 5 2 2 2" xfId="12267"/>
    <cellStyle name="Normal 22 5 3" xfId="12268"/>
    <cellStyle name="Normal 22 6" xfId="12269"/>
    <cellStyle name="Normal 22 6 2" xfId="12270"/>
    <cellStyle name="Normal 22 7" xfId="12271"/>
    <cellStyle name="Normal 22 8" xfId="12272"/>
    <cellStyle name="Normal 22 9" xfId="12273"/>
    <cellStyle name="Normal 220" xfId="12274"/>
    <cellStyle name="Normal 221" xfId="12275"/>
    <cellStyle name="Normal 222" xfId="12276"/>
    <cellStyle name="Normal 223" xfId="12277"/>
    <cellStyle name="Normal 224" xfId="12278"/>
    <cellStyle name="Normal 225" xfId="12279"/>
    <cellStyle name="Normal 226" xfId="12280"/>
    <cellStyle name="Normal 227" xfId="12281"/>
    <cellStyle name="Normal 228" xfId="12282"/>
    <cellStyle name="Normal 229" xfId="12283"/>
    <cellStyle name="Normal 23" xfId="12284"/>
    <cellStyle name="Normal 23 2" xfId="12285"/>
    <cellStyle name="Normal 23 2 2" xfId="12286"/>
    <cellStyle name="Normal 23 2 2 2" xfId="12287"/>
    <cellStyle name="Normal 23 2 2 2 2" xfId="12288"/>
    <cellStyle name="Normal 23 2 2 3" xfId="12289"/>
    <cellStyle name="Normal 23 2 2 3 2" xfId="12290"/>
    <cellStyle name="Normal 23 2 2 4" xfId="12291"/>
    <cellStyle name="Normal 23 2 2 5" xfId="12292"/>
    <cellStyle name="Normal 23 2 3" xfId="12293"/>
    <cellStyle name="Normal 23 2 3 2" xfId="12294"/>
    <cellStyle name="Normal 23 2 3 2 2" xfId="12295"/>
    <cellStyle name="Normal 23 2 3 3" xfId="12296"/>
    <cellStyle name="Normal 23 2 3 3 2" xfId="12297"/>
    <cellStyle name="Normal 23 2 3 4" xfId="12298"/>
    <cellStyle name="Normal 23 2 4" xfId="12299"/>
    <cellStyle name="Normal 23 2 4 2" xfId="12300"/>
    <cellStyle name="Normal 23 2 5" xfId="12301"/>
    <cellStyle name="Normal 23 3" xfId="12302"/>
    <cellStyle name="Normal 23 3 2" xfId="12303"/>
    <cellStyle name="Normal 23 3 3" xfId="12304"/>
    <cellStyle name="Normal 23 4" xfId="12305"/>
    <cellStyle name="Normal 23 4 2" xfId="12306"/>
    <cellStyle name="Normal 23 4 2 2" xfId="12307"/>
    <cellStyle name="Normal 23 4 3" xfId="12308"/>
    <cellStyle name="Normal 23 5" xfId="12309"/>
    <cellStyle name="Normal 23 5 2" xfId="12310"/>
    <cellStyle name="Normal 23 6" xfId="12311"/>
    <cellStyle name="Normal 23 7" xfId="12312"/>
    <cellStyle name="Normal 23 8" xfId="12313"/>
    <cellStyle name="Normal 230" xfId="12314"/>
    <cellStyle name="Normal 231" xfId="12315"/>
    <cellStyle name="Normal 232" xfId="12316"/>
    <cellStyle name="Normal 233" xfId="12317"/>
    <cellStyle name="Normal 234" xfId="12318"/>
    <cellStyle name="Normal 235" xfId="12319"/>
    <cellStyle name="Normal 236" xfId="12320"/>
    <cellStyle name="Normal 237" xfId="12321"/>
    <cellStyle name="Normal 238" xfId="12322"/>
    <cellStyle name="Normal 239" xfId="12323"/>
    <cellStyle name="Normal 24" xfId="12324"/>
    <cellStyle name="Normal 24 2" xfId="12325"/>
    <cellStyle name="Normal 24 2 2" xfId="12326"/>
    <cellStyle name="Normal 24 2 2 2" xfId="12327"/>
    <cellStyle name="Normal 24 2 2 2 2" xfId="12328"/>
    <cellStyle name="Normal 24 2 2 3" xfId="12329"/>
    <cellStyle name="Normal 24 2 2 3 2" xfId="12330"/>
    <cellStyle name="Normal 24 2 2 4" xfId="12331"/>
    <cellStyle name="Normal 24 2 2 5" xfId="12332"/>
    <cellStyle name="Normal 24 2 3" xfId="12333"/>
    <cellStyle name="Normal 24 2 3 2" xfId="12334"/>
    <cellStyle name="Normal 24 2 3 2 2" xfId="12335"/>
    <cellStyle name="Normal 24 2 3 3" xfId="12336"/>
    <cellStyle name="Normal 24 2 3 3 2" xfId="12337"/>
    <cellStyle name="Normal 24 2 3 4" xfId="12338"/>
    <cellStyle name="Normal 24 2 4" xfId="12339"/>
    <cellStyle name="Normal 24 2 4 2" xfId="12340"/>
    <cellStyle name="Normal 24 2 5" xfId="12341"/>
    <cellStyle name="Normal 24 3" xfId="12342"/>
    <cellStyle name="Normal 24 3 2" xfId="12343"/>
    <cellStyle name="Normal 24 3 3" xfId="12344"/>
    <cellStyle name="Normal 24 4" xfId="12345"/>
    <cellStyle name="Normal 24 4 2" xfId="12346"/>
    <cellStyle name="Normal 24 4 2 2" xfId="12347"/>
    <cellStyle name="Normal 24 4 3" xfId="12348"/>
    <cellStyle name="Normal 24 5" xfId="12349"/>
    <cellStyle name="Normal 24 5 2" xfId="12350"/>
    <cellStyle name="Normal 24 6" xfId="12351"/>
    <cellStyle name="Normal 24 7" xfId="12352"/>
    <cellStyle name="Normal 24 8" xfId="12353"/>
    <cellStyle name="Normal 240" xfId="12354"/>
    <cellStyle name="Normal 241" xfId="12355"/>
    <cellStyle name="Normal 242" xfId="12356"/>
    <cellStyle name="Normal 243" xfId="12357"/>
    <cellStyle name="Normal 244" xfId="12358"/>
    <cellStyle name="Normal 245" xfId="12359"/>
    <cellStyle name="Normal 246" xfId="12360"/>
    <cellStyle name="Normal 247" xfId="12361"/>
    <cellStyle name="Normal 248" xfId="12362"/>
    <cellStyle name="Normal 249" xfId="12363"/>
    <cellStyle name="Normal 25" xfId="12364"/>
    <cellStyle name="Normal 25 2" xfId="12365"/>
    <cellStyle name="Normal 25 2 2" xfId="12366"/>
    <cellStyle name="Normal 25 2 3" xfId="12367"/>
    <cellStyle name="Normal 25 3" xfId="12368"/>
    <cellStyle name="Normal 25 3 2" xfId="12369"/>
    <cellStyle name="Normal 25 3 3" xfId="12370"/>
    <cellStyle name="Normal 25 4" xfId="12371"/>
    <cellStyle name="Normal 25 4 2" xfId="12372"/>
    <cellStyle name="Normal 25 5" xfId="12373"/>
    <cellStyle name="Normal 250" xfId="12374"/>
    <cellStyle name="Normal 251" xfId="12375"/>
    <cellStyle name="Normal 252" xfId="12376"/>
    <cellStyle name="Normal 253" xfId="12377"/>
    <cellStyle name="Normal 254" xfId="12378"/>
    <cellStyle name="Normal 255" xfId="12379"/>
    <cellStyle name="Normal 256" xfId="12380"/>
    <cellStyle name="Normal 257" xfId="12381"/>
    <cellStyle name="Normal 258" xfId="12382"/>
    <cellStyle name="Normal 259" xfId="12383"/>
    <cellStyle name="Normal 26" xfId="12384"/>
    <cellStyle name="Normal 26 2" xfId="12385"/>
    <cellStyle name="Normal 26 2 2" xfId="12386"/>
    <cellStyle name="Normal 26 2 3" xfId="12387"/>
    <cellStyle name="Normal 26 3" xfId="12388"/>
    <cellStyle name="Normal 26 3 2" xfId="12389"/>
    <cellStyle name="Normal 26 3 2 2" xfId="12390"/>
    <cellStyle name="Normal 26 3 2 3" xfId="12391"/>
    <cellStyle name="Normal 26 4" xfId="12392"/>
    <cellStyle name="Normal 26 4 2" xfId="12393"/>
    <cellStyle name="Normal 26 4 2 2" xfId="12394"/>
    <cellStyle name="Normal 26 5" xfId="12395"/>
    <cellStyle name="Normal 260" xfId="12396"/>
    <cellStyle name="Normal 261" xfId="12397"/>
    <cellStyle name="Normal 262" xfId="12398"/>
    <cellStyle name="Normal 263" xfId="12399"/>
    <cellStyle name="Normal 264" xfId="12400"/>
    <cellStyle name="Normal 265" xfId="12401"/>
    <cellStyle name="Normal 266" xfId="12402"/>
    <cellStyle name="Normal 267" xfId="12403"/>
    <cellStyle name="Normal 268" xfId="12404"/>
    <cellStyle name="Normal 269" xfId="12405"/>
    <cellStyle name="Normal 27" xfId="12406"/>
    <cellStyle name="Normal 27 2" xfId="12407"/>
    <cellStyle name="Normal 27 2 2" xfId="12408"/>
    <cellStyle name="Normal 27 2 3" xfId="12409"/>
    <cellStyle name="Normal 27 3" xfId="12410"/>
    <cellStyle name="Normal 27 3 2" xfId="12411"/>
    <cellStyle name="Normal 27 3 2 2" xfId="12412"/>
    <cellStyle name="Normal 27 3 2 3" xfId="12413"/>
    <cellStyle name="Normal 27 4" xfId="12414"/>
    <cellStyle name="Normal 27 4 2" xfId="12415"/>
    <cellStyle name="Normal 27 4 2 2" xfId="12416"/>
    <cellStyle name="Normal 27 5" xfId="12417"/>
    <cellStyle name="Normal 270" xfId="12418"/>
    <cellStyle name="Normal 271" xfId="12419"/>
    <cellStyle name="Normal 272" xfId="12420"/>
    <cellStyle name="Normal 273" xfId="12421"/>
    <cellStyle name="Normal 274" xfId="12422"/>
    <cellStyle name="Normal 275" xfId="12423"/>
    <cellStyle name="Normal 276" xfId="12424"/>
    <cellStyle name="Normal 277" xfId="12425"/>
    <cellStyle name="Normal 278" xfId="12426"/>
    <cellStyle name="Normal 279" xfId="12427"/>
    <cellStyle name="Normal 28" xfId="12428"/>
    <cellStyle name="Normal 28 2" xfId="12429"/>
    <cellStyle name="Normal 28 2 2" xfId="12430"/>
    <cellStyle name="Normal 28 3" xfId="12431"/>
    <cellStyle name="Normal 28 4" xfId="12432"/>
    <cellStyle name="Normal 28 5" xfId="12433"/>
    <cellStyle name="Normal 280" xfId="12434"/>
    <cellStyle name="Normal 281" xfId="12435"/>
    <cellStyle name="Normal 282" xfId="12436"/>
    <cellStyle name="Normal 283" xfId="12437"/>
    <cellStyle name="Normal 284" xfId="12438"/>
    <cellStyle name="Normal 285" xfId="12439"/>
    <cellStyle name="Normal 286" xfId="12440"/>
    <cellStyle name="Normal 287" xfId="12441"/>
    <cellStyle name="Normal 288" xfId="12442"/>
    <cellStyle name="Normal 289" xfId="12443"/>
    <cellStyle name="Normal 29" xfId="12444"/>
    <cellStyle name="Normal 29 2" xfId="12445"/>
    <cellStyle name="Normal 29 2 2" xfId="12446"/>
    <cellStyle name="Normal 29 3" xfId="12447"/>
    <cellStyle name="Normal 29 3 2" xfId="12448"/>
    <cellStyle name="Normal 29 4" xfId="12449"/>
    <cellStyle name="Normal 29 4 2" xfId="12450"/>
    <cellStyle name="Normal 29 5" xfId="12451"/>
    <cellStyle name="Normal 29 6" xfId="12452"/>
    <cellStyle name="Normal 290" xfId="12453"/>
    <cellStyle name="Normal 291" xfId="12454"/>
    <cellStyle name="Normal 292" xfId="12455"/>
    <cellStyle name="Normal 293" xfId="12456"/>
    <cellStyle name="Normal 294" xfId="12457"/>
    <cellStyle name="Normal 295" xfId="12458"/>
    <cellStyle name="Normal 296" xfId="12459"/>
    <cellStyle name="Normal 297" xfId="12460"/>
    <cellStyle name="Normal 298" xfId="12461"/>
    <cellStyle name="Normal 299" xfId="12462"/>
    <cellStyle name="Normal 3" xfId="13"/>
    <cellStyle name="Normal 3 10" xfId="12463"/>
    <cellStyle name="Normal 3 10 2" xfId="12464"/>
    <cellStyle name="Normal 3 11" xfId="12465"/>
    <cellStyle name="Normal 3 11 2" xfId="12466"/>
    <cellStyle name="Normal 3 12" xfId="12467"/>
    <cellStyle name="Normal 3 13" xfId="12468"/>
    <cellStyle name="Normal 3 14" xfId="12469"/>
    <cellStyle name="Normal 3 2" xfId="12470"/>
    <cellStyle name="Normal 3 2 2" xfId="12471"/>
    <cellStyle name="Normal 3 2 2 2" xfId="12472"/>
    <cellStyle name="Normal 3 2 2 2 2" xfId="12473"/>
    <cellStyle name="Normal 3 2 2 2 3" xfId="12474"/>
    <cellStyle name="Normal 3 2 2 3" xfId="12475"/>
    <cellStyle name="Normal 3 2 2 3 2" xfId="12476"/>
    <cellStyle name="Normal 3 2 2 4" xfId="12477"/>
    <cellStyle name="Normal 3 2 2 5" xfId="12478"/>
    <cellStyle name="Normal 3 2 3" xfId="12479"/>
    <cellStyle name="Normal 3 2 3 2" xfId="12480"/>
    <cellStyle name="Normal 3 2 3 2 2" xfId="12481"/>
    <cellStyle name="Normal 3 2 3 3" xfId="12482"/>
    <cellStyle name="Normal 3 2 3 4" xfId="12483"/>
    <cellStyle name="Normal 3 2 4" xfId="12484"/>
    <cellStyle name="Normal 3 2 4 2" xfId="12485"/>
    <cellStyle name="Normal 3 2 4 2 2" xfId="12486"/>
    <cellStyle name="Normal 3 2 4 3" xfId="12487"/>
    <cellStyle name="Normal 3 2 4 4" xfId="12488"/>
    <cellStyle name="Normal 3 2 5" xfId="12489"/>
    <cellStyle name="Normal 3 2 5 2" xfId="12490"/>
    <cellStyle name="Normal 3 2 6" xfId="12491"/>
    <cellStyle name="Normal 3 2 6 2" xfId="12492"/>
    <cellStyle name="Normal 3 2 7" xfId="12493"/>
    <cellStyle name="Normal 3 2 8" xfId="12494"/>
    <cellStyle name="Normal 3 2 9" xfId="12495"/>
    <cellStyle name="Normal 3 3" xfId="12496"/>
    <cellStyle name="Normal 3 3 2" xfId="12497"/>
    <cellStyle name="Normal 3 3 2 2" xfId="12498"/>
    <cellStyle name="Normal 3 3 2 2 2" xfId="12499"/>
    <cellStyle name="Normal 3 3 2 3" xfId="12500"/>
    <cellStyle name="Normal 3 3 2 4" xfId="12501"/>
    <cellStyle name="Normal 3 3 3" xfId="12502"/>
    <cellStyle name="Normal 3 3 3 2" xfId="12503"/>
    <cellStyle name="Normal 3 3 3 2 2" xfId="12504"/>
    <cellStyle name="Normal 3 3 3 3" xfId="12505"/>
    <cellStyle name="Normal 3 3 3 4" xfId="12506"/>
    <cellStyle name="Normal 3 3 4" xfId="12507"/>
    <cellStyle name="Normal 3 3 4 2" xfId="12508"/>
    <cellStyle name="Normal 3 3 5" xfId="12509"/>
    <cellStyle name="Normal 3 3 5 2" xfId="12510"/>
    <cellStyle name="Normal 3 3 6" xfId="12511"/>
    <cellStyle name="Normal 3 3 7" xfId="12512"/>
    <cellStyle name="Normal 3 3 8" xfId="12513"/>
    <cellStyle name="Normal 3 4" xfId="12514"/>
    <cellStyle name="Normal 3 4 2" xfId="12515"/>
    <cellStyle name="Normal 3 4 2 2" xfId="12516"/>
    <cellStyle name="Normal 3 4 2 2 2" xfId="12517"/>
    <cellStyle name="Normal 3 4 2 2 3" xfId="12518"/>
    <cellStyle name="Normal 3 4 2 3" xfId="12519"/>
    <cellStyle name="Normal 3 4 2 3 2" xfId="12520"/>
    <cellStyle name="Normal 3 4 2 4" xfId="12521"/>
    <cellStyle name="Normal 3 4 2 5" xfId="12522"/>
    <cellStyle name="Normal 3 4 3" xfId="12523"/>
    <cellStyle name="Normal 3 4 3 2" xfId="12524"/>
    <cellStyle name="Normal 3 4 3 3" xfId="12525"/>
    <cellStyle name="Normal 3 4 4" xfId="12526"/>
    <cellStyle name="Normal 3 4 4 2" xfId="12527"/>
    <cellStyle name="Normal 3 4 5" xfId="12528"/>
    <cellStyle name="Normal 3 4 5 2" xfId="12529"/>
    <cellStyle name="Normal 3 4 6" xfId="12530"/>
    <cellStyle name="Normal 3 4 7" xfId="12531"/>
    <cellStyle name="Normal 3 4 8" xfId="12532"/>
    <cellStyle name="Normal 3 5" xfId="12533"/>
    <cellStyle name="Normal 3 5 2" xfId="12534"/>
    <cellStyle name="Normal 3 5 2 2" xfId="12535"/>
    <cellStyle name="Normal 3 5 2 3" xfId="12536"/>
    <cellStyle name="Normal 3 5 3" xfId="12537"/>
    <cellStyle name="Normal 3 5 3 2" xfId="12538"/>
    <cellStyle name="Normal 3 5 3 3" xfId="12539"/>
    <cellStyle name="Normal 3 5 4" xfId="12540"/>
    <cellStyle name="Normal 3 5 4 2" xfId="12541"/>
    <cellStyle name="Normal 3 5 5" xfId="12542"/>
    <cellStyle name="Normal 3 5 6" xfId="12543"/>
    <cellStyle name="Normal 3 6" xfId="12544"/>
    <cellStyle name="Normal 3 6 2" xfId="12545"/>
    <cellStyle name="Normal 3 6 2 2" xfId="12546"/>
    <cellStyle name="Normal 3 6 2 3" xfId="12547"/>
    <cellStyle name="Normal 3 6 3" xfId="12548"/>
    <cellStyle name="Normal 3 6 3 2" xfId="12549"/>
    <cellStyle name="Normal 3 6 4" xfId="12550"/>
    <cellStyle name="Normal 3 6 5" xfId="12551"/>
    <cellStyle name="Normal 3 7" xfId="12552"/>
    <cellStyle name="Normal 3 7 2" xfId="12553"/>
    <cellStyle name="Normal 3 7 2 2" xfId="12554"/>
    <cellStyle name="Normal 3 7 3" xfId="12555"/>
    <cellStyle name="Normal 3 7 4" xfId="12556"/>
    <cellStyle name="Normal 3 8" xfId="12557"/>
    <cellStyle name="Normal 3 8 2" xfId="12558"/>
    <cellStyle name="Normal 3 8 2 2" xfId="12559"/>
    <cellStyle name="Normal 3 8 3" xfId="12560"/>
    <cellStyle name="Normal 3 8 4" xfId="12561"/>
    <cellStyle name="Normal 3 9" xfId="12562"/>
    <cellStyle name="Normal 3 9 2" xfId="12563"/>
    <cellStyle name="Normal 3_Net Classified Plant" xfId="12564"/>
    <cellStyle name="Normal 30" xfId="12565"/>
    <cellStyle name="Normal 30 2" xfId="12566"/>
    <cellStyle name="Normal 30 2 2" xfId="12567"/>
    <cellStyle name="Normal 30 3" xfId="12568"/>
    <cellStyle name="Normal 30 3 2" xfId="12569"/>
    <cellStyle name="Normal 30 4" xfId="12570"/>
    <cellStyle name="Normal 300" xfId="12571"/>
    <cellStyle name="Normal 301" xfId="12572"/>
    <cellStyle name="Normal 302" xfId="12573"/>
    <cellStyle name="Normal 303" xfId="12574"/>
    <cellStyle name="Normal 304" xfId="12575"/>
    <cellStyle name="Normal 305" xfId="12576"/>
    <cellStyle name="Normal 306" xfId="12577"/>
    <cellStyle name="Normal 307" xfId="12578"/>
    <cellStyle name="Normal 308" xfId="12579"/>
    <cellStyle name="Normal 309" xfId="12580"/>
    <cellStyle name="Normal 31" xfId="12581"/>
    <cellStyle name="Normal 31 2" xfId="12582"/>
    <cellStyle name="Normal 31 2 2" xfId="12583"/>
    <cellStyle name="Normal 31 3" xfId="12584"/>
    <cellStyle name="Normal 31 4" xfId="12585"/>
    <cellStyle name="Normal 310" xfId="12586"/>
    <cellStyle name="Normal 311" xfId="12587"/>
    <cellStyle name="Normal 312" xfId="12588"/>
    <cellStyle name="Normal 313" xfId="12589"/>
    <cellStyle name="Normal 314" xfId="12590"/>
    <cellStyle name="Normal 315" xfId="12591"/>
    <cellStyle name="Normal 316" xfId="12592"/>
    <cellStyle name="Normal 317" xfId="12593"/>
    <cellStyle name="Normal 318" xfId="12594"/>
    <cellStyle name="Normal 319" xfId="12595"/>
    <cellStyle name="Normal 32" xfId="12596"/>
    <cellStyle name="Normal 32 2" xfId="12597"/>
    <cellStyle name="Normal 32 3" xfId="12598"/>
    <cellStyle name="Normal 320" xfId="12599"/>
    <cellStyle name="Normal 321" xfId="12600"/>
    <cellStyle name="Normal 322" xfId="12601"/>
    <cellStyle name="Normal 323" xfId="12602"/>
    <cellStyle name="Normal 324" xfId="12603"/>
    <cellStyle name="Normal 33" xfId="12604"/>
    <cellStyle name="Normal 33 2" xfId="12605"/>
    <cellStyle name="Normal 33 3" xfId="12606"/>
    <cellStyle name="Normal 34" xfId="12607"/>
    <cellStyle name="Normal 34 2" xfId="12608"/>
    <cellStyle name="Normal 34 3" xfId="12609"/>
    <cellStyle name="Normal 35" xfId="12610"/>
    <cellStyle name="Normal 35 2" xfId="12611"/>
    <cellStyle name="Normal 35 3" xfId="12612"/>
    <cellStyle name="Normal 36" xfId="12613"/>
    <cellStyle name="Normal 36 2" xfId="12614"/>
    <cellStyle name="Normal 36 3" xfId="12615"/>
    <cellStyle name="Normal 37" xfId="12616"/>
    <cellStyle name="Normal 37 2" xfId="12617"/>
    <cellStyle name="Normal 37 3" xfId="12618"/>
    <cellStyle name="Normal 38" xfId="12619"/>
    <cellStyle name="Normal 38 2" xfId="12620"/>
    <cellStyle name="Normal 38 3" xfId="12621"/>
    <cellStyle name="Normal 39" xfId="12622"/>
    <cellStyle name="Normal 39 2" xfId="12623"/>
    <cellStyle name="Normal 4" xfId="14"/>
    <cellStyle name="Normal 4 10" xfId="12624"/>
    <cellStyle name="Normal 4 10 2" xfId="12625"/>
    <cellStyle name="Normal 4 11" xfId="12626"/>
    <cellStyle name="Normal 4 12" xfId="12627"/>
    <cellStyle name="Normal 4 12 2" xfId="12628"/>
    <cellStyle name="Normal 4 12 3" xfId="12629"/>
    <cellStyle name="Normal 4 12 3 2" xfId="12630"/>
    <cellStyle name="Normal 4 13" xfId="12631"/>
    <cellStyle name="Normal 4 14" xfId="12632"/>
    <cellStyle name="Normal 4 15" xfId="12633"/>
    <cellStyle name="Normal 4 2" xfId="12634"/>
    <cellStyle name="Normal 4 2 2" xfId="12635"/>
    <cellStyle name="Normal 4 2 2 2" xfId="12636"/>
    <cellStyle name="Normal 4 2 2 2 2" xfId="12637"/>
    <cellStyle name="Normal 4 2 2 2 3" xfId="12638"/>
    <cellStyle name="Normal 4 2 2 3" xfId="12639"/>
    <cellStyle name="Normal 4 2 2 3 2" xfId="12640"/>
    <cellStyle name="Normal 4 2 2 4" xfId="12641"/>
    <cellStyle name="Normal 4 2 2 5" xfId="12642"/>
    <cellStyle name="Normal 4 2 3" xfId="12643"/>
    <cellStyle name="Normal 4 2 3 2" xfId="12644"/>
    <cellStyle name="Normal 4 2 3 2 2" xfId="12645"/>
    <cellStyle name="Normal 4 2 3 3" xfId="12646"/>
    <cellStyle name="Normal 4 2 3 4" xfId="12647"/>
    <cellStyle name="Normal 4 2 4" xfId="12648"/>
    <cellStyle name="Normal 4 2 4 2" xfId="12649"/>
    <cellStyle name="Normal 4 2 4 2 2" xfId="12650"/>
    <cellStyle name="Normal 4 2 4 3" xfId="12651"/>
    <cellStyle name="Normal 4 2 4 4" xfId="12652"/>
    <cellStyle name="Normal 4 2 5" xfId="12653"/>
    <cellStyle name="Normal 4 2 5 2" xfId="12654"/>
    <cellStyle name="Normal 4 2 6" xfId="12655"/>
    <cellStyle name="Normal 4 2 6 2" xfId="12656"/>
    <cellStyle name="Normal 4 2 7" xfId="12657"/>
    <cellStyle name="Normal 4 2 8" xfId="12658"/>
    <cellStyle name="Normal 4 2 9" xfId="12659"/>
    <cellStyle name="Normal 4 3" xfId="12660"/>
    <cellStyle name="Normal 4 3 2" xfId="12661"/>
    <cellStyle name="Normal 4 3 2 2" xfId="12662"/>
    <cellStyle name="Normal 4 3 2 2 2" xfId="12663"/>
    <cellStyle name="Normal 4 3 2 2 3" xfId="12664"/>
    <cellStyle name="Normal 4 3 2 3" xfId="12665"/>
    <cellStyle name="Normal 4 3 2 3 2" xfId="12666"/>
    <cellStyle name="Normal 4 3 2 4" xfId="12667"/>
    <cellStyle name="Normal 4 3 2 5" xfId="12668"/>
    <cellStyle name="Normal 4 3 3" xfId="12669"/>
    <cellStyle name="Normal 4 3 3 2" xfId="12670"/>
    <cellStyle name="Normal 4 3 3 2 2" xfId="12671"/>
    <cellStyle name="Normal 4 3 3 3" xfId="12672"/>
    <cellStyle name="Normal 4 3 3 4" xfId="12673"/>
    <cellStyle name="Normal 4 3 4" xfId="12674"/>
    <cellStyle name="Normal 4 3 4 2" xfId="12675"/>
    <cellStyle name="Normal 4 3 5" xfId="12676"/>
    <cellStyle name="Normal 4 3 5 2" xfId="12677"/>
    <cellStyle name="Normal 4 3 6" xfId="12678"/>
    <cellStyle name="Normal 4 3 7" xfId="12679"/>
    <cellStyle name="Normal 4 3 8" xfId="12680"/>
    <cellStyle name="Normal 4 4" xfId="12681"/>
    <cellStyle name="Normal 4 4 2" xfId="12682"/>
    <cellStyle name="Normal 4 4 2 2" xfId="12683"/>
    <cellStyle name="Normal 4 4 2 2 2" xfId="12684"/>
    <cellStyle name="Normal 4 4 2 2 3" xfId="12685"/>
    <cellStyle name="Normal 4 4 2 3" xfId="12686"/>
    <cellStyle name="Normal 4 4 2 3 2" xfId="12687"/>
    <cellStyle name="Normal 4 4 2 4" xfId="12688"/>
    <cellStyle name="Normal 4 4 2 5" xfId="12689"/>
    <cellStyle name="Normal 4 4 2 6" xfId="12690"/>
    <cellStyle name="Normal 4 4 3" xfId="12691"/>
    <cellStyle name="Normal 4 4 3 2" xfId="12692"/>
    <cellStyle name="Normal 4 4 3 3" xfId="12693"/>
    <cellStyle name="Normal 4 4 4" xfId="12694"/>
    <cellStyle name="Normal 4 4 4 2" xfId="12695"/>
    <cellStyle name="Normal 4 4 5" xfId="12696"/>
    <cellStyle name="Normal 4 4 5 2" xfId="12697"/>
    <cellStyle name="Normal 4 4 6" xfId="12698"/>
    <cellStyle name="Normal 4 4 7" xfId="12699"/>
    <cellStyle name="Normal 4 4 8" xfId="12700"/>
    <cellStyle name="Normal 4 5" xfId="12701"/>
    <cellStyle name="Normal 4 5 2" xfId="12702"/>
    <cellStyle name="Normal 4 5 2 2" xfId="12703"/>
    <cellStyle name="Normal 4 5 2 3" xfId="12704"/>
    <cellStyle name="Normal 4 5 3" xfId="12705"/>
    <cellStyle name="Normal 4 5 3 2" xfId="12706"/>
    <cellStyle name="Normal 4 5 4" xfId="12707"/>
    <cellStyle name="Normal 4 5 5" xfId="12708"/>
    <cellStyle name="Normal 4 5 6" xfId="12709"/>
    <cellStyle name="Normal 4 6" xfId="12710"/>
    <cellStyle name="Normal 4 6 2" xfId="12711"/>
    <cellStyle name="Normal 4 6 2 2" xfId="12712"/>
    <cellStyle name="Normal 4 6 3" xfId="12713"/>
    <cellStyle name="Normal 4 6 4" xfId="12714"/>
    <cellStyle name="Normal 4 6 5" xfId="12715"/>
    <cellStyle name="Normal 4 7" xfId="12716"/>
    <cellStyle name="Normal 4 7 2" xfId="12717"/>
    <cellStyle name="Normal 4 7 2 2" xfId="12718"/>
    <cellStyle name="Normal 4 7 3" xfId="12719"/>
    <cellStyle name="Normal 4 7 4" xfId="12720"/>
    <cellStyle name="Normal 4 7 5" xfId="12721"/>
    <cellStyle name="Normal 4 8" xfId="12722"/>
    <cellStyle name="Normal 4 8 2" xfId="12723"/>
    <cellStyle name="Normal 4 9" xfId="12724"/>
    <cellStyle name="Normal 4 9 2" xfId="12725"/>
    <cellStyle name="Normal 40" xfId="12726"/>
    <cellStyle name="Normal 40 2" xfId="12727"/>
    <cellStyle name="Normal 40 3" xfId="12728"/>
    <cellStyle name="Normal 41" xfId="12729"/>
    <cellStyle name="Normal 41 2" xfId="12730"/>
    <cellStyle name="Normal 41 2 2" xfId="12731"/>
    <cellStyle name="Normal 41 2 3" xfId="12732"/>
    <cellStyle name="Normal 41 3" xfId="12733"/>
    <cellStyle name="Normal 42" xfId="12734"/>
    <cellStyle name="Normal 42 10" xfId="12735"/>
    <cellStyle name="Normal 42 11" xfId="12736"/>
    <cellStyle name="Normal 42 2" xfId="12737"/>
    <cellStyle name="Normal 42 2 2" xfId="12738"/>
    <cellStyle name="Normal 42 2 2 2" xfId="12739"/>
    <cellStyle name="Normal 42 2 2 2 2" xfId="12740"/>
    <cellStyle name="Normal 42 2 2 3" xfId="12741"/>
    <cellStyle name="Normal 42 2 2 3 2" xfId="12742"/>
    <cellStyle name="Normal 42 2 2 4" xfId="12743"/>
    <cellStyle name="Normal 42 2 2 5" xfId="12744"/>
    <cellStyle name="Normal 42 2 3" xfId="12745"/>
    <cellStyle name="Normal 42 2 3 2" xfId="12746"/>
    <cellStyle name="Normal 42 2 3 2 2" xfId="12747"/>
    <cellStyle name="Normal 42 2 3 3" xfId="12748"/>
    <cellStyle name="Normal 42 2 4" xfId="12749"/>
    <cellStyle name="Normal 42 2 4 2" xfId="12750"/>
    <cellStyle name="Normal 42 2 5" xfId="12751"/>
    <cellStyle name="Normal 42 2 5 2" xfId="12752"/>
    <cellStyle name="Normal 42 2 6" xfId="12753"/>
    <cellStyle name="Normal 42 3" xfId="12754"/>
    <cellStyle name="Normal 42 3 2" xfId="12755"/>
    <cellStyle name="Normal 42 3 2 2" xfId="12756"/>
    <cellStyle name="Normal 42 3 2 2 2" xfId="12757"/>
    <cellStyle name="Normal 42 3 2 3" xfId="12758"/>
    <cellStyle name="Normal 42 3 2 3 2" xfId="12759"/>
    <cellStyle name="Normal 42 3 2 4" xfId="12760"/>
    <cellStyle name="Normal 42 3 2 5" xfId="12761"/>
    <cellStyle name="Normal 42 3 3" xfId="12762"/>
    <cellStyle name="Normal 42 3 3 2" xfId="12763"/>
    <cellStyle name="Normal 42 3 3 2 2" xfId="12764"/>
    <cellStyle name="Normal 42 3 3 3" xfId="12765"/>
    <cellStyle name="Normal 42 3 4" xfId="12766"/>
    <cellStyle name="Normal 42 3 4 2" xfId="12767"/>
    <cellStyle name="Normal 42 3 5" xfId="12768"/>
    <cellStyle name="Normal 42 3 5 2" xfId="12769"/>
    <cellStyle name="Normal 42 3 6" xfId="12770"/>
    <cellStyle name="Normal 42 4" xfId="12771"/>
    <cellStyle name="Normal 42 4 2" xfId="12772"/>
    <cellStyle name="Normal 42 4 2 2" xfId="12773"/>
    <cellStyle name="Normal 42 4 2 2 2" xfId="12774"/>
    <cellStyle name="Normal 42 4 2 3" xfId="12775"/>
    <cellStyle name="Normal 42 4 3" xfId="12776"/>
    <cellStyle name="Normal 42 4 3 2" xfId="12777"/>
    <cellStyle name="Normal 42 4 4" xfId="12778"/>
    <cellStyle name="Normal 42 4 4 2" xfId="12779"/>
    <cellStyle name="Normal 42 4 5" xfId="12780"/>
    <cellStyle name="Normal 42 5" xfId="12781"/>
    <cellStyle name="Normal 42 5 2" xfId="12782"/>
    <cellStyle name="Normal 42 5 2 2" xfId="12783"/>
    <cellStyle name="Normal 42 5 3" xfId="12784"/>
    <cellStyle name="Normal 42 5 3 2" xfId="12785"/>
    <cellStyle name="Normal 42 5 4" xfId="12786"/>
    <cellStyle name="Normal 42 6" xfId="12787"/>
    <cellStyle name="Normal 42 6 2" xfId="12788"/>
    <cellStyle name="Normal 42 6 2 2" xfId="12789"/>
    <cellStyle name="Normal 42 6 3" xfId="12790"/>
    <cellStyle name="Normal 42 7" xfId="12791"/>
    <cellStyle name="Normal 42 7 2" xfId="12792"/>
    <cellStyle name="Normal 42 7 3" xfId="12793"/>
    <cellStyle name="Normal 42 8" xfId="12794"/>
    <cellStyle name="Normal 42 8 2" xfId="12795"/>
    <cellStyle name="Normal 42 9" xfId="12796"/>
    <cellStyle name="Normal 43" xfId="12797"/>
    <cellStyle name="Normal 43 2" xfId="12798"/>
    <cellStyle name="Normal 43 3" xfId="12799"/>
    <cellStyle name="Normal 43 4" xfId="12800"/>
    <cellStyle name="Normal 43 5" xfId="12801"/>
    <cellStyle name="Normal 44" xfId="12802"/>
    <cellStyle name="Normal 44 10" xfId="12803"/>
    <cellStyle name="Normal 44 11" xfId="12804"/>
    <cellStyle name="Normal 44 2" xfId="12805"/>
    <cellStyle name="Normal 44 2 2" xfId="12806"/>
    <cellStyle name="Normal 44 2 2 2" xfId="12807"/>
    <cellStyle name="Normal 44 2 2 2 2" xfId="12808"/>
    <cellStyle name="Normal 44 2 2 3" xfId="12809"/>
    <cellStyle name="Normal 44 2 2 3 2" xfId="12810"/>
    <cellStyle name="Normal 44 2 2 4" xfId="12811"/>
    <cellStyle name="Normal 44 2 2 5" xfId="12812"/>
    <cellStyle name="Normal 44 2 3" xfId="12813"/>
    <cellStyle name="Normal 44 2 3 2" xfId="12814"/>
    <cellStyle name="Normal 44 2 3 2 2" xfId="12815"/>
    <cellStyle name="Normal 44 2 3 3" xfId="12816"/>
    <cellStyle name="Normal 44 2 4" xfId="12817"/>
    <cellStyle name="Normal 44 2 4 2" xfId="12818"/>
    <cellStyle name="Normal 44 2 5" xfId="12819"/>
    <cellStyle name="Normal 44 2 5 2" xfId="12820"/>
    <cellStyle name="Normal 44 2 6" xfId="12821"/>
    <cellStyle name="Normal 44 3" xfId="12822"/>
    <cellStyle name="Normal 44 3 2" xfId="12823"/>
    <cellStyle name="Normal 44 3 2 2" xfId="12824"/>
    <cellStyle name="Normal 44 3 2 2 2" xfId="12825"/>
    <cellStyle name="Normal 44 3 2 3" xfId="12826"/>
    <cellStyle name="Normal 44 3 2 3 2" xfId="12827"/>
    <cellStyle name="Normal 44 3 2 4" xfId="12828"/>
    <cellStyle name="Normal 44 3 2 5" xfId="12829"/>
    <cellStyle name="Normal 44 3 3" xfId="12830"/>
    <cellStyle name="Normal 44 3 3 2" xfId="12831"/>
    <cellStyle name="Normal 44 3 3 2 2" xfId="12832"/>
    <cellStyle name="Normal 44 3 3 3" xfId="12833"/>
    <cellStyle name="Normal 44 3 4" xfId="12834"/>
    <cellStyle name="Normal 44 3 4 2" xfId="12835"/>
    <cellStyle name="Normal 44 3 5" xfId="12836"/>
    <cellStyle name="Normal 44 3 5 2" xfId="12837"/>
    <cellStyle name="Normal 44 3 6" xfId="12838"/>
    <cellStyle name="Normal 44 4" xfId="12839"/>
    <cellStyle name="Normal 44 4 2" xfId="12840"/>
    <cellStyle name="Normal 44 4 2 2" xfId="12841"/>
    <cellStyle name="Normal 44 4 2 2 2" xfId="12842"/>
    <cellStyle name="Normal 44 4 2 3" xfId="12843"/>
    <cellStyle name="Normal 44 4 3" xfId="12844"/>
    <cellStyle name="Normal 44 4 3 2" xfId="12845"/>
    <cellStyle name="Normal 44 4 4" xfId="12846"/>
    <cellStyle name="Normal 44 4 4 2" xfId="12847"/>
    <cellStyle name="Normal 44 4 5" xfId="12848"/>
    <cellStyle name="Normal 44 5" xfId="12849"/>
    <cellStyle name="Normal 44 5 2" xfId="12850"/>
    <cellStyle name="Normal 44 5 2 2" xfId="12851"/>
    <cellStyle name="Normal 44 5 3" xfId="12852"/>
    <cellStyle name="Normal 44 5 3 2" xfId="12853"/>
    <cellStyle name="Normal 44 5 4" xfId="12854"/>
    <cellStyle name="Normal 44 6" xfId="12855"/>
    <cellStyle name="Normal 44 6 2" xfId="12856"/>
    <cellStyle name="Normal 44 6 2 2" xfId="12857"/>
    <cellStyle name="Normal 44 6 3" xfId="12858"/>
    <cellStyle name="Normal 44 7" xfId="12859"/>
    <cellStyle name="Normal 44 7 2" xfId="12860"/>
    <cellStyle name="Normal 44 7 3" xfId="12861"/>
    <cellStyle name="Normal 44 8" xfId="12862"/>
    <cellStyle name="Normal 44 8 2" xfId="12863"/>
    <cellStyle name="Normal 44 9" xfId="12864"/>
    <cellStyle name="Normal 45" xfId="12865"/>
    <cellStyle name="Normal 45 10" xfId="12866"/>
    <cellStyle name="Normal 45 11" xfId="12867"/>
    <cellStyle name="Normal 45 2" xfId="12868"/>
    <cellStyle name="Normal 45 2 2" xfId="12869"/>
    <cellStyle name="Normal 45 2 2 2" xfId="12870"/>
    <cellStyle name="Normal 45 2 2 2 2" xfId="12871"/>
    <cellStyle name="Normal 45 2 2 3" xfId="12872"/>
    <cellStyle name="Normal 45 2 2 3 2" xfId="12873"/>
    <cellStyle name="Normal 45 2 2 4" xfId="12874"/>
    <cellStyle name="Normal 45 2 2 4 2" xfId="12875"/>
    <cellStyle name="Normal 45 2 2 5" xfId="12876"/>
    <cellStyle name="Normal 45 2 3" xfId="12877"/>
    <cellStyle name="Normal 45 2 3 2" xfId="12878"/>
    <cellStyle name="Normal 45 2 3 2 2" xfId="12879"/>
    <cellStyle name="Normal 45 2 3 3" xfId="12880"/>
    <cellStyle name="Normal 45 2 4" xfId="12881"/>
    <cellStyle name="Normal 45 2 4 2" xfId="12882"/>
    <cellStyle name="Normal 45 2 5" xfId="12883"/>
    <cellStyle name="Normal 45 2 5 2" xfId="12884"/>
    <cellStyle name="Normal 45 2 6" xfId="12885"/>
    <cellStyle name="Normal 45 3" xfId="12886"/>
    <cellStyle name="Normal 45 3 2" xfId="12887"/>
    <cellStyle name="Normal 45 3 2 2" xfId="12888"/>
    <cellStyle name="Normal 45 3 2 2 2" xfId="12889"/>
    <cellStyle name="Normal 45 3 2 3" xfId="12890"/>
    <cellStyle name="Normal 45 3 2 3 2" xfId="12891"/>
    <cellStyle name="Normal 45 3 2 4" xfId="12892"/>
    <cellStyle name="Normal 45 3 2 5" xfId="12893"/>
    <cellStyle name="Normal 45 3 3" xfId="12894"/>
    <cellStyle name="Normal 45 3 3 2" xfId="12895"/>
    <cellStyle name="Normal 45 3 3 2 2" xfId="12896"/>
    <cellStyle name="Normal 45 3 3 3" xfId="12897"/>
    <cellStyle name="Normal 45 3 4" xfId="12898"/>
    <cellStyle name="Normal 45 3 4 2" xfId="12899"/>
    <cellStyle name="Normal 45 3 5" xfId="12900"/>
    <cellStyle name="Normal 45 3 5 2" xfId="12901"/>
    <cellStyle name="Normal 45 3 6" xfId="12902"/>
    <cellStyle name="Normal 45 3 6 2" xfId="12903"/>
    <cellStyle name="Normal 45 4" xfId="12904"/>
    <cellStyle name="Normal 45 4 2" xfId="12905"/>
    <cellStyle name="Normal 45 4 2 2" xfId="12906"/>
    <cellStyle name="Normal 45 4 2 2 2" xfId="12907"/>
    <cellStyle name="Normal 45 4 2 3" xfId="12908"/>
    <cellStyle name="Normal 45 4 2 3 2" xfId="12909"/>
    <cellStyle name="Normal 45 4 2 4" xfId="12910"/>
    <cellStyle name="Normal 45 4 2 5" xfId="12911"/>
    <cellStyle name="Normal 45 4 3" xfId="12912"/>
    <cellStyle name="Normal 45 4 3 2" xfId="12913"/>
    <cellStyle name="Normal 45 4 3 2 2" xfId="12914"/>
    <cellStyle name="Normal 45 4 3 3" xfId="12915"/>
    <cellStyle name="Normal 45 4 4" xfId="12916"/>
    <cellStyle name="Normal 45 4 4 2" xfId="12917"/>
    <cellStyle name="Normal 45 4 5" xfId="12918"/>
    <cellStyle name="Normal 45 4 5 2" xfId="12919"/>
    <cellStyle name="Normal 45 4 6" xfId="12920"/>
    <cellStyle name="Normal 45 5" xfId="12921"/>
    <cellStyle name="Normal 45 5 2" xfId="12922"/>
    <cellStyle name="Normal 45 5 2 2" xfId="12923"/>
    <cellStyle name="Normal 45 5 3" xfId="12924"/>
    <cellStyle name="Normal 45 5 3 2" xfId="12925"/>
    <cellStyle name="Normal 45 5 4" xfId="12926"/>
    <cellStyle name="Normal 45 6" xfId="12927"/>
    <cellStyle name="Normal 45 6 2" xfId="12928"/>
    <cellStyle name="Normal 45 6 3" xfId="12929"/>
    <cellStyle name="Normal 45 7" xfId="12930"/>
    <cellStyle name="Normal 45 7 2" xfId="12931"/>
    <cellStyle name="Normal 45 7 3" xfId="12932"/>
    <cellStyle name="Normal 45 7 4" xfId="12933"/>
    <cellStyle name="Normal 45 8" xfId="12934"/>
    <cellStyle name="Normal 45 8 2" xfId="12935"/>
    <cellStyle name="Normal 45 8 3" xfId="12936"/>
    <cellStyle name="Normal 45 9" xfId="12937"/>
    <cellStyle name="Normal 46" xfId="12938"/>
    <cellStyle name="Normal 46 10" xfId="12939"/>
    <cellStyle name="Normal 46 11" xfId="12940"/>
    <cellStyle name="Normal 46 2" xfId="12941"/>
    <cellStyle name="Normal 46 2 2" xfId="12942"/>
    <cellStyle name="Normal 46 2 2 2" xfId="12943"/>
    <cellStyle name="Normal 46 2 2 2 2" xfId="12944"/>
    <cellStyle name="Normal 46 2 2 3" xfId="12945"/>
    <cellStyle name="Normal 46 2 2 3 2" xfId="12946"/>
    <cellStyle name="Normal 46 2 2 4" xfId="12947"/>
    <cellStyle name="Normal 46 2 2 4 2" xfId="12948"/>
    <cellStyle name="Normal 46 2 2 5" xfId="12949"/>
    <cellStyle name="Normal 46 2 3" xfId="12950"/>
    <cellStyle name="Normal 46 2 3 2" xfId="12951"/>
    <cellStyle name="Normal 46 2 3 2 2" xfId="12952"/>
    <cellStyle name="Normal 46 2 3 3" xfId="12953"/>
    <cellStyle name="Normal 46 2 4" xfId="12954"/>
    <cellStyle name="Normal 46 2 4 2" xfId="12955"/>
    <cellStyle name="Normal 46 2 5" xfId="12956"/>
    <cellStyle name="Normal 46 2 5 2" xfId="12957"/>
    <cellStyle name="Normal 46 2 6" xfId="12958"/>
    <cellStyle name="Normal 46 3" xfId="12959"/>
    <cellStyle name="Normal 46 3 2" xfId="12960"/>
    <cellStyle name="Normal 46 3 2 2" xfId="12961"/>
    <cellStyle name="Normal 46 3 2 2 2" xfId="12962"/>
    <cellStyle name="Normal 46 3 2 3" xfId="12963"/>
    <cellStyle name="Normal 46 3 2 3 2" xfId="12964"/>
    <cellStyle name="Normal 46 3 2 4" xfId="12965"/>
    <cellStyle name="Normal 46 3 2 5" xfId="12966"/>
    <cellStyle name="Normal 46 3 3" xfId="12967"/>
    <cellStyle name="Normal 46 3 3 2" xfId="12968"/>
    <cellStyle name="Normal 46 3 3 2 2" xfId="12969"/>
    <cellStyle name="Normal 46 3 3 3" xfId="12970"/>
    <cellStyle name="Normal 46 3 4" xfId="12971"/>
    <cellStyle name="Normal 46 3 4 2" xfId="12972"/>
    <cellStyle name="Normal 46 3 5" xfId="12973"/>
    <cellStyle name="Normal 46 3 5 2" xfId="12974"/>
    <cellStyle name="Normal 46 3 6" xfId="12975"/>
    <cellStyle name="Normal 46 3 6 2" xfId="12976"/>
    <cellStyle name="Normal 46 4" xfId="12977"/>
    <cellStyle name="Normal 46 4 2" xfId="12978"/>
    <cellStyle name="Normal 46 4 2 2" xfId="12979"/>
    <cellStyle name="Normal 46 4 2 2 2" xfId="12980"/>
    <cellStyle name="Normal 46 4 2 3" xfId="12981"/>
    <cellStyle name="Normal 46 4 2 3 2" xfId="12982"/>
    <cellStyle name="Normal 46 4 2 4" xfId="12983"/>
    <cellStyle name="Normal 46 4 2 5" xfId="12984"/>
    <cellStyle name="Normal 46 4 3" xfId="12985"/>
    <cellStyle name="Normal 46 4 3 2" xfId="12986"/>
    <cellStyle name="Normal 46 4 3 2 2" xfId="12987"/>
    <cellStyle name="Normal 46 4 3 3" xfId="12988"/>
    <cellStyle name="Normal 46 4 4" xfId="12989"/>
    <cellStyle name="Normal 46 4 4 2" xfId="12990"/>
    <cellStyle name="Normal 46 4 5" xfId="12991"/>
    <cellStyle name="Normal 46 4 5 2" xfId="12992"/>
    <cellStyle name="Normal 46 4 6" xfId="12993"/>
    <cellStyle name="Normal 46 5" xfId="12994"/>
    <cellStyle name="Normal 46 5 2" xfId="12995"/>
    <cellStyle name="Normal 46 5 2 2" xfId="12996"/>
    <cellStyle name="Normal 46 5 3" xfId="12997"/>
    <cellStyle name="Normal 46 5 3 2" xfId="12998"/>
    <cellStyle name="Normal 46 5 4" xfId="12999"/>
    <cellStyle name="Normal 46 6" xfId="13000"/>
    <cellStyle name="Normal 46 6 2" xfId="13001"/>
    <cellStyle name="Normal 46 6 3" xfId="13002"/>
    <cellStyle name="Normal 46 7" xfId="13003"/>
    <cellStyle name="Normal 46 7 2" xfId="13004"/>
    <cellStyle name="Normal 46 7 3" xfId="13005"/>
    <cellStyle name="Normal 46 7 4" xfId="13006"/>
    <cellStyle name="Normal 46 8" xfId="13007"/>
    <cellStyle name="Normal 46 8 2" xfId="13008"/>
    <cellStyle name="Normal 46 8 3" xfId="13009"/>
    <cellStyle name="Normal 46 9" xfId="13010"/>
    <cellStyle name="Normal 47" xfId="13011"/>
    <cellStyle name="Normal 47 10" xfId="13012"/>
    <cellStyle name="Normal 47 11" xfId="13013"/>
    <cellStyle name="Normal 47 2" xfId="13014"/>
    <cellStyle name="Normal 47 2 2" xfId="13015"/>
    <cellStyle name="Normal 47 2 2 2" xfId="13016"/>
    <cellStyle name="Normal 47 2 2 2 2" xfId="13017"/>
    <cellStyle name="Normal 47 2 2 3" xfId="13018"/>
    <cellStyle name="Normal 47 2 2 3 2" xfId="13019"/>
    <cellStyle name="Normal 47 2 2 4" xfId="13020"/>
    <cellStyle name="Normal 47 2 2 4 2" xfId="13021"/>
    <cellStyle name="Normal 47 2 2 5" xfId="13022"/>
    <cellStyle name="Normal 47 2 3" xfId="13023"/>
    <cellStyle name="Normal 47 2 3 2" xfId="13024"/>
    <cellStyle name="Normal 47 2 3 2 2" xfId="13025"/>
    <cellStyle name="Normal 47 2 3 3" xfId="13026"/>
    <cellStyle name="Normal 47 2 4" xfId="13027"/>
    <cellStyle name="Normal 47 2 4 2" xfId="13028"/>
    <cellStyle name="Normal 47 2 5" xfId="13029"/>
    <cellStyle name="Normal 47 2 5 2" xfId="13030"/>
    <cellStyle name="Normal 47 2 6" xfId="13031"/>
    <cellStyle name="Normal 47 3" xfId="13032"/>
    <cellStyle name="Normal 47 3 2" xfId="13033"/>
    <cellStyle name="Normal 47 3 2 2" xfId="13034"/>
    <cellStyle name="Normal 47 3 2 2 2" xfId="13035"/>
    <cellStyle name="Normal 47 3 2 3" xfId="13036"/>
    <cellStyle name="Normal 47 3 2 3 2" xfId="13037"/>
    <cellStyle name="Normal 47 3 2 4" xfId="13038"/>
    <cellStyle name="Normal 47 3 2 5" xfId="13039"/>
    <cellStyle name="Normal 47 3 3" xfId="13040"/>
    <cellStyle name="Normal 47 3 3 2" xfId="13041"/>
    <cellStyle name="Normal 47 3 3 2 2" xfId="13042"/>
    <cellStyle name="Normal 47 3 3 3" xfId="13043"/>
    <cellStyle name="Normal 47 3 4" xfId="13044"/>
    <cellStyle name="Normal 47 3 4 2" xfId="13045"/>
    <cellStyle name="Normal 47 3 5" xfId="13046"/>
    <cellStyle name="Normal 47 3 5 2" xfId="13047"/>
    <cellStyle name="Normal 47 3 6" xfId="13048"/>
    <cellStyle name="Normal 47 3 6 2" xfId="13049"/>
    <cellStyle name="Normal 47 4" xfId="13050"/>
    <cellStyle name="Normal 47 4 2" xfId="13051"/>
    <cellStyle name="Normal 47 4 2 2" xfId="13052"/>
    <cellStyle name="Normal 47 4 2 2 2" xfId="13053"/>
    <cellStyle name="Normal 47 4 2 3" xfId="13054"/>
    <cellStyle name="Normal 47 4 2 3 2" xfId="13055"/>
    <cellStyle name="Normal 47 4 2 4" xfId="13056"/>
    <cellStyle name="Normal 47 4 2 5" xfId="13057"/>
    <cellStyle name="Normal 47 4 3" xfId="13058"/>
    <cellStyle name="Normal 47 4 3 2" xfId="13059"/>
    <cellStyle name="Normal 47 4 3 2 2" xfId="13060"/>
    <cellStyle name="Normal 47 4 3 3" xfId="13061"/>
    <cellStyle name="Normal 47 4 4" xfId="13062"/>
    <cellStyle name="Normal 47 4 4 2" xfId="13063"/>
    <cellStyle name="Normal 47 4 5" xfId="13064"/>
    <cellStyle name="Normal 47 4 5 2" xfId="13065"/>
    <cellStyle name="Normal 47 4 6" xfId="13066"/>
    <cellStyle name="Normal 47 5" xfId="13067"/>
    <cellStyle name="Normal 47 5 2" xfId="13068"/>
    <cellStyle name="Normal 47 5 2 2" xfId="13069"/>
    <cellStyle name="Normal 47 5 3" xfId="13070"/>
    <cellStyle name="Normal 47 5 3 2" xfId="13071"/>
    <cellStyle name="Normal 47 5 4" xfId="13072"/>
    <cellStyle name="Normal 47 6" xfId="13073"/>
    <cellStyle name="Normal 47 6 2" xfId="13074"/>
    <cellStyle name="Normal 47 6 3" xfId="13075"/>
    <cellStyle name="Normal 47 7" xfId="13076"/>
    <cellStyle name="Normal 47 7 2" xfId="13077"/>
    <cellStyle name="Normal 47 7 3" xfId="13078"/>
    <cellStyle name="Normal 47 7 4" xfId="13079"/>
    <cellStyle name="Normal 47 8" xfId="13080"/>
    <cellStyle name="Normal 47 8 2" xfId="13081"/>
    <cellStyle name="Normal 47 8 3" xfId="13082"/>
    <cellStyle name="Normal 47 9" xfId="13083"/>
    <cellStyle name="Normal 48" xfId="13084"/>
    <cellStyle name="Normal 48 2" xfId="13085"/>
    <cellStyle name="Normal 48 2 2" xfId="13086"/>
    <cellStyle name="Normal 48 2 2 2" xfId="13087"/>
    <cellStyle name="Normal 48 2 2 2 2" xfId="13088"/>
    <cellStyle name="Normal 48 2 2 3" xfId="13089"/>
    <cellStyle name="Normal 48 2 2 3 2" xfId="13090"/>
    <cellStyle name="Normal 48 2 2 4" xfId="13091"/>
    <cellStyle name="Normal 48 2 2 4 2" xfId="13092"/>
    <cellStyle name="Normal 48 2 2 5" xfId="13093"/>
    <cellStyle name="Normal 48 2 3" xfId="13094"/>
    <cellStyle name="Normal 48 2 3 2" xfId="13095"/>
    <cellStyle name="Normal 48 2 3 2 2" xfId="13096"/>
    <cellStyle name="Normal 48 2 3 3" xfId="13097"/>
    <cellStyle name="Normal 48 2 4" xfId="13098"/>
    <cellStyle name="Normal 48 2 4 2" xfId="13099"/>
    <cellStyle name="Normal 48 2 5" xfId="13100"/>
    <cellStyle name="Normal 48 2 5 2" xfId="13101"/>
    <cellStyle name="Normal 48 2 6" xfId="13102"/>
    <cellStyle name="Normal 48 3" xfId="13103"/>
    <cellStyle name="Normal 48 3 2" xfId="13104"/>
    <cellStyle name="Normal 48 3 2 2" xfId="13105"/>
    <cellStyle name="Normal 48 3 2 2 2" xfId="13106"/>
    <cellStyle name="Normal 48 3 2 3" xfId="13107"/>
    <cellStyle name="Normal 48 3 2 3 2" xfId="13108"/>
    <cellStyle name="Normal 48 3 2 4" xfId="13109"/>
    <cellStyle name="Normal 48 3 2 5" xfId="13110"/>
    <cellStyle name="Normal 48 3 3" xfId="13111"/>
    <cellStyle name="Normal 48 3 3 2" xfId="13112"/>
    <cellStyle name="Normal 48 3 3 2 2" xfId="13113"/>
    <cellStyle name="Normal 48 3 3 3" xfId="13114"/>
    <cellStyle name="Normal 48 3 4" xfId="13115"/>
    <cellStyle name="Normal 48 3 4 2" xfId="13116"/>
    <cellStyle name="Normal 48 3 5" xfId="13117"/>
    <cellStyle name="Normal 48 3 5 2" xfId="13118"/>
    <cellStyle name="Normal 48 3 6" xfId="13119"/>
    <cellStyle name="Normal 48 4" xfId="13120"/>
    <cellStyle name="Normal 48 4 2" xfId="13121"/>
    <cellStyle name="Normal 48 4 2 2" xfId="13122"/>
    <cellStyle name="Normal 48 4 3" xfId="13123"/>
    <cellStyle name="Normal 48 4 3 2" xfId="13124"/>
    <cellStyle name="Normal 48 4 4" xfId="13125"/>
    <cellStyle name="Normal 48 5" xfId="13126"/>
    <cellStyle name="Normal 48 5 2" xfId="13127"/>
    <cellStyle name="Normal 48 5 3" xfId="13128"/>
    <cellStyle name="Normal 48 6" xfId="13129"/>
    <cellStyle name="Normal 48 6 2" xfId="13130"/>
    <cellStyle name="Normal 48 6 3" xfId="13131"/>
    <cellStyle name="Normal 48 6 4" xfId="13132"/>
    <cellStyle name="Normal 48 7" xfId="13133"/>
    <cellStyle name="Normal 48 7 2" xfId="13134"/>
    <cellStyle name="Normal 48 7 3" xfId="13135"/>
    <cellStyle name="Normal 48 8" xfId="13136"/>
    <cellStyle name="Normal 48 9" xfId="13137"/>
    <cellStyle name="Normal 49" xfId="13138"/>
    <cellStyle name="Normal 49 2" xfId="13139"/>
    <cellStyle name="Normal 49 2 2" xfId="13140"/>
    <cellStyle name="Normal 49 2 2 2" xfId="13141"/>
    <cellStyle name="Normal 49 2 2 2 2" xfId="13142"/>
    <cellStyle name="Normal 49 2 2 3" xfId="13143"/>
    <cellStyle name="Normal 49 2 2 3 2" xfId="13144"/>
    <cellStyle name="Normal 49 2 2 4" xfId="13145"/>
    <cellStyle name="Normal 49 2 2 4 2" xfId="13146"/>
    <cellStyle name="Normal 49 2 2 5" xfId="13147"/>
    <cellStyle name="Normal 49 2 3" xfId="13148"/>
    <cellStyle name="Normal 49 2 3 2" xfId="13149"/>
    <cellStyle name="Normal 49 2 3 2 2" xfId="13150"/>
    <cellStyle name="Normal 49 2 3 3" xfId="13151"/>
    <cellStyle name="Normal 49 2 4" xfId="13152"/>
    <cellStyle name="Normal 49 2 4 2" xfId="13153"/>
    <cellStyle name="Normal 49 2 5" xfId="13154"/>
    <cellStyle name="Normal 49 2 5 2" xfId="13155"/>
    <cellStyle name="Normal 49 2 6" xfId="13156"/>
    <cellStyle name="Normal 49 3" xfId="13157"/>
    <cellStyle name="Normal 49 3 2" xfId="13158"/>
    <cellStyle name="Normal 49 3 2 2" xfId="13159"/>
    <cellStyle name="Normal 49 3 2 2 2" xfId="13160"/>
    <cellStyle name="Normal 49 3 2 3" xfId="13161"/>
    <cellStyle name="Normal 49 3 2 3 2" xfId="13162"/>
    <cellStyle name="Normal 49 3 2 4" xfId="13163"/>
    <cellStyle name="Normal 49 3 2 5" xfId="13164"/>
    <cellStyle name="Normal 49 3 3" xfId="13165"/>
    <cellStyle name="Normal 49 3 3 2" xfId="13166"/>
    <cellStyle name="Normal 49 3 3 2 2" xfId="13167"/>
    <cellStyle name="Normal 49 3 3 3" xfId="13168"/>
    <cellStyle name="Normal 49 3 4" xfId="13169"/>
    <cellStyle name="Normal 49 3 4 2" xfId="13170"/>
    <cellStyle name="Normal 49 3 5" xfId="13171"/>
    <cellStyle name="Normal 49 3 5 2" xfId="13172"/>
    <cellStyle name="Normal 49 3 6" xfId="13173"/>
    <cellStyle name="Normal 49 4" xfId="13174"/>
    <cellStyle name="Normal 49 4 2" xfId="13175"/>
    <cellStyle name="Normal 49 4 2 2" xfId="13176"/>
    <cellStyle name="Normal 49 4 3" xfId="13177"/>
    <cellStyle name="Normal 49 4 3 2" xfId="13178"/>
    <cellStyle name="Normal 49 4 4" xfId="13179"/>
    <cellStyle name="Normal 49 5" xfId="13180"/>
    <cellStyle name="Normal 49 5 2" xfId="13181"/>
    <cellStyle name="Normal 49 5 3" xfId="13182"/>
    <cellStyle name="Normal 49 6" xfId="13183"/>
    <cellStyle name="Normal 49 6 2" xfId="13184"/>
    <cellStyle name="Normal 49 6 3" xfId="13185"/>
    <cellStyle name="Normal 49 6 4" xfId="13186"/>
    <cellStyle name="Normal 49 7" xfId="13187"/>
    <cellStyle name="Normal 49 7 2" xfId="13188"/>
    <cellStyle name="Normal 49 7 3" xfId="13189"/>
    <cellStyle name="Normal 49 8" xfId="13190"/>
    <cellStyle name="Normal 49 9" xfId="13191"/>
    <cellStyle name="Normal 5" xfId="13192"/>
    <cellStyle name="Normal 5 10" xfId="13193"/>
    <cellStyle name="Normal 5 10 2" xfId="13194"/>
    <cellStyle name="Normal 5 10 3" xfId="13195"/>
    <cellStyle name="Normal 5 11" xfId="13196"/>
    <cellStyle name="Normal 5 11 2" xfId="13197"/>
    <cellStyle name="Normal 5 11 2 2" xfId="13198"/>
    <cellStyle name="Normal 5 11 3" xfId="13199"/>
    <cellStyle name="Normal 5 12" xfId="13200"/>
    <cellStyle name="Normal 5 12 2" xfId="13201"/>
    <cellStyle name="Normal 5 13" xfId="13202"/>
    <cellStyle name="Normal 5 14" xfId="13203"/>
    <cellStyle name="Normal 5 15" xfId="13204"/>
    <cellStyle name="Normal 5 2" xfId="13205"/>
    <cellStyle name="Normal 5 2 10" xfId="13206"/>
    <cellStyle name="Normal 5 2 11" xfId="13207"/>
    <cellStyle name="Normal 5 2 2" xfId="13208"/>
    <cellStyle name="Normal 5 2 2 2" xfId="13209"/>
    <cellStyle name="Normal 5 2 2 2 2" xfId="13210"/>
    <cellStyle name="Normal 5 2 2 2 2 2" xfId="13211"/>
    <cellStyle name="Normal 5 2 2 2 3" xfId="13212"/>
    <cellStyle name="Normal 5 2 2 2 3 2" xfId="13213"/>
    <cellStyle name="Normal 5 2 2 2 4" xfId="13214"/>
    <cellStyle name="Normal 5 2 2 2 5" xfId="13215"/>
    <cellStyle name="Normal 5 2 2 3" xfId="13216"/>
    <cellStyle name="Normal 5 2 2 3 2" xfId="13217"/>
    <cellStyle name="Normal 5 2 2 3 2 2" xfId="13218"/>
    <cellStyle name="Normal 5 2 2 3 3" xfId="13219"/>
    <cellStyle name="Normal 5 2 2 4" xfId="13220"/>
    <cellStyle name="Normal 5 2 2 4 2" xfId="13221"/>
    <cellStyle name="Normal 5 2 2 5" xfId="13222"/>
    <cellStyle name="Normal 5 2 2 5 2" xfId="13223"/>
    <cellStyle name="Normal 5 2 2 6" xfId="13224"/>
    <cellStyle name="Normal 5 2 3" xfId="13225"/>
    <cellStyle name="Normal 5 2 3 2" xfId="13226"/>
    <cellStyle name="Normal 5 2 3 2 2" xfId="13227"/>
    <cellStyle name="Normal 5 2 3 2 2 2" xfId="13228"/>
    <cellStyle name="Normal 5 2 3 2 3" xfId="13229"/>
    <cellStyle name="Normal 5 2 3 2 3 2" xfId="13230"/>
    <cellStyle name="Normal 5 2 3 2 4" xfId="13231"/>
    <cellStyle name="Normal 5 2 3 2 5" xfId="13232"/>
    <cellStyle name="Normal 5 2 3 3" xfId="13233"/>
    <cellStyle name="Normal 5 2 3 3 2" xfId="13234"/>
    <cellStyle name="Normal 5 2 3 3 2 2" xfId="13235"/>
    <cellStyle name="Normal 5 2 3 3 3" xfId="13236"/>
    <cellStyle name="Normal 5 2 3 4" xfId="13237"/>
    <cellStyle name="Normal 5 2 3 4 2" xfId="13238"/>
    <cellStyle name="Normal 5 2 3 5" xfId="13239"/>
    <cellStyle name="Normal 5 2 3 5 2" xfId="13240"/>
    <cellStyle name="Normal 5 2 3 6" xfId="13241"/>
    <cellStyle name="Normal 5 2 4" xfId="13242"/>
    <cellStyle name="Normal 5 2 4 2" xfId="13243"/>
    <cellStyle name="Normal 5 2 4 2 2" xfId="13244"/>
    <cellStyle name="Normal 5 2 4 2 2 2" xfId="13245"/>
    <cellStyle name="Normal 5 2 4 2 3" xfId="13246"/>
    <cellStyle name="Normal 5 2 4 2 3 2" xfId="13247"/>
    <cellStyle name="Normal 5 2 4 2 4" xfId="13248"/>
    <cellStyle name="Normal 5 2 4 2 5" xfId="13249"/>
    <cellStyle name="Normal 5 2 4 3" xfId="13250"/>
    <cellStyle name="Normal 5 2 4 3 2" xfId="13251"/>
    <cellStyle name="Normal 5 2 4 3 2 2" xfId="13252"/>
    <cellStyle name="Normal 5 2 4 3 3" xfId="13253"/>
    <cellStyle name="Normal 5 2 4 4" xfId="13254"/>
    <cellStyle name="Normal 5 2 4 4 2" xfId="13255"/>
    <cellStyle name="Normal 5 2 4 5" xfId="13256"/>
    <cellStyle name="Normal 5 2 4 5 2" xfId="13257"/>
    <cellStyle name="Normal 5 2 4 6" xfId="13258"/>
    <cellStyle name="Normal 5 2 5" xfId="13259"/>
    <cellStyle name="Normal 5 2 5 2" xfId="13260"/>
    <cellStyle name="Normal 5 2 5 2 2" xfId="13261"/>
    <cellStyle name="Normal 5 2 5 2 2 2" xfId="13262"/>
    <cellStyle name="Normal 5 2 5 2 3" xfId="13263"/>
    <cellStyle name="Normal 5 2 5 3" xfId="13264"/>
    <cellStyle name="Normal 5 2 5 3 2" xfId="13265"/>
    <cellStyle name="Normal 5 2 5 4" xfId="13266"/>
    <cellStyle name="Normal 5 2 5 4 2" xfId="13267"/>
    <cellStyle name="Normal 5 2 5 5" xfId="13268"/>
    <cellStyle name="Normal 5 2 6" xfId="13269"/>
    <cellStyle name="Normal 5 2 6 2" xfId="13270"/>
    <cellStyle name="Normal 5 2 6 2 2" xfId="13271"/>
    <cellStyle name="Normal 5 2 6 3" xfId="13272"/>
    <cellStyle name="Normal 5 2 6 3 2" xfId="13273"/>
    <cellStyle name="Normal 5 2 6 4" xfId="13274"/>
    <cellStyle name="Normal 5 2 7" xfId="13275"/>
    <cellStyle name="Normal 5 2 7 2" xfId="13276"/>
    <cellStyle name="Normal 5 2 7 2 2" xfId="13277"/>
    <cellStyle name="Normal 5 2 7 3" xfId="13278"/>
    <cellStyle name="Normal 5 2 8" xfId="13279"/>
    <cellStyle name="Normal 5 2 8 2" xfId="13280"/>
    <cellStyle name="Normal 5 2 8 3" xfId="13281"/>
    <cellStyle name="Normal 5 2 9" xfId="13282"/>
    <cellStyle name="Normal 5 2 9 2" xfId="13283"/>
    <cellStyle name="Normal 5 3" xfId="13284"/>
    <cellStyle name="Normal 5 3 2" xfId="13285"/>
    <cellStyle name="Normal 5 3 3" xfId="13286"/>
    <cellStyle name="Normal 5 3 4" xfId="13287"/>
    <cellStyle name="Normal 5 3 5" xfId="13288"/>
    <cellStyle name="Normal 5 3 5 2" xfId="13289"/>
    <cellStyle name="Normal 5 3 5 2 2" xfId="13290"/>
    <cellStyle name="Normal 5 3 5 3" xfId="13291"/>
    <cellStyle name="Normal 5 3 5 3 2" xfId="13292"/>
    <cellStyle name="Normal 5 3 5 4" xfId="13293"/>
    <cellStyle name="Normal 5 3 5 5" xfId="13294"/>
    <cellStyle name="Normal 5 3 6" xfId="13295"/>
    <cellStyle name="Normal 5 3 6 2" xfId="13296"/>
    <cellStyle name="Normal 5 3 7" xfId="13297"/>
    <cellStyle name="Normal 5 4" xfId="13298"/>
    <cellStyle name="Normal 5 4 10" xfId="13299"/>
    <cellStyle name="Normal 5 4 2" xfId="13300"/>
    <cellStyle name="Normal 5 4 2 2" xfId="13301"/>
    <cellStyle name="Normal 5 4 2 2 2" xfId="13302"/>
    <cellStyle name="Normal 5 4 2 2 2 2" xfId="13303"/>
    <cellStyle name="Normal 5 4 2 2 3" xfId="13304"/>
    <cellStyle name="Normal 5 4 2 2 3 2" xfId="13305"/>
    <cellStyle name="Normal 5 4 2 2 4" xfId="13306"/>
    <cellStyle name="Normal 5 4 2 2 5" xfId="13307"/>
    <cellStyle name="Normal 5 4 2 3" xfId="13308"/>
    <cellStyle name="Normal 5 4 2 3 2" xfId="13309"/>
    <cellStyle name="Normal 5 4 2 3 2 2" xfId="13310"/>
    <cellStyle name="Normal 5 4 2 3 3" xfId="13311"/>
    <cellStyle name="Normal 5 4 2 4" xfId="13312"/>
    <cellStyle name="Normal 5 4 2 4 2" xfId="13313"/>
    <cellStyle name="Normal 5 4 2 5" xfId="13314"/>
    <cellStyle name="Normal 5 4 2 5 2" xfId="13315"/>
    <cellStyle name="Normal 5 4 2 6" xfId="13316"/>
    <cellStyle name="Normal 5 4 3" xfId="13317"/>
    <cellStyle name="Normal 5 4 3 2" xfId="13318"/>
    <cellStyle name="Normal 5 4 3 2 2" xfId="13319"/>
    <cellStyle name="Normal 5 4 3 2 2 2" xfId="13320"/>
    <cellStyle name="Normal 5 4 3 2 3" xfId="13321"/>
    <cellStyle name="Normal 5 4 3 3" xfId="13322"/>
    <cellStyle name="Normal 5 4 3 3 2" xfId="13323"/>
    <cellStyle name="Normal 5 4 3 4" xfId="13324"/>
    <cellStyle name="Normal 5 4 3 4 2" xfId="13325"/>
    <cellStyle name="Normal 5 4 3 5" xfId="13326"/>
    <cellStyle name="Normal 5 4 4" xfId="13327"/>
    <cellStyle name="Normal 5 4 4 2" xfId="13328"/>
    <cellStyle name="Normal 5 4 4 2 2" xfId="13329"/>
    <cellStyle name="Normal 5 4 4 3" xfId="13330"/>
    <cellStyle name="Normal 5 4 4 3 2" xfId="13331"/>
    <cellStyle name="Normal 5 4 4 4" xfId="13332"/>
    <cellStyle name="Normal 5 4 4 4 2" xfId="13333"/>
    <cellStyle name="Normal 5 4 4 5" xfId="13334"/>
    <cellStyle name="Normal 5 4 5" xfId="13335"/>
    <cellStyle name="Normal 5 4 5 2" xfId="13336"/>
    <cellStyle name="Normal 5 4 5 2 2" xfId="13337"/>
    <cellStyle name="Normal 5 4 5 3" xfId="13338"/>
    <cellStyle name="Normal 5 4 6" xfId="13339"/>
    <cellStyle name="Normal 5 4 6 2" xfId="13340"/>
    <cellStyle name="Normal 5 4 6 2 2" xfId="13341"/>
    <cellStyle name="Normal 5 4 6 3" xfId="13342"/>
    <cellStyle name="Normal 5 4 7" xfId="13343"/>
    <cellStyle name="Normal 5 4 7 2" xfId="13344"/>
    <cellStyle name="Normal 5 4 8" xfId="13345"/>
    <cellStyle name="Normal 5 4 9" xfId="13346"/>
    <cellStyle name="Normal 5 5" xfId="13347"/>
    <cellStyle name="Normal 5 5 2" xfId="13348"/>
    <cellStyle name="Normal 5 5 2 2" xfId="13349"/>
    <cellStyle name="Normal 5 5 2 2 2" xfId="13350"/>
    <cellStyle name="Normal 5 5 2 2 2 2" xfId="13351"/>
    <cellStyle name="Normal 5 5 2 2 3" xfId="13352"/>
    <cellStyle name="Normal 5 5 2 2 3 2" xfId="13353"/>
    <cellStyle name="Normal 5 5 2 2 4" xfId="13354"/>
    <cellStyle name="Normal 5 5 2 2 5" xfId="13355"/>
    <cellStyle name="Normal 5 5 2 3" xfId="13356"/>
    <cellStyle name="Normal 5 5 2 3 2" xfId="13357"/>
    <cellStyle name="Normal 5 5 2 3 2 2" xfId="13358"/>
    <cellStyle name="Normal 5 5 2 3 3" xfId="13359"/>
    <cellStyle name="Normal 5 5 2 4" xfId="13360"/>
    <cellStyle name="Normal 5 5 2 4 2" xfId="13361"/>
    <cellStyle name="Normal 5 5 2 5" xfId="13362"/>
    <cellStyle name="Normal 5 5 2 5 2" xfId="13363"/>
    <cellStyle name="Normal 5 5 2 6" xfId="13364"/>
    <cellStyle name="Normal 5 5 3" xfId="13365"/>
    <cellStyle name="Normal 5 5 3 2" xfId="13366"/>
    <cellStyle name="Normal 5 5 3 2 2" xfId="13367"/>
    <cellStyle name="Normal 5 5 3 2 2 2" xfId="13368"/>
    <cellStyle name="Normal 5 5 3 2 3" xfId="13369"/>
    <cellStyle name="Normal 5 5 3 3" xfId="13370"/>
    <cellStyle name="Normal 5 5 3 3 2" xfId="13371"/>
    <cellStyle name="Normal 5 5 3 4" xfId="13372"/>
    <cellStyle name="Normal 5 5 3 4 2" xfId="13373"/>
    <cellStyle name="Normal 5 5 3 5" xfId="13374"/>
    <cellStyle name="Normal 5 5 4" xfId="13375"/>
    <cellStyle name="Normal 5 5 4 2" xfId="13376"/>
    <cellStyle name="Normal 5 5 4 2 2" xfId="13377"/>
    <cellStyle name="Normal 5 5 4 3" xfId="13378"/>
    <cellStyle name="Normal 5 5 4 3 2" xfId="13379"/>
    <cellStyle name="Normal 5 5 4 4" xfId="13380"/>
    <cellStyle name="Normal 5 5 5" xfId="13381"/>
    <cellStyle name="Normal 5 5 5 2" xfId="13382"/>
    <cellStyle name="Normal 5 5 5 2 2" xfId="13383"/>
    <cellStyle name="Normal 5 5 5 3" xfId="13384"/>
    <cellStyle name="Normal 5 5 6" xfId="13385"/>
    <cellStyle name="Normal 5 5 6 2" xfId="13386"/>
    <cellStyle name="Normal 5 5 6 3" xfId="13387"/>
    <cellStyle name="Normal 5 5 7" xfId="13388"/>
    <cellStyle name="Normal 5 5 7 2" xfId="13389"/>
    <cellStyle name="Normal 5 5 8" xfId="13390"/>
    <cellStyle name="Normal 5 5 9" xfId="13391"/>
    <cellStyle name="Normal 5 6" xfId="13392"/>
    <cellStyle name="Normal 5 6 2" xfId="13393"/>
    <cellStyle name="Normal 5 6 2 2" xfId="13394"/>
    <cellStyle name="Normal 5 6 2 2 2" xfId="13395"/>
    <cellStyle name="Normal 5 6 2 2 2 2" xfId="13396"/>
    <cellStyle name="Normal 5 6 2 2 3" xfId="13397"/>
    <cellStyle name="Normal 5 6 2 3" xfId="13398"/>
    <cellStyle name="Normal 5 6 2 3 2" xfId="13399"/>
    <cellStyle name="Normal 5 6 2 4" xfId="13400"/>
    <cellStyle name="Normal 5 6 2 4 2" xfId="13401"/>
    <cellStyle name="Normal 5 6 2 5" xfId="13402"/>
    <cellStyle name="Normal 5 6 3" xfId="13403"/>
    <cellStyle name="Normal 5 6 3 2" xfId="13404"/>
    <cellStyle name="Normal 5 6 3 2 2" xfId="13405"/>
    <cellStyle name="Normal 5 6 3 3" xfId="13406"/>
    <cellStyle name="Normal 5 6 3 3 2" xfId="13407"/>
    <cellStyle name="Normal 5 6 3 4" xfId="13408"/>
    <cellStyle name="Normal 5 6 4" xfId="13409"/>
    <cellStyle name="Normal 5 6 4 2" xfId="13410"/>
    <cellStyle name="Normal 5 6 4 2 2" xfId="13411"/>
    <cellStyle name="Normal 5 6 4 3" xfId="13412"/>
    <cellStyle name="Normal 5 6 5" xfId="13413"/>
    <cellStyle name="Normal 5 6 5 2" xfId="13414"/>
    <cellStyle name="Normal 5 6 5 3" xfId="13415"/>
    <cellStyle name="Normal 5 6 6" xfId="13416"/>
    <cellStyle name="Normal 5 6 6 2" xfId="13417"/>
    <cellStyle name="Normal 5 6 7" xfId="13418"/>
    <cellStyle name="Normal 5 6 8" xfId="13419"/>
    <cellStyle name="Normal 5 7" xfId="13420"/>
    <cellStyle name="Normal 5 7 2" xfId="13421"/>
    <cellStyle name="Normal 5 7 2 2" xfId="13422"/>
    <cellStyle name="Normal 5 7 3" xfId="13423"/>
    <cellStyle name="Normal 5 7 3 2" xfId="13424"/>
    <cellStyle name="Normal 5 7 4" xfId="13425"/>
    <cellStyle name="Normal 5 8" xfId="13426"/>
    <cellStyle name="Normal 5 8 2" xfId="13427"/>
    <cellStyle name="Normal 5 8 3" xfId="13428"/>
    <cellStyle name="Normal 5 9" xfId="13429"/>
    <cellStyle name="Normal 5 9 2" xfId="13430"/>
    <cellStyle name="Normal 5 9 3" xfId="13431"/>
    <cellStyle name="Normal 50" xfId="13432"/>
    <cellStyle name="Normal 50 2" xfId="13433"/>
    <cellStyle name="Normal 50 2 2" xfId="13434"/>
    <cellStyle name="Normal 50 2 2 2" xfId="13435"/>
    <cellStyle name="Normal 50 2 2 2 2" xfId="13436"/>
    <cellStyle name="Normal 50 2 2 3" xfId="13437"/>
    <cellStyle name="Normal 50 2 2 3 2" xfId="13438"/>
    <cellStyle name="Normal 50 2 2 4" xfId="13439"/>
    <cellStyle name="Normal 50 2 2 4 2" xfId="13440"/>
    <cellStyle name="Normal 50 2 2 5" xfId="13441"/>
    <cellStyle name="Normal 50 2 3" xfId="13442"/>
    <cellStyle name="Normal 50 2 3 2" xfId="13443"/>
    <cellStyle name="Normal 50 2 3 2 2" xfId="13444"/>
    <cellStyle name="Normal 50 2 3 3" xfId="13445"/>
    <cellStyle name="Normal 50 2 4" xfId="13446"/>
    <cellStyle name="Normal 50 2 4 2" xfId="13447"/>
    <cellStyle name="Normal 50 2 5" xfId="13448"/>
    <cellStyle name="Normal 50 2 5 2" xfId="13449"/>
    <cellStyle name="Normal 50 2 6" xfId="13450"/>
    <cellStyle name="Normal 50 3" xfId="13451"/>
    <cellStyle name="Normal 50 3 2" xfId="13452"/>
    <cellStyle name="Normal 50 3 2 2" xfId="13453"/>
    <cellStyle name="Normal 50 3 3" xfId="13454"/>
    <cellStyle name="Normal 50 3 3 2" xfId="13455"/>
    <cellStyle name="Normal 50 3 4" xfId="13456"/>
    <cellStyle name="Normal 50 4" xfId="13457"/>
    <cellStyle name="Normal 50 4 2" xfId="13458"/>
    <cellStyle name="Normal 50 4 3" xfId="13459"/>
    <cellStyle name="Normal 50 5" xfId="13460"/>
    <cellStyle name="Normal 50 5 2" xfId="13461"/>
    <cellStyle name="Normal 50 5 3" xfId="13462"/>
    <cellStyle name="Normal 50 5 4" xfId="13463"/>
    <cellStyle name="Normal 50 6" xfId="13464"/>
    <cellStyle name="Normal 50 6 2" xfId="13465"/>
    <cellStyle name="Normal 50 6 3" xfId="13466"/>
    <cellStyle name="Normal 50 7" xfId="13467"/>
    <cellStyle name="Normal 50 8" xfId="13468"/>
    <cellStyle name="Normal 51" xfId="13469"/>
    <cellStyle name="Normal 51 2" xfId="13470"/>
    <cellStyle name="Normal 51 2 2" xfId="13471"/>
    <cellStyle name="Normal 51 2 2 2" xfId="13472"/>
    <cellStyle name="Normal 51 2 3" xfId="13473"/>
    <cellStyle name="Normal 51 2 3 2" xfId="13474"/>
    <cellStyle name="Normal 51 2 4" xfId="13475"/>
    <cellStyle name="Normal 51 3" xfId="13476"/>
    <cellStyle name="Normal 51 3 2" xfId="13477"/>
    <cellStyle name="Normal 51 3 3" xfId="13478"/>
    <cellStyle name="Normal 51 4" xfId="13479"/>
    <cellStyle name="Normal 51 4 2" xfId="13480"/>
    <cellStyle name="Normal 51 4 3" xfId="13481"/>
    <cellStyle name="Normal 51 4 4" xfId="13482"/>
    <cellStyle name="Normal 51 5" xfId="13483"/>
    <cellStyle name="Normal 51 5 2" xfId="13484"/>
    <cellStyle name="Normal 51 5 3" xfId="13485"/>
    <cellStyle name="Normal 51 6" xfId="13486"/>
    <cellStyle name="Normal 51 7" xfId="13487"/>
    <cellStyle name="Normal 52" xfId="13488"/>
    <cellStyle name="Normal 52 2" xfId="13489"/>
    <cellStyle name="Normal 52 2 2" xfId="13490"/>
    <cellStyle name="Normal 52 2 3" xfId="13491"/>
    <cellStyle name="Normal 52 3" xfId="13492"/>
    <cellStyle name="Normal 52 3 2" xfId="13493"/>
    <cellStyle name="Normal 52 4" xfId="13494"/>
    <cellStyle name="Normal 52 5" xfId="13495"/>
    <cellStyle name="Normal 53" xfId="13496"/>
    <cellStyle name="Normal 53 2" xfId="13497"/>
    <cellStyle name="Normal 53 2 2" xfId="13498"/>
    <cellStyle name="Normal 53 2 3" xfId="13499"/>
    <cellStyle name="Normal 53 3" xfId="13500"/>
    <cellStyle name="Normal 54" xfId="13501"/>
    <cellStyle name="Normal 54 2" xfId="13502"/>
    <cellStyle name="Normal 54 3" xfId="13503"/>
    <cellStyle name="Normal 54 4" xfId="13504"/>
    <cellStyle name="Normal 55" xfId="13505"/>
    <cellStyle name="Normal 55 2" xfId="13506"/>
    <cellStyle name="Normal 55 3" xfId="13507"/>
    <cellStyle name="Normal 56" xfId="13508"/>
    <cellStyle name="Normal 56 2" xfId="13509"/>
    <cellStyle name="Normal 56 3" xfId="13510"/>
    <cellStyle name="Normal 57" xfId="13511"/>
    <cellStyle name="Normal 57 2" xfId="13512"/>
    <cellStyle name="Normal 57 3" xfId="13513"/>
    <cellStyle name="Normal 58" xfId="13514"/>
    <cellStyle name="Normal 58 2" xfId="13515"/>
    <cellStyle name="Normal 58 3" xfId="13516"/>
    <cellStyle name="Normal 59" xfId="13517"/>
    <cellStyle name="Normal 59 2" xfId="13518"/>
    <cellStyle name="Normal 59 3" xfId="13519"/>
    <cellStyle name="Normal 6" xfId="13520"/>
    <cellStyle name="Normal 6 10" xfId="13521"/>
    <cellStyle name="Normal 6 10 2" xfId="13522"/>
    <cellStyle name="Normal 6 11" xfId="13523"/>
    <cellStyle name="Normal 6 12" xfId="13524"/>
    <cellStyle name="Normal 6 12 2" xfId="13525"/>
    <cellStyle name="Normal 6 13" xfId="13526"/>
    <cellStyle name="Normal 6 2" xfId="13527"/>
    <cellStyle name="Normal 6 2 2" xfId="13528"/>
    <cellStyle name="Normal 6 2 2 2" xfId="13529"/>
    <cellStyle name="Normal 6 2 2 2 2" xfId="13530"/>
    <cellStyle name="Normal 6 2 2 2 3" xfId="13531"/>
    <cellStyle name="Normal 6 2 2 3" xfId="13532"/>
    <cellStyle name="Normal 6 2 2 3 2" xfId="13533"/>
    <cellStyle name="Normal 6 2 2 4" xfId="13534"/>
    <cellStyle name="Normal 6 2 2 5" xfId="13535"/>
    <cellStyle name="Normal 6 2 3" xfId="13536"/>
    <cellStyle name="Normal 6 2 3 2" xfId="13537"/>
    <cellStyle name="Normal 6 2 3 2 2" xfId="13538"/>
    <cellStyle name="Normal 6 2 3 3" xfId="13539"/>
    <cellStyle name="Normal 6 2 3 4" xfId="13540"/>
    <cellStyle name="Normal 6 2 4" xfId="13541"/>
    <cellStyle name="Normal 6 2 4 2" xfId="13542"/>
    <cellStyle name="Normal 6 2 4 2 2" xfId="13543"/>
    <cellStyle name="Normal 6 2 4 3" xfId="13544"/>
    <cellStyle name="Normal 6 2 4 4" xfId="13545"/>
    <cellStyle name="Normal 6 2 5" xfId="13546"/>
    <cellStyle name="Normal 6 2 5 2" xfId="13547"/>
    <cellStyle name="Normal 6 2 6" xfId="13548"/>
    <cellStyle name="Normal 6 2 6 2" xfId="13549"/>
    <cellStyle name="Normal 6 2 7" xfId="13550"/>
    <cellStyle name="Normal 6 2 8" xfId="13551"/>
    <cellStyle name="Normal 6 2 9" xfId="13552"/>
    <cellStyle name="Normal 6 3" xfId="13553"/>
    <cellStyle name="Normal 6 3 2" xfId="13554"/>
    <cellStyle name="Normal 6 3 2 2" xfId="13555"/>
    <cellStyle name="Normal 6 3 2 2 2" xfId="13556"/>
    <cellStyle name="Normal 6 3 2 2 3" xfId="13557"/>
    <cellStyle name="Normal 6 3 2 3" xfId="13558"/>
    <cellStyle name="Normal 6 3 2 3 2" xfId="13559"/>
    <cellStyle name="Normal 6 3 2 4" xfId="13560"/>
    <cellStyle name="Normal 6 3 2 5" xfId="13561"/>
    <cellStyle name="Normal 6 3 3" xfId="13562"/>
    <cellStyle name="Normal 6 3 3 2" xfId="13563"/>
    <cellStyle name="Normal 6 3 3 2 2" xfId="13564"/>
    <cellStyle name="Normal 6 3 3 3" xfId="13565"/>
    <cellStyle name="Normal 6 3 3 4" xfId="13566"/>
    <cellStyle name="Normal 6 3 4" xfId="13567"/>
    <cellStyle name="Normal 6 3 4 2" xfId="13568"/>
    <cellStyle name="Normal 6 3 5" xfId="13569"/>
    <cellStyle name="Normal 6 3 5 2" xfId="13570"/>
    <cellStyle name="Normal 6 3 6" xfId="13571"/>
    <cellStyle name="Normal 6 3 7" xfId="13572"/>
    <cellStyle name="Normal 6 4" xfId="13573"/>
    <cellStyle name="Normal 6 4 2" xfId="13574"/>
    <cellStyle name="Normal 6 4 2 2" xfId="13575"/>
    <cellStyle name="Normal 6 4 2 2 2" xfId="13576"/>
    <cellStyle name="Normal 6 4 2 2 3" xfId="13577"/>
    <cellStyle name="Normal 6 4 2 3" xfId="13578"/>
    <cellStyle name="Normal 6 4 2 3 2" xfId="13579"/>
    <cellStyle name="Normal 6 4 2 4" xfId="13580"/>
    <cellStyle name="Normal 6 4 2 5" xfId="13581"/>
    <cellStyle name="Normal 6 4 3" xfId="13582"/>
    <cellStyle name="Normal 6 4 3 2" xfId="13583"/>
    <cellStyle name="Normal 6 4 3 3" xfId="13584"/>
    <cellStyle name="Normal 6 4 4" xfId="13585"/>
    <cellStyle name="Normal 6 4 4 2" xfId="13586"/>
    <cellStyle name="Normal 6 4 5" xfId="13587"/>
    <cellStyle name="Normal 6 4 5 2" xfId="13588"/>
    <cellStyle name="Normal 6 4 6" xfId="13589"/>
    <cellStyle name="Normal 6 4 7" xfId="13590"/>
    <cellStyle name="Normal 6 5" xfId="13591"/>
    <cellStyle name="Normal 6 5 2" xfId="13592"/>
    <cellStyle name="Normal 6 5 2 2" xfId="13593"/>
    <cellStyle name="Normal 6 5 2 3" xfId="13594"/>
    <cellStyle name="Normal 6 5 3" xfId="13595"/>
    <cellStyle name="Normal 6 5 3 2" xfId="13596"/>
    <cellStyle name="Normal 6 5 4" xfId="13597"/>
    <cellStyle name="Normal 6 5 5" xfId="13598"/>
    <cellStyle name="Normal 6 6" xfId="13599"/>
    <cellStyle name="Normal 6 6 2" xfId="13600"/>
    <cellStyle name="Normal 6 6 2 2" xfId="13601"/>
    <cellStyle name="Normal 6 6 3" xfId="13602"/>
    <cellStyle name="Normal 6 6 4" xfId="13603"/>
    <cellStyle name="Normal 6 7" xfId="13604"/>
    <cellStyle name="Normal 6 7 2" xfId="13605"/>
    <cellStyle name="Normal 6 7 2 2" xfId="13606"/>
    <cellStyle name="Normal 6 7 3" xfId="13607"/>
    <cellStyle name="Normal 6 7 4" xfId="13608"/>
    <cellStyle name="Normal 6 8" xfId="13609"/>
    <cellStyle name="Normal 6 8 2" xfId="13610"/>
    <cellStyle name="Normal 6 9" xfId="13611"/>
    <cellStyle name="Normal 6 9 2" xfId="13612"/>
    <cellStyle name="Normal 60" xfId="13613"/>
    <cellStyle name="Normal 60 2" xfId="13614"/>
    <cellStyle name="Normal 60 3" xfId="13615"/>
    <cellStyle name="Normal 61" xfId="13616"/>
    <cellStyle name="Normal 61 2" xfId="13617"/>
    <cellStyle name="Normal 61 3" xfId="13618"/>
    <cellStyle name="Normal 62" xfId="13619"/>
    <cellStyle name="Normal 62 2" xfId="13620"/>
    <cellStyle name="Normal 62 3" xfId="13621"/>
    <cellStyle name="Normal 63" xfId="13622"/>
    <cellStyle name="Normal 63 2" xfId="13623"/>
    <cellStyle name="Normal 63 3" xfId="13624"/>
    <cellStyle name="Normal 64" xfId="13625"/>
    <cellStyle name="Normal 64 2" xfId="13626"/>
    <cellStyle name="Normal 65" xfId="13627"/>
    <cellStyle name="Normal 65 2" xfId="13628"/>
    <cellStyle name="Normal 66" xfId="13629"/>
    <cellStyle name="Normal 66 2" xfId="13630"/>
    <cellStyle name="Normal 67" xfId="13631"/>
    <cellStyle name="Normal 67 2" xfId="13632"/>
    <cellStyle name="Normal 67 3" xfId="13633"/>
    <cellStyle name="Normal 68" xfId="13634"/>
    <cellStyle name="Normal 68 2" xfId="13635"/>
    <cellStyle name="Normal 68 3" xfId="13636"/>
    <cellStyle name="Normal 68 4" xfId="13637"/>
    <cellStyle name="Normal 68 5" xfId="13638"/>
    <cellStyle name="Normal 69" xfId="13639"/>
    <cellStyle name="Normal 69 2" xfId="13640"/>
    <cellStyle name="Normal 69 3" xfId="13641"/>
    <cellStyle name="Normal 7" xfId="13642"/>
    <cellStyle name="Normal 7 10" xfId="13643"/>
    <cellStyle name="Normal 7 10 2" xfId="13644"/>
    <cellStyle name="Normal 7 10 2 2" xfId="13645"/>
    <cellStyle name="Normal 7 10 3" xfId="13646"/>
    <cellStyle name="Normal 7 10 3 2" xfId="13647"/>
    <cellStyle name="Normal 7 10 4" xfId="13648"/>
    <cellStyle name="Normal 7 11" xfId="13649"/>
    <cellStyle name="Normal 7 11 2" xfId="13650"/>
    <cellStyle name="Normal 7 12" xfId="13651"/>
    <cellStyle name="Normal 7 13" xfId="13652"/>
    <cellStyle name="Normal 7 2" xfId="13653"/>
    <cellStyle name="Normal 7 2 10" xfId="13654"/>
    <cellStyle name="Normal 7 2 2" xfId="13655"/>
    <cellStyle name="Normal 7 2 2 2" xfId="13656"/>
    <cellStyle name="Normal 7 2 2 2 2" xfId="13657"/>
    <cellStyle name="Normal 7 2 2 2 3" xfId="13658"/>
    <cellStyle name="Normal 7 2 2 3" xfId="13659"/>
    <cellStyle name="Normal 7 2 2 3 2" xfId="13660"/>
    <cellStyle name="Normal 7 2 2 4" xfId="13661"/>
    <cellStyle name="Normal 7 2 2 5" xfId="13662"/>
    <cellStyle name="Normal 7 2 2 6" xfId="13663"/>
    <cellStyle name="Normal 7 2 3" xfId="13664"/>
    <cellStyle name="Normal 7 2 3 2" xfId="13665"/>
    <cellStyle name="Normal 7 2 3 2 2" xfId="13666"/>
    <cellStyle name="Normal 7 2 3 3" xfId="13667"/>
    <cellStyle name="Normal 7 2 3 4" xfId="13668"/>
    <cellStyle name="Normal 7 2 4" xfId="13669"/>
    <cellStyle name="Normal 7 2 5" xfId="13670"/>
    <cellStyle name="Normal 7 2 5 2" xfId="13671"/>
    <cellStyle name="Normal 7 2 6" xfId="13672"/>
    <cellStyle name="Normal 7 2 7" xfId="13673"/>
    <cellStyle name="Normal 7 2 8" xfId="13674"/>
    <cellStyle name="Normal 7 2 8 2" xfId="13675"/>
    <cellStyle name="Normal 7 2 9" xfId="13676"/>
    <cellStyle name="Normal 7 2 9 2" xfId="13677"/>
    <cellStyle name="Normal 7 3" xfId="13678"/>
    <cellStyle name="Normal 7 3 2" xfId="13679"/>
    <cellStyle name="Normal 7 3 2 2" xfId="13680"/>
    <cellStyle name="Normal 7 3 2 2 2" xfId="13681"/>
    <cellStyle name="Normal 7 3 2 3" xfId="13682"/>
    <cellStyle name="Normal 7 3 2 4" xfId="13683"/>
    <cellStyle name="Normal 7 3 3" xfId="13684"/>
    <cellStyle name="Normal 7 3 3 2" xfId="13685"/>
    <cellStyle name="Normal 7 3 4" xfId="13686"/>
    <cellStyle name="Normal 7 3 4 2" xfId="13687"/>
    <cellStyle name="Normal 7 3 5" xfId="13688"/>
    <cellStyle name="Normal 7 3 6" xfId="13689"/>
    <cellStyle name="Normal 7 4" xfId="13690"/>
    <cellStyle name="Normal 7 4 2" xfId="13691"/>
    <cellStyle name="Normal 7 4 2 10" xfId="13692"/>
    <cellStyle name="Normal 7 4 2 2" xfId="13693"/>
    <cellStyle name="Normal 7 4 2 2 2" xfId="13694"/>
    <cellStyle name="Normal 7 4 2 2 2 2" xfId="13695"/>
    <cellStyle name="Normal 7 4 2 2 2 2 2" xfId="13696"/>
    <cellStyle name="Normal 7 4 2 2 2 3" xfId="13697"/>
    <cellStyle name="Normal 7 4 2 2 2 3 2" xfId="13698"/>
    <cellStyle name="Normal 7 4 2 2 2 4" xfId="13699"/>
    <cellStyle name="Normal 7 4 2 2 2 5" xfId="13700"/>
    <cellStyle name="Normal 7 4 2 2 3" xfId="13701"/>
    <cellStyle name="Normal 7 4 2 2 3 2" xfId="13702"/>
    <cellStyle name="Normal 7 4 2 2 3 2 2" xfId="13703"/>
    <cellStyle name="Normal 7 4 2 2 3 3" xfId="13704"/>
    <cellStyle name="Normal 7 4 2 2 4" xfId="13705"/>
    <cellStyle name="Normal 7 4 2 2 4 2" xfId="13706"/>
    <cellStyle name="Normal 7 4 2 2 5" xfId="13707"/>
    <cellStyle name="Normal 7 4 2 2 5 2" xfId="13708"/>
    <cellStyle name="Normal 7 4 2 2 6" xfId="13709"/>
    <cellStyle name="Normal 7 4 2 3" xfId="13710"/>
    <cellStyle name="Normal 7 4 2 3 2" xfId="13711"/>
    <cellStyle name="Normal 7 4 2 3 2 2" xfId="13712"/>
    <cellStyle name="Normal 7 4 2 3 2 2 2" xfId="13713"/>
    <cellStyle name="Normal 7 4 2 3 2 3" xfId="13714"/>
    <cellStyle name="Normal 7 4 2 3 2 3 2" xfId="13715"/>
    <cellStyle name="Normal 7 4 2 3 2 4" xfId="13716"/>
    <cellStyle name="Normal 7 4 2 3 2 5" xfId="13717"/>
    <cellStyle name="Normal 7 4 2 3 3" xfId="13718"/>
    <cellStyle name="Normal 7 4 2 3 3 2" xfId="13719"/>
    <cellStyle name="Normal 7 4 2 3 3 2 2" xfId="13720"/>
    <cellStyle name="Normal 7 4 2 3 3 3" xfId="13721"/>
    <cellStyle name="Normal 7 4 2 3 4" xfId="13722"/>
    <cellStyle name="Normal 7 4 2 3 4 2" xfId="13723"/>
    <cellStyle name="Normal 7 4 2 3 5" xfId="13724"/>
    <cellStyle name="Normal 7 4 2 3 5 2" xfId="13725"/>
    <cellStyle name="Normal 7 4 2 3 6" xfId="13726"/>
    <cellStyle name="Normal 7 4 2 4" xfId="13727"/>
    <cellStyle name="Normal 7 4 2 4 2" xfId="13728"/>
    <cellStyle name="Normal 7 4 2 4 2 2" xfId="13729"/>
    <cellStyle name="Normal 7 4 2 4 2 2 2" xfId="13730"/>
    <cellStyle name="Normal 7 4 2 4 2 3" xfId="13731"/>
    <cellStyle name="Normal 7 4 2 4 3" xfId="13732"/>
    <cellStyle name="Normal 7 4 2 4 3 2" xfId="13733"/>
    <cellStyle name="Normal 7 4 2 4 4" xfId="13734"/>
    <cellStyle name="Normal 7 4 2 4 4 2" xfId="13735"/>
    <cellStyle name="Normal 7 4 2 4 5" xfId="13736"/>
    <cellStyle name="Normal 7 4 2 5" xfId="13737"/>
    <cellStyle name="Normal 7 4 2 5 2" xfId="13738"/>
    <cellStyle name="Normal 7 4 2 5 2 2" xfId="13739"/>
    <cellStyle name="Normal 7 4 2 5 3" xfId="13740"/>
    <cellStyle name="Normal 7 4 2 5 3 2" xfId="13741"/>
    <cellStyle name="Normal 7 4 2 5 4" xfId="13742"/>
    <cellStyle name="Normal 7 4 2 6" xfId="13743"/>
    <cellStyle name="Normal 7 4 2 6 2" xfId="13744"/>
    <cellStyle name="Normal 7 4 2 6 2 2" xfId="13745"/>
    <cellStyle name="Normal 7 4 2 6 3" xfId="13746"/>
    <cellStyle name="Normal 7 4 2 7" xfId="13747"/>
    <cellStyle name="Normal 7 4 2 7 2" xfId="13748"/>
    <cellStyle name="Normal 7 4 2 7 3" xfId="13749"/>
    <cellStyle name="Normal 7 4 2 8" xfId="13750"/>
    <cellStyle name="Normal 7 4 2 8 2" xfId="13751"/>
    <cellStyle name="Normal 7 4 2 9" xfId="13752"/>
    <cellStyle name="Normal 7 4 3" xfId="13753"/>
    <cellStyle name="Normal 7 4 3 2" xfId="13754"/>
    <cellStyle name="Normal 7 4 4" xfId="13755"/>
    <cellStyle name="Normal 7 4 5" xfId="13756"/>
    <cellStyle name="Normal 7 4 5 2" xfId="13757"/>
    <cellStyle name="Normal 7 4 5 2 2" xfId="13758"/>
    <cellStyle name="Normal 7 4 5 2 2 2" xfId="13759"/>
    <cellStyle name="Normal 7 4 5 2 3" xfId="13760"/>
    <cellStyle name="Normal 7 4 5 3" xfId="13761"/>
    <cellStyle name="Normal 7 4 5 3 2" xfId="13762"/>
    <cellStyle name="Normal 7 4 5 4" xfId="13763"/>
    <cellStyle name="Normal 7 4 5 5" xfId="13764"/>
    <cellStyle name="Normal 7 4 6" xfId="13765"/>
    <cellStyle name="Normal 7 4 6 2" xfId="13766"/>
    <cellStyle name="Normal 7 4 6 2 2" xfId="13767"/>
    <cellStyle name="Normal 7 4 6 3" xfId="13768"/>
    <cellStyle name="Normal 7 4 7" xfId="13769"/>
    <cellStyle name="Normal 7 4 7 2" xfId="13770"/>
    <cellStyle name="Normal 7 4 8" xfId="13771"/>
    <cellStyle name="Normal 7 4 8 2" xfId="13772"/>
    <cellStyle name="Normal 7 4 9" xfId="13773"/>
    <cellStyle name="Normal 7 5" xfId="13774"/>
    <cellStyle name="Normal 7 5 2" xfId="13775"/>
    <cellStyle name="Normal 7 5 2 2" xfId="13776"/>
    <cellStyle name="Normal 7 5 3" xfId="13777"/>
    <cellStyle name="Normal 7 5 4" xfId="13778"/>
    <cellStyle name="Normal 7 6" xfId="13779"/>
    <cellStyle name="Normal 7 6 2" xfId="13780"/>
    <cellStyle name="Normal 7 7" xfId="13781"/>
    <cellStyle name="Normal 7 7 10" xfId="13782"/>
    <cellStyle name="Normal 7 7 2" xfId="13783"/>
    <cellStyle name="Normal 7 7 2 2" xfId="13784"/>
    <cellStyle name="Normal 7 7 2 2 2" xfId="13785"/>
    <cellStyle name="Normal 7 7 2 2 2 2" xfId="13786"/>
    <cellStyle name="Normal 7 7 2 2 3" xfId="13787"/>
    <cellStyle name="Normal 7 7 2 2 3 2" xfId="13788"/>
    <cellStyle name="Normal 7 7 2 2 4" xfId="13789"/>
    <cellStyle name="Normal 7 7 2 2 5" xfId="13790"/>
    <cellStyle name="Normal 7 7 2 3" xfId="13791"/>
    <cellStyle name="Normal 7 7 2 3 2" xfId="13792"/>
    <cellStyle name="Normal 7 7 2 3 2 2" xfId="13793"/>
    <cellStyle name="Normal 7 7 2 3 3" xfId="13794"/>
    <cellStyle name="Normal 7 7 2 4" xfId="13795"/>
    <cellStyle name="Normal 7 7 2 4 2" xfId="13796"/>
    <cellStyle name="Normal 7 7 2 5" xfId="13797"/>
    <cellStyle name="Normal 7 7 2 5 2" xfId="13798"/>
    <cellStyle name="Normal 7 7 2 6" xfId="13799"/>
    <cellStyle name="Normal 7 7 3" xfId="13800"/>
    <cellStyle name="Normal 7 7 3 2" xfId="13801"/>
    <cellStyle name="Normal 7 7 3 2 2" xfId="13802"/>
    <cellStyle name="Normal 7 7 3 2 2 2" xfId="13803"/>
    <cellStyle name="Normal 7 7 3 2 3" xfId="13804"/>
    <cellStyle name="Normal 7 7 3 2 3 2" xfId="13805"/>
    <cellStyle name="Normal 7 7 3 2 4" xfId="13806"/>
    <cellStyle name="Normal 7 7 3 2 5" xfId="13807"/>
    <cellStyle name="Normal 7 7 3 3" xfId="13808"/>
    <cellStyle name="Normal 7 7 3 3 2" xfId="13809"/>
    <cellStyle name="Normal 7 7 3 3 2 2" xfId="13810"/>
    <cellStyle name="Normal 7 7 3 3 3" xfId="13811"/>
    <cellStyle name="Normal 7 7 3 4" xfId="13812"/>
    <cellStyle name="Normal 7 7 3 4 2" xfId="13813"/>
    <cellStyle name="Normal 7 7 3 5" xfId="13814"/>
    <cellStyle name="Normal 7 7 3 5 2" xfId="13815"/>
    <cellStyle name="Normal 7 7 3 6" xfId="13816"/>
    <cellStyle name="Normal 7 7 4" xfId="13817"/>
    <cellStyle name="Normal 7 7 4 2" xfId="13818"/>
    <cellStyle name="Normal 7 7 4 2 2" xfId="13819"/>
    <cellStyle name="Normal 7 7 4 2 2 2" xfId="13820"/>
    <cellStyle name="Normal 7 7 4 2 3" xfId="13821"/>
    <cellStyle name="Normal 7 7 4 3" xfId="13822"/>
    <cellStyle name="Normal 7 7 4 3 2" xfId="13823"/>
    <cellStyle name="Normal 7 7 4 4" xfId="13824"/>
    <cellStyle name="Normal 7 7 4 4 2" xfId="13825"/>
    <cellStyle name="Normal 7 7 4 5" xfId="13826"/>
    <cellStyle name="Normal 7 7 5" xfId="13827"/>
    <cellStyle name="Normal 7 7 5 2" xfId="13828"/>
    <cellStyle name="Normal 7 7 5 2 2" xfId="13829"/>
    <cellStyle name="Normal 7 7 5 3" xfId="13830"/>
    <cellStyle name="Normal 7 7 5 3 2" xfId="13831"/>
    <cellStyle name="Normal 7 7 5 4" xfId="13832"/>
    <cellStyle name="Normal 7 7 6" xfId="13833"/>
    <cellStyle name="Normal 7 7 6 2" xfId="13834"/>
    <cellStyle name="Normal 7 7 6 2 2" xfId="13835"/>
    <cellStyle name="Normal 7 7 6 3" xfId="13836"/>
    <cellStyle name="Normal 7 7 7" xfId="13837"/>
    <cellStyle name="Normal 7 7 7 2" xfId="13838"/>
    <cellStyle name="Normal 7 7 7 3" xfId="13839"/>
    <cellStyle name="Normal 7 7 8" xfId="13840"/>
    <cellStyle name="Normal 7 7 8 2" xfId="13841"/>
    <cellStyle name="Normal 7 7 9" xfId="13842"/>
    <cellStyle name="Normal 7 8" xfId="13843"/>
    <cellStyle name="Normal 7 8 2" xfId="13844"/>
    <cellStyle name="Normal 7 9" xfId="13845"/>
    <cellStyle name="Normal 70" xfId="13846"/>
    <cellStyle name="Normal 70 2" xfId="13847"/>
    <cellStyle name="Normal 70 3" xfId="13848"/>
    <cellStyle name="Normal 71" xfId="13849"/>
    <cellStyle name="Normal 71 2" xfId="13850"/>
    <cellStyle name="Normal 71 3" xfId="13851"/>
    <cellStyle name="Normal 72" xfId="13852"/>
    <cellStyle name="Normal 72 2" xfId="13853"/>
    <cellStyle name="Normal 72 3" xfId="13854"/>
    <cellStyle name="Normal 72 4" xfId="13855"/>
    <cellStyle name="Normal 72 5" xfId="13856"/>
    <cellStyle name="Normal 72 6" xfId="13857"/>
    <cellStyle name="Normal 73" xfId="13858"/>
    <cellStyle name="Normal 73 2" xfId="13859"/>
    <cellStyle name="Normal 73 3" xfId="13860"/>
    <cellStyle name="Normal 73 4" xfId="13861"/>
    <cellStyle name="Normal 73 5" xfId="13862"/>
    <cellStyle name="Normal 73 6" xfId="13863"/>
    <cellStyle name="Normal 74" xfId="13864"/>
    <cellStyle name="Normal 74 2" xfId="13865"/>
    <cellStyle name="Normal 74 3" xfId="13866"/>
    <cellStyle name="Normal 74 4" xfId="13867"/>
    <cellStyle name="Normal 75" xfId="13868"/>
    <cellStyle name="Normal 75 2" xfId="13869"/>
    <cellStyle name="Normal 75 3" xfId="13870"/>
    <cellStyle name="Normal 75 3 2" xfId="13871"/>
    <cellStyle name="Normal 75 3 3" xfId="13872"/>
    <cellStyle name="Normal 75 4" xfId="13873"/>
    <cellStyle name="Normal 75 5" xfId="13874"/>
    <cellStyle name="Normal 76" xfId="13875"/>
    <cellStyle name="Normal 76 2" xfId="13876"/>
    <cellStyle name="Normal 76 2 2" xfId="13877"/>
    <cellStyle name="Normal 76 3" xfId="13878"/>
    <cellStyle name="Normal 76 3 2" xfId="13879"/>
    <cellStyle name="Normal 76 4" xfId="13880"/>
    <cellStyle name="Normal 77" xfId="13881"/>
    <cellStyle name="Normal 77 2" xfId="13882"/>
    <cellStyle name="Normal 77 3" xfId="13883"/>
    <cellStyle name="Normal 77 4" xfId="13884"/>
    <cellStyle name="Normal 78" xfId="13885"/>
    <cellStyle name="Normal 78 2" xfId="13886"/>
    <cellStyle name="Normal 78 3" xfId="13887"/>
    <cellStyle name="Normal 78 3 2" xfId="13888"/>
    <cellStyle name="Normal 78 3 3" xfId="13889"/>
    <cellStyle name="Normal 78 4" xfId="13890"/>
    <cellStyle name="Normal 79" xfId="13891"/>
    <cellStyle name="Normal 79 2" xfId="13892"/>
    <cellStyle name="Normal 79 3" xfId="13893"/>
    <cellStyle name="Normal 79 3 2" xfId="13894"/>
    <cellStyle name="Normal 79 4" xfId="13895"/>
    <cellStyle name="Normal 79 4 2" xfId="13896"/>
    <cellStyle name="Normal 8" xfId="13897"/>
    <cellStyle name="Normal 8 2" xfId="13898"/>
    <cellStyle name="Normal 8 2 2" xfId="13899"/>
    <cellStyle name="Normal 8 2 2 2" xfId="13900"/>
    <cellStyle name="Normal 8 2 2 2 2" xfId="13901"/>
    <cellStyle name="Normal 8 2 2 3" xfId="13902"/>
    <cellStyle name="Normal 8 2 2 4" xfId="13903"/>
    <cellStyle name="Normal 8 2 3" xfId="13904"/>
    <cellStyle name="Normal 8 2 3 2" xfId="13905"/>
    <cellStyle name="Normal 8 2 3 2 2" xfId="13906"/>
    <cellStyle name="Normal 8 2 3 3" xfId="13907"/>
    <cellStyle name="Normal 8 2 3 4" xfId="13908"/>
    <cellStyle name="Normal 8 2 4" xfId="13909"/>
    <cellStyle name="Normal 8 2 4 2" xfId="13910"/>
    <cellStyle name="Normal 8 2 5" xfId="13911"/>
    <cellStyle name="Normal 8 2 5 2" xfId="13912"/>
    <cellStyle name="Normal 8 2 6" xfId="13913"/>
    <cellStyle name="Normal 8 2 7" xfId="13914"/>
    <cellStyle name="Normal 8 3" xfId="13915"/>
    <cellStyle name="Normal 8 3 2" xfId="13916"/>
    <cellStyle name="Normal 8 3 2 2" xfId="13917"/>
    <cellStyle name="Normal 8 3 2 2 2" xfId="13918"/>
    <cellStyle name="Normal 8 3 2 3" xfId="13919"/>
    <cellStyle name="Normal 8 3 2 4" xfId="13920"/>
    <cellStyle name="Normal 8 3 3" xfId="13921"/>
    <cellStyle name="Normal 8 3 3 2" xfId="13922"/>
    <cellStyle name="Normal 8 3 4" xfId="13923"/>
    <cellStyle name="Normal 8 3 4 2" xfId="13924"/>
    <cellStyle name="Normal 8 3 5" xfId="13925"/>
    <cellStyle name="Normal 8 3 6" xfId="13926"/>
    <cellStyle name="Normal 8 4" xfId="13927"/>
    <cellStyle name="Normal 8 4 2" xfId="13928"/>
    <cellStyle name="Normal 8 4 2 2" xfId="13929"/>
    <cellStyle name="Normal 8 4 3" xfId="13930"/>
    <cellStyle name="Normal 8 4 4" xfId="13931"/>
    <cellStyle name="Normal 8 5" xfId="13932"/>
    <cellStyle name="Normal 8 5 2" xfId="13933"/>
    <cellStyle name="Normal 8 6" xfId="13934"/>
    <cellStyle name="Normal 8 7" xfId="13935"/>
    <cellStyle name="Normal 8 7 2" xfId="13936"/>
    <cellStyle name="Normal 8 8" xfId="13937"/>
    <cellStyle name="Normal 8 9" xfId="13938"/>
    <cellStyle name="Normal 80" xfId="13939"/>
    <cellStyle name="Normal 80 2" xfId="13940"/>
    <cellStyle name="Normal 80 3" xfId="13941"/>
    <cellStyle name="Normal 80 3 2" xfId="13942"/>
    <cellStyle name="Normal 80 4" xfId="13943"/>
    <cellStyle name="Normal 80 4 2" xfId="13944"/>
    <cellStyle name="Normal 81" xfId="13945"/>
    <cellStyle name="Normal 81 2" xfId="13946"/>
    <cellStyle name="Normal 81 3" xfId="13947"/>
    <cellStyle name="Normal 81 4" xfId="13948"/>
    <cellStyle name="Normal 81 4 2" xfId="13949"/>
    <cellStyle name="Normal 82" xfId="13950"/>
    <cellStyle name="Normal 82 2" xfId="13951"/>
    <cellStyle name="Normal 82 3" xfId="13952"/>
    <cellStyle name="Normal 83" xfId="13953"/>
    <cellStyle name="Normal 83 2" xfId="13954"/>
    <cellStyle name="Normal 83 2 2" xfId="13955"/>
    <cellStyle name="Normal 83 3" xfId="13956"/>
    <cellStyle name="Normal 84" xfId="13957"/>
    <cellStyle name="Normal 84 2" xfId="13958"/>
    <cellStyle name="Normal 84 3" xfId="13959"/>
    <cellStyle name="Normal 84 4" xfId="13960"/>
    <cellStyle name="Normal 85" xfId="13961"/>
    <cellStyle name="Normal 85 2" xfId="13962"/>
    <cellStyle name="Normal 86" xfId="13963"/>
    <cellStyle name="Normal 86 2" xfId="13964"/>
    <cellStyle name="Normal 86 3" xfId="13965"/>
    <cellStyle name="Normal 86 3 2" xfId="13966"/>
    <cellStyle name="Normal 86 4" xfId="13967"/>
    <cellStyle name="Normal 87" xfId="13968"/>
    <cellStyle name="Normal 87 2" xfId="13969"/>
    <cellStyle name="Normal 87 3" xfId="13970"/>
    <cellStyle name="Normal 87 3 2" xfId="13971"/>
    <cellStyle name="Normal 87 4" xfId="13972"/>
    <cellStyle name="Normal 88" xfId="13973"/>
    <cellStyle name="Normal 89" xfId="13974"/>
    <cellStyle name="Normal 9" xfId="13975"/>
    <cellStyle name="Normal 9 2" xfId="13976"/>
    <cellStyle name="Normal 9 2 2" xfId="13977"/>
    <cellStyle name="Normal 9 2 2 2" xfId="13978"/>
    <cellStyle name="Normal 9 2 2 2 2" xfId="13979"/>
    <cellStyle name="Normal 9 2 2 3" xfId="13980"/>
    <cellStyle name="Normal 9 2 2 4" xfId="13981"/>
    <cellStyle name="Normal 9 2 3" xfId="13982"/>
    <cellStyle name="Normal 9 2 3 2" xfId="13983"/>
    <cellStyle name="Normal 9 2 4" xfId="13984"/>
    <cellStyle name="Normal 9 2 4 2" xfId="13985"/>
    <cellStyle name="Normal 9 2 5" xfId="13986"/>
    <cellStyle name="Normal 9 2 6" xfId="13987"/>
    <cellStyle name="Normal 9 3" xfId="13988"/>
    <cellStyle name="Normal 9 3 2" xfId="13989"/>
    <cellStyle name="Normal 9 3 2 2" xfId="13990"/>
    <cellStyle name="Normal 9 3 3" xfId="13991"/>
    <cellStyle name="Normal 9 3 4" xfId="13992"/>
    <cellStyle name="Normal 9 4" xfId="13993"/>
    <cellStyle name="Normal 9 4 2" xfId="13994"/>
    <cellStyle name="Normal 9 5" xfId="13995"/>
    <cellStyle name="Normal 9 6" xfId="13996"/>
    <cellStyle name="Normal 9 6 2" xfId="13997"/>
    <cellStyle name="Normal 9 7" xfId="13998"/>
    <cellStyle name="Normal 9 8" xfId="13999"/>
    <cellStyle name="Normal 90" xfId="14000"/>
    <cellStyle name="Normal 90 2" xfId="14001"/>
    <cellStyle name="Normal 90 3" xfId="14002"/>
    <cellStyle name="Normal 91" xfId="14003"/>
    <cellStyle name="Normal 91 2" xfId="14004"/>
    <cellStyle name="Normal 91 2 2" xfId="14005"/>
    <cellStyle name="Normal 91 2 3" xfId="14006"/>
    <cellStyle name="Normal 91 3" xfId="14007"/>
    <cellStyle name="Normal 92" xfId="14008"/>
    <cellStyle name="Normal 92 2" xfId="14009"/>
    <cellStyle name="Normal 92 2 2" xfId="14010"/>
    <cellStyle name="Normal 92 2 3" xfId="14011"/>
    <cellStyle name="Normal 93" xfId="14012"/>
    <cellStyle name="Normal 94" xfId="14013"/>
    <cellStyle name="Normal 94 2" xfId="14014"/>
    <cellStyle name="Normal 94 2 2" xfId="14015"/>
    <cellStyle name="Normal 94 3" xfId="14016"/>
    <cellStyle name="Normal 95" xfId="14017"/>
    <cellStyle name="Normal 95 2" xfId="14018"/>
    <cellStyle name="Normal 95 3" xfId="14019"/>
    <cellStyle name="Normal 96" xfId="14020"/>
    <cellStyle name="Normal 96 2" xfId="14021"/>
    <cellStyle name="Normal 96 3" xfId="14022"/>
    <cellStyle name="Normal 97" xfId="14023"/>
    <cellStyle name="Normal 97 2" xfId="14024"/>
    <cellStyle name="Normal 97 3" xfId="14025"/>
    <cellStyle name="Normal 97 4" xfId="14026"/>
    <cellStyle name="Normal 97 5" xfId="14027"/>
    <cellStyle name="Normal 98" xfId="14028"/>
    <cellStyle name="Normal 98 2" xfId="14029"/>
    <cellStyle name="Normal 98 2 2" xfId="14030"/>
    <cellStyle name="Normal 98 3" xfId="14031"/>
    <cellStyle name="Normal 98 4" xfId="14032"/>
    <cellStyle name="Normal 99" xfId="14033"/>
    <cellStyle name="Normal 99 2" xfId="14034"/>
    <cellStyle name="Normal 99 2 2" xfId="14035"/>
    <cellStyle name="Normal 99 3" xfId="14036"/>
    <cellStyle name="Normal 99 4" xfId="14037"/>
    <cellStyle name="Note 10" xfId="14038"/>
    <cellStyle name="Note 10 2" xfId="14039"/>
    <cellStyle name="Note 10 3" xfId="14040"/>
    <cellStyle name="Note 11" xfId="14041"/>
    <cellStyle name="Note 11 2" xfId="14042"/>
    <cellStyle name="Note 12" xfId="14043"/>
    <cellStyle name="Note 12 2" xfId="14044"/>
    <cellStyle name="Note 12 2 2" xfId="14045"/>
    <cellStyle name="Note 13" xfId="14046"/>
    <cellStyle name="Note 13 2" xfId="14047"/>
    <cellStyle name="Note 13 3" xfId="14048"/>
    <cellStyle name="Note 14" xfId="14049"/>
    <cellStyle name="Note 14 2" xfId="14050"/>
    <cellStyle name="Note 15" xfId="14051"/>
    <cellStyle name="Note 15 2" xfId="14052"/>
    <cellStyle name="Note 16" xfId="14053"/>
    <cellStyle name="Note 16 2" xfId="14054"/>
    <cellStyle name="Note 17" xfId="14055"/>
    <cellStyle name="Note 18" xfId="14056"/>
    <cellStyle name="Note 19" xfId="14057"/>
    <cellStyle name="Note 2" xfId="14058"/>
    <cellStyle name="Note 2 10" xfId="14059"/>
    <cellStyle name="Note 2 10 2" xfId="14060"/>
    <cellStyle name="Note 2 11" xfId="14061"/>
    <cellStyle name="Note 2 12" xfId="14062"/>
    <cellStyle name="Note 2 12 2" xfId="14063"/>
    <cellStyle name="Note 2 12 2 2" xfId="14064"/>
    <cellStyle name="Note 2 12 3" xfId="14065"/>
    <cellStyle name="Note 2 12 4" xfId="14066"/>
    <cellStyle name="Note 2 12 4 2" xfId="14067"/>
    <cellStyle name="Note 2 12 5" xfId="14068"/>
    <cellStyle name="Note 2 13" xfId="14069"/>
    <cellStyle name="Note 2 13 2" xfId="14070"/>
    <cellStyle name="Note 2 13 2 2" xfId="14071"/>
    <cellStyle name="Note 2 13 3" xfId="14072"/>
    <cellStyle name="Note 2 14" xfId="14073"/>
    <cellStyle name="Note 2 15" xfId="14074"/>
    <cellStyle name="Note 2 2" xfId="14075"/>
    <cellStyle name="Note 2 2 10" xfId="14076"/>
    <cellStyle name="Note 2 2 10 2" xfId="14077"/>
    <cellStyle name="Note 2 2 11" xfId="14078"/>
    <cellStyle name="Note 2 2 2" xfId="14079"/>
    <cellStyle name="Note 2 2 2 2" xfId="14080"/>
    <cellStyle name="Note 2 2 2 2 2" xfId="14081"/>
    <cellStyle name="Note 2 2 2 2 3" xfId="14082"/>
    <cellStyle name="Note 2 2 2 3" xfId="14083"/>
    <cellStyle name="Note 2 2 2 3 2" xfId="14084"/>
    <cellStyle name="Note 2 2 2 4" xfId="14085"/>
    <cellStyle name="Note 2 2 2 5" xfId="14086"/>
    <cellStyle name="Note 2 2 3" xfId="14087"/>
    <cellStyle name="Note 2 2 3 2" xfId="14088"/>
    <cellStyle name="Note 2 2 3 2 2" xfId="14089"/>
    <cellStyle name="Note 2 2 3 2 3" xfId="14090"/>
    <cellStyle name="Note 2 2 3 3" xfId="14091"/>
    <cellStyle name="Note 2 2 3 3 2" xfId="14092"/>
    <cellStyle name="Note 2 2 3 4" xfId="14093"/>
    <cellStyle name="Note 2 2 3 5" xfId="14094"/>
    <cellStyle name="Note 2 2 4" xfId="14095"/>
    <cellStyle name="Note 2 2 4 2" xfId="14096"/>
    <cellStyle name="Note 2 2 4 2 2" xfId="14097"/>
    <cellStyle name="Note 2 2 4 3" xfId="14098"/>
    <cellStyle name="Note 2 2 4 4" xfId="14099"/>
    <cellStyle name="Note 2 2 5" xfId="14100"/>
    <cellStyle name="Note 2 2 5 2" xfId="14101"/>
    <cellStyle name="Note 2 2 6" xfId="14102"/>
    <cellStyle name="Note 2 2 6 2" xfId="14103"/>
    <cellStyle name="Note 2 2 7" xfId="14104"/>
    <cellStyle name="Note 2 2 8" xfId="14105"/>
    <cellStyle name="Note 2 2 9" xfId="14106"/>
    <cellStyle name="Note 2 2 9 2" xfId="14107"/>
    <cellStyle name="Note 2 3" xfId="14108"/>
    <cellStyle name="Note 2 3 2" xfId="14109"/>
    <cellStyle name="Note 2 3 2 2" xfId="14110"/>
    <cellStyle name="Note 2 3 2 2 2" xfId="14111"/>
    <cellStyle name="Note 2 3 2 2 3" xfId="14112"/>
    <cellStyle name="Note 2 3 2 3" xfId="14113"/>
    <cellStyle name="Note 2 3 2 3 2" xfId="14114"/>
    <cellStyle name="Note 2 3 2 4" xfId="14115"/>
    <cellStyle name="Note 2 3 2 5" xfId="14116"/>
    <cellStyle name="Note 2 3 3" xfId="14117"/>
    <cellStyle name="Note 2 3 3 2" xfId="14118"/>
    <cellStyle name="Note 2 3 3 2 2" xfId="14119"/>
    <cellStyle name="Note 2 3 3 3" xfId="14120"/>
    <cellStyle name="Note 2 3 3 4" xfId="14121"/>
    <cellStyle name="Note 2 3 4" xfId="14122"/>
    <cellStyle name="Note 2 3 5" xfId="14123"/>
    <cellStyle name="Note 2 3 5 2" xfId="14124"/>
    <cellStyle name="Note 2 3 6" xfId="14125"/>
    <cellStyle name="Note 2 3 7" xfId="14126"/>
    <cellStyle name="Note 2 3 8" xfId="14127"/>
    <cellStyle name="Note 2 4" xfId="14128"/>
    <cellStyle name="Note 2 4 2" xfId="14129"/>
    <cellStyle name="Note 2 4 2 2" xfId="14130"/>
    <cellStyle name="Note 2 4 2 2 2" xfId="14131"/>
    <cellStyle name="Note 2 4 2 3" xfId="14132"/>
    <cellStyle name="Note 2 4 2 4" xfId="14133"/>
    <cellStyle name="Note 2 4 3" xfId="14134"/>
    <cellStyle name="Note 2 4 3 2" xfId="14135"/>
    <cellStyle name="Note 2 4 4" xfId="14136"/>
    <cellStyle name="Note 2 4 4 2" xfId="14137"/>
    <cellStyle name="Note 2 4 5" xfId="14138"/>
    <cellStyle name="Note 2 4 6" xfId="14139"/>
    <cellStyle name="Note 2 5" xfId="14140"/>
    <cellStyle name="Note 2 5 2" xfId="14141"/>
    <cellStyle name="Note 2 5 2 2" xfId="14142"/>
    <cellStyle name="Note 2 5 3" xfId="14143"/>
    <cellStyle name="Note 2 5 4" xfId="14144"/>
    <cellStyle name="Note 2 6" xfId="14145"/>
    <cellStyle name="Note 2 6 10" xfId="14146"/>
    <cellStyle name="Note 2 6 2" xfId="14147"/>
    <cellStyle name="Note 2 6 2 2" xfId="14148"/>
    <cellStyle name="Note 2 6 2 2 2" xfId="14149"/>
    <cellStyle name="Note 2 6 2 2 2 2" xfId="14150"/>
    <cellStyle name="Note 2 6 2 2 3" xfId="14151"/>
    <cellStyle name="Note 2 6 2 2 3 2" xfId="14152"/>
    <cellStyle name="Note 2 6 2 2 4" xfId="14153"/>
    <cellStyle name="Note 2 6 2 2 5" xfId="14154"/>
    <cellStyle name="Note 2 6 2 3" xfId="14155"/>
    <cellStyle name="Note 2 6 2 3 2" xfId="14156"/>
    <cellStyle name="Note 2 6 2 3 2 2" xfId="14157"/>
    <cellStyle name="Note 2 6 2 3 3" xfId="14158"/>
    <cellStyle name="Note 2 6 2 4" xfId="14159"/>
    <cellStyle name="Note 2 6 2 4 2" xfId="14160"/>
    <cellStyle name="Note 2 6 2 5" xfId="14161"/>
    <cellStyle name="Note 2 6 2 5 2" xfId="14162"/>
    <cellStyle name="Note 2 6 2 6" xfId="14163"/>
    <cellStyle name="Note 2 6 3" xfId="14164"/>
    <cellStyle name="Note 2 6 3 2" xfId="14165"/>
    <cellStyle name="Note 2 6 3 2 2" xfId="14166"/>
    <cellStyle name="Note 2 6 3 2 2 2" xfId="14167"/>
    <cellStyle name="Note 2 6 3 2 3" xfId="14168"/>
    <cellStyle name="Note 2 6 3 2 3 2" xfId="14169"/>
    <cellStyle name="Note 2 6 3 2 4" xfId="14170"/>
    <cellStyle name="Note 2 6 3 2 5" xfId="14171"/>
    <cellStyle name="Note 2 6 3 3" xfId="14172"/>
    <cellStyle name="Note 2 6 3 3 2" xfId="14173"/>
    <cellStyle name="Note 2 6 3 3 2 2" xfId="14174"/>
    <cellStyle name="Note 2 6 3 3 3" xfId="14175"/>
    <cellStyle name="Note 2 6 3 4" xfId="14176"/>
    <cellStyle name="Note 2 6 3 4 2" xfId="14177"/>
    <cellStyle name="Note 2 6 3 5" xfId="14178"/>
    <cellStyle name="Note 2 6 3 5 2" xfId="14179"/>
    <cellStyle name="Note 2 6 3 6" xfId="14180"/>
    <cellStyle name="Note 2 6 4" xfId="14181"/>
    <cellStyle name="Note 2 6 4 2" xfId="14182"/>
    <cellStyle name="Note 2 6 4 2 2" xfId="14183"/>
    <cellStyle name="Note 2 6 4 2 2 2" xfId="14184"/>
    <cellStyle name="Note 2 6 4 2 3" xfId="14185"/>
    <cellStyle name="Note 2 6 4 3" xfId="14186"/>
    <cellStyle name="Note 2 6 4 3 2" xfId="14187"/>
    <cellStyle name="Note 2 6 4 4" xfId="14188"/>
    <cellStyle name="Note 2 6 4 4 2" xfId="14189"/>
    <cellStyle name="Note 2 6 4 5" xfId="14190"/>
    <cellStyle name="Note 2 6 5" xfId="14191"/>
    <cellStyle name="Note 2 6 5 2" xfId="14192"/>
    <cellStyle name="Note 2 6 5 2 2" xfId="14193"/>
    <cellStyle name="Note 2 6 5 3" xfId="14194"/>
    <cellStyle name="Note 2 6 5 3 2" xfId="14195"/>
    <cellStyle name="Note 2 6 5 4" xfId="14196"/>
    <cellStyle name="Note 2 6 6" xfId="14197"/>
    <cellStyle name="Note 2 6 6 2" xfId="14198"/>
    <cellStyle name="Note 2 6 6 2 2" xfId="14199"/>
    <cellStyle name="Note 2 6 6 3" xfId="14200"/>
    <cellStyle name="Note 2 6 7" xfId="14201"/>
    <cellStyle name="Note 2 6 7 2" xfId="14202"/>
    <cellStyle name="Note 2 6 7 3" xfId="14203"/>
    <cellStyle name="Note 2 6 8" xfId="14204"/>
    <cellStyle name="Note 2 6 8 2" xfId="14205"/>
    <cellStyle name="Note 2 6 9" xfId="14206"/>
    <cellStyle name="Note 2 7" xfId="14207"/>
    <cellStyle name="Note 2 7 2" xfId="14208"/>
    <cellStyle name="Note 2 7 2 2" xfId="14209"/>
    <cellStyle name="Note 2 7 3" xfId="14210"/>
    <cellStyle name="Note 2 7 4" xfId="14211"/>
    <cellStyle name="Note 2 8" xfId="14212"/>
    <cellStyle name="Note 2 8 2" xfId="14213"/>
    <cellStyle name="Note 2 9" xfId="14214"/>
    <cellStyle name="Note 2 9 2" xfId="14215"/>
    <cellStyle name="Note 20" xfId="14216"/>
    <cellStyle name="Note 3" xfId="14217"/>
    <cellStyle name="Note 3 10" xfId="14218"/>
    <cellStyle name="Note 3 11" xfId="14219"/>
    <cellStyle name="Note 3 12" xfId="14220"/>
    <cellStyle name="Note 3 2" xfId="14221"/>
    <cellStyle name="Note 3 2 2" xfId="14222"/>
    <cellStyle name="Note 3 2 2 2" xfId="14223"/>
    <cellStyle name="Note 3 2 2 2 2" xfId="14224"/>
    <cellStyle name="Note 3 2 2 2 3" xfId="14225"/>
    <cellStyle name="Note 3 2 2 3" xfId="14226"/>
    <cellStyle name="Note 3 2 2 3 2" xfId="14227"/>
    <cellStyle name="Note 3 2 2 4" xfId="14228"/>
    <cellStyle name="Note 3 2 2 5" xfId="14229"/>
    <cellStyle name="Note 3 2 3" xfId="14230"/>
    <cellStyle name="Note 3 2 3 2" xfId="14231"/>
    <cellStyle name="Note 3 2 3 2 2" xfId="14232"/>
    <cellStyle name="Note 3 2 3 2 3" xfId="14233"/>
    <cellStyle name="Note 3 2 3 3" xfId="14234"/>
    <cellStyle name="Note 3 2 3 3 2" xfId="14235"/>
    <cellStyle name="Note 3 2 3 4" xfId="14236"/>
    <cellStyle name="Note 3 2 3 5" xfId="14237"/>
    <cellStyle name="Note 3 2 4" xfId="14238"/>
    <cellStyle name="Note 3 2 4 2" xfId="14239"/>
    <cellStyle name="Note 3 2 4 2 2" xfId="14240"/>
    <cellStyle name="Note 3 2 4 3" xfId="14241"/>
    <cellStyle name="Note 3 2 4 4" xfId="14242"/>
    <cellStyle name="Note 3 2 5" xfId="14243"/>
    <cellStyle name="Note 3 2 5 2" xfId="14244"/>
    <cellStyle name="Note 3 2 6" xfId="14245"/>
    <cellStyle name="Note 3 2 6 2" xfId="14246"/>
    <cellStyle name="Note 3 2 7" xfId="14247"/>
    <cellStyle name="Note 3 2 8" xfId="14248"/>
    <cellStyle name="Note 3 2 9" xfId="14249"/>
    <cellStyle name="Note 3 3" xfId="14250"/>
    <cellStyle name="Note 3 3 2" xfId="14251"/>
    <cellStyle name="Note 3 3 2 2" xfId="14252"/>
    <cellStyle name="Note 3 3 2 2 2" xfId="14253"/>
    <cellStyle name="Note 3 3 2 2 3" xfId="14254"/>
    <cellStyle name="Note 3 3 2 3" xfId="14255"/>
    <cellStyle name="Note 3 3 2 3 2" xfId="14256"/>
    <cellStyle name="Note 3 3 2 4" xfId="14257"/>
    <cellStyle name="Note 3 3 2 5" xfId="14258"/>
    <cellStyle name="Note 3 3 2 6" xfId="14259"/>
    <cellStyle name="Note 3 3 3" xfId="14260"/>
    <cellStyle name="Note 3 3 3 2" xfId="14261"/>
    <cellStyle name="Note 3 3 3 2 2" xfId="14262"/>
    <cellStyle name="Note 3 3 3 3" xfId="14263"/>
    <cellStyle name="Note 3 3 3 4" xfId="14264"/>
    <cellStyle name="Note 3 3 4" xfId="14265"/>
    <cellStyle name="Note 3 3 5" xfId="14266"/>
    <cellStyle name="Note 3 3 5 2" xfId="14267"/>
    <cellStyle name="Note 3 3 6" xfId="14268"/>
    <cellStyle name="Note 3 3 7" xfId="14269"/>
    <cellStyle name="Note 3 3 8" xfId="14270"/>
    <cellStyle name="Note 3 4" xfId="14271"/>
    <cellStyle name="Note 3 4 2" xfId="14272"/>
    <cellStyle name="Note 3 4 2 2" xfId="14273"/>
    <cellStyle name="Note 3 4 2 2 2" xfId="14274"/>
    <cellStyle name="Note 3 4 2 3" xfId="14275"/>
    <cellStyle name="Note 3 4 2 4" xfId="14276"/>
    <cellStyle name="Note 3 4 3" xfId="14277"/>
    <cellStyle name="Note 3 4 3 2" xfId="14278"/>
    <cellStyle name="Note 3 4 4" xfId="14279"/>
    <cellStyle name="Note 3 4 4 2" xfId="14280"/>
    <cellStyle name="Note 3 4 5" xfId="14281"/>
    <cellStyle name="Note 3 4 6" xfId="14282"/>
    <cellStyle name="Note 3 4 7" xfId="14283"/>
    <cellStyle name="Note 3 5" xfId="14284"/>
    <cellStyle name="Note 3 5 2" xfId="14285"/>
    <cellStyle name="Note 3 5 2 2" xfId="14286"/>
    <cellStyle name="Note 3 5 3" xfId="14287"/>
    <cellStyle name="Note 3 5 4" xfId="14288"/>
    <cellStyle name="Note 3 5 5" xfId="14289"/>
    <cellStyle name="Note 3 6" xfId="14290"/>
    <cellStyle name="Note 3 6 2" xfId="14291"/>
    <cellStyle name="Note 3 6 2 2" xfId="14292"/>
    <cellStyle name="Note 3 6 3" xfId="14293"/>
    <cellStyle name="Note 3 6 4" xfId="14294"/>
    <cellStyle name="Note 3 7" xfId="14295"/>
    <cellStyle name="Note 3 7 2" xfId="14296"/>
    <cellStyle name="Note 3 8" xfId="14297"/>
    <cellStyle name="Note 3 8 2" xfId="14298"/>
    <cellStyle name="Note 3 9" xfId="14299"/>
    <cellStyle name="Note 3 9 2" xfId="14300"/>
    <cellStyle name="Note 4" xfId="14301"/>
    <cellStyle name="Note 4 10" xfId="14302"/>
    <cellStyle name="Note 4 2" xfId="14303"/>
    <cellStyle name="Note 4 2 2" xfId="14304"/>
    <cellStyle name="Note 4 2 2 2" xfId="14305"/>
    <cellStyle name="Note 4 2 2 2 2" xfId="14306"/>
    <cellStyle name="Note 4 2 2 3" xfId="14307"/>
    <cellStyle name="Note 4 2 2 4" xfId="14308"/>
    <cellStyle name="Note 4 2 3" xfId="14309"/>
    <cellStyle name="Note 4 2 3 2" xfId="14310"/>
    <cellStyle name="Note 4 2 4" xfId="14311"/>
    <cellStyle name="Note 4 2 4 2" xfId="14312"/>
    <cellStyle name="Note 4 2 5" xfId="14313"/>
    <cellStyle name="Note 4 2 6" xfId="14314"/>
    <cellStyle name="Note 4 3" xfId="14315"/>
    <cellStyle name="Note 4 3 2" xfId="14316"/>
    <cellStyle name="Note 4 3 3" xfId="14317"/>
    <cellStyle name="Note 4 3 3 2" xfId="14318"/>
    <cellStyle name="Note 4 3 4" xfId="14319"/>
    <cellStyle name="Note 4 4" xfId="14320"/>
    <cellStyle name="Note 4 4 2" xfId="14321"/>
    <cellStyle name="Note 4 4 2 2" xfId="14322"/>
    <cellStyle name="Note 4 4 3" xfId="14323"/>
    <cellStyle name="Note 4 4 4" xfId="14324"/>
    <cellStyle name="Note 4 5" xfId="14325"/>
    <cellStyle name="Note 4 5 2" xfId="14326"/>
    <cellStyle name="Note 4 6" xfId="14327"/>
    <cellStyle name="Note 4 7" xfId="14328"/>
    <cellStyle name="Note 4 7 2" xfId="14329"/>
    <cellStyle name="Note 4 8" xfId="14330"/>
    <cellStyle name="Note 4 9" xfId="14331"/>
    <cellStyle name="Note 5" xfId="14332"/>
    <cellStyle name="Note 5 2" xfId="14333"/>
    <cellStyle name="Note 5 2 2" xfId="14334"/>
    <cellStyle name="Note 5 2 2 2" xfId="14335"/>
    <cellStyle name="Note 5 2 3" xfId="14336"/>
    <cellStyle name="Note 5 2 3 2" xfId="14337"/>
    <cellStyle name="Note 5 2 4" xfId="14338"/>
    <cellStyle name="Note 5 2 5" xfId="14339"/>
    <cellStyle name="Note 5 3" xfId="14340"/>
    <cellStyle name="Note 5 3 2" xfId="14341"/>
    <cellStyle name="Note 5 3 2 2" xfId="14342"/>
    <cellStyle name="Note 5 3 3" xfId="14343"/>
    <cellStyle name="Note 5 3 4" xfId="14344"/>
    <cellStyle name="Note 5 4" xfId="14345"/>
    <cellStyle name="Note 5 4 2" xfId="14346"/>
    <cellStyle name="Note 5 5" xfId="14347"/>
    <cellStyle name="Note 5 5 2" xfId="14348"/>
    <cellStyle name="Note 5 6" xfId="14349"/>
    <cellStyle name="Note 5 6 2" xfId="14350"/>
    <cellStyle name="Note 5 7" xfId="14351"/>
    <cellStyle name="Note 5 8" xfId="14352"/>
    <cellStyle name="Note 6" xfId="14353"/>
    <cellStyle name="Note 6 2" xfId="14354"/>
    <cellStyle name="Note 6 2 2" xfId="14355"/>
    <cellStyle name="Note 6 2 2 2" xfId="14356"/>
    <cellStyle name="Note 6 2 2 2 2" xfId="14357"/>
    <cellStyle name="Note 6 2 2 3" xfId="14358"/>
    <cellStyle name="Note 6 2 3" xfId="14359"/>
    <cellStyle name="Note 6 2 3 2" xfId="14360"/>
    <cellStyle name="Note 6 2 3 2 2" xfId="14361"/>
    <cellStyle name="Note 6 2 3 3" xfId="14362"/>
    <cellStyle name="Note 6 2 3 3 2" xfId="14363"/>
    <cellStyle name="Note 6 2 3 4" xfId="14364"/>
    <cellStyle name="Note 6 2 4" xfId="14365"/>
    <cellStyle name="Note 6 2 4 2" xfId="14366"/>
    <cellStyle name="Note 6 2 5" xfId="14367"/>
    <cellStyle name="Note 6 2 5 2" xfId="14368"/>
    <cellStyle name="Note 6 2 6" xfId="14369"/>
    <cellStyle name="Note 6 3" xfId="14370"/>
    <cellStyle name="Note 6 3 2" xfId="14371"/>
    <cellStyle name="Note 6 3 2 2" xfId="14372"/>
    <cellStyle name="Note 6 3 2 2 2" xfId="14373"/>
    <cellStyle name="Note 6 3 2 3" xfId="14374"/>
    <cellStyle name="Note 6 3 2 3 2" xfId="14375"/>
    <cellStyle name="Note 6 3 2 4" xfId="14376"/>
    <cellStyle name="Note 6 3 3" xfId="14377"/>
    <cellStyle name="Note 6 3 3 2" xfId="14378"/>
    <cellStyle name="Note 6 3 3 2 2" xfId="14379"/>
    <cellStyle name="Note 6 3 3 3" xfId="14380"/>
    <cellStyle name="Note 6 3 3 3 2" xfId="14381"/>
    <cellStyle name="Note 6 3 3 4" xfId="14382"/>
    <cellStyle name="Note 6 3 4" xfId="14383"/>
    <cellStyle name="Note 6 3 4 2" xfId="14384"/>
    <cellStyle name="Note 6 3 5" xfId="14385"/>
    <cellStyle name="Note 6 3 5 2" xfId="14386"/>
    <cellStyle name="Note 6 3 6" xfId="14387"/>
    <cellStyle name="Note 6 4" xfId="14388"/>
    <cellStyle name="Note 6 4 2" xfId="14389"/>
    <cellStyle name="Note 6 4 2 2" xfId="14390"/>
    <cellStyle name="Note 6 4 3" xfId="14391"/>
    <cellStyle name="Note 6 4 3 2" xfId="14392"/>
    <cellStyle name="Note 6 4 4" xfId="14393"/>
    <cellStyle name="Note 6 5" xfId="14394"/>
    <cellStyle name="Note 6 5 2" xfId="14395"/>
    <cellStyle name="Note 6 5 2 2" xfId="14396"/>
    <cellStyle name="Note 6 5 3" xfId="14397"/>
    <cellStyle name="Note 6 6" xfId="14398"/>
    <cellStyle name="Note 6 6 2" xfId="14399"/>
    <cellStyle name="Note 6 6 2 2" xfId="14400"/>
    <cellStyle name="Note 6 6 3" xfId="14401"/>
    <cellStyle name="Note 6 7" xfId="14402"/>
    <cellStyle name="Note 6 7 2" xfId="14403"/>
    <cellStyle name="Note 6 8" xfId="14404"/>
    <cellStyle name="Note 7" xfId="14405"/>
    <cellStyle name="Note 7 10" xfId="14406"/>
    <cellStyle name="Note 7 10 2" xfId="14407"/>
    <cellStyle name="Note 7 11" xfId="14408"/>
    <cellStyle name="Note 7 11 2" xfId="14409"/>
    <cellStyle name="Note 7 12" xfId="14410"/>
    <cellStyle name="Note 7 13" xfId="14411"/>
    <cellStyle name="Note 7 14" xfId="14412"/>
    <cellStyle name="Note 7 2" xfId="14413"/>
    <cellStyle name="Note 7 2 2" xfId="14414"/>
    <cellStyle name="Note 7 2 2 2" xfId="14415"/>
    <cellStyle name="Note 7 2 2 2 2" xfId="14416"/>
    <cellStyle name="Note 7 2 2 2 3" xfId="14417"/>
    <cellStyle name="Note 7 2 2 2 4" xfId="14418"/>
    <cellStyle name="Note 7 2 2 3" xfId="14419"/>
    <cellStyle name="Note 7 2 2 3 2" xfId="14420"/>
    <cellStyle name="Note 7 2 2 3 2 2" xfId="14421"/>
    <cellStyle name="Note 7 2 2 3 3" xfId="14422"/>
    <cellStyle name="Note 7 2 2 4" xfId="14423"/>
    <cellStyle name="Note 7 2 2 4 2" xfId="14424"/>
    <cellStyle name="Note 7 2 2 5" xfId="14425"/>
    <cellStyle name="Note 7 2 2 5 2" xfId="14426"/>
    <cellStyle name="Note 7 2 2 6" xfId="14427"/>
    <cellStyle name="Note 7 2 2 6 2" xfId="14428"/>
    <cellStyle name="Note 7 2 2 6 2 2" xfId="14429"/>
    <cellStyle name="Note 7 2 2 7" xfId="14430"/>
    <cellStyle name="Note 7 2 2 7 2" xfId="14431"/>
    <cellStyle name="Note 7 2 2 8" xfId="14432"/>
    <cellStyle name="Note 7 2 3" xfId="14433"/>
    <cellStyle name="Note 7 2 3 2" xfId="14434"/>
    <cellStyle name="Note 7 2 3 2 2" xfId="14435"/>
    <cellStyle name="Note 7 2 3 2 2 2" xfId="14436"/>
    <cellStyle name="Note 7 2 3 2 3" xfId="14437"/>
    <cellStyle name="Note 7 2 3 3" xfId="14438"/>
    <cellStyle name="Note 7 2 3 3 2" xfId="14439"/>
    <cellStyle name="Note 7 2 3 3 2 2" xfId="14440"/>
    <cellStyle name="Note 7 2 3 4" xfId="14441"/>
    <cellStyle name="Note 7 2 3 4 2" xfId="14442"/>
    <cellStyle name="Note 7 2 3 4 2 2" xfId="14443"/>
    <cellStyle name="Note 7 2 3 5" xfId="14444"/>
    <cellStyle name="Note 7 2 4" xfId="14445"/>
    <cellStyle name="Note 7 2 4 2" xfId="14446"/>
    <cellStyle name="Note 7 2 4 2 2" xfId="14447"/>
    <cellStyle name="Note 7 2 4 2 2 2" xfId="14448"/>
    <cellStyle name="Note 7 2 4 3" xfId="14449"/>
    <cellStyle name="Note 7 2 4 3 2" xfId="14450"/>
    <cellStyle name="Note 7 2 4 4" xfId="14451"/>
    <cellStyle name="Note 7 2 4 5" xfId="14452"/>
    <cellStyle name="Note 7 2 5" xfId="14453"/>
    <cellStyle name="Note 7 2 5 2" xfId="14454"/>
    <cellStyle name="Note 7 2 5 3" xfId="14455"/>
    <cellStyle name="Note 7 2 5 3 2" xfId="14456"/>
    <cellStyle name="Note 7 2 6" xfId="14457"/>
    <cellStyle name="Note 7 2 6 2" xfId="14458"/>
    <cellStyle name="Note 7 2 7" xfId="14459"/>
    <cellStyle name="Note 7 2 8" xfId="14460"/>
    <cellStyle name="Note 7 3" xfId="14461"/>
    <cellStyle name="Note 7 3 10" xfId="14462"/>
    <cellStyle name="Note 7 3 2" xfId="14463"/>
    <cellStyle name="Note 7 3 2 2" xfId="14464"/>
    <cellStyle name="Note 7 3 2 2 2" xfId="14465"/>
    <cellStyle name="Note 7 3 2 2 2 2" xfId="14466"/>
    <cellStyle name="Note 7 3 2 2 3" xfId="14467"/>
    <cellStyle name="Note 7 3 2 3" xfId="14468"/>
    <cellStyle name="Note 7 3 2 3 2" xfId="14469"/>
    <cellStyle name="Note 7 3 2 3 2 2" xfId="14470"/>
    <cellStyle name="Note 7 3 2 3 3" xfId="14471"/>
    <cellStyle name="Note 7 3 2 4" xfId="14472"/>
    <cellStyle name="Note 7 3 2 4 2" xfId="14473"/>
    <cellStyle name="Note 7 3 2 5" xfId="14474"/>
    <cellStyle name="Note 7 3 2 5 2" xfId="14475"/>
    <cellStyle name="Note 7 3 2 5 2 2" xfId="14476"/>
    <cellStyle name="Note 7 3 2 6" xfId="14477"/>
    <cellStyle name="Note 7 3 2 6 2" xfId="14478"/>
    <cellStyle name="Note 7 3 2 6 2 2" xfId="14479"/>
    <cellStyle name="Note 7 3 2 7" xfId="14480"/>
    <cellStyle name="Note 7 3 3" xfId="14481"/>
    <cellStyle name="Note 7 3 3 2" xfId="14482"/>
    <cellStyle name="Note 7 3 3 2 2" xfId="14483"/>
    <cellStyle name="Note 7 3 3 3" xfId="14484"/>
    <cellStyle name="Note 7 3 3 3 2" xfId="14485"/>
    <cellStyle name="Note 7 3 3 4" xfId="14486"/>
    <cellStyle name="Note 7 3 4" xfId="14487"/>
    <cellStyle name="Note 7 3 4 2" xfId="14488"/>
    <cellStyle name="Note 7 3 4 3" xfId="14489"/>
    <cellStyle name="Note 7 3 4 4" xfId="14490"/>
    <cellStyle name="Note 7 3 5" xfId="14491"/>
    <cellStyle name="Note 7 3 5 2" xfId="14492"/>
    <cellStyle name="Note 7 3 5 2 2" xfId="14493"/>
    <cellStyle name="Note 7 3 5 3" xfId="14494"/>
    <cellStyle name="Note 7 3 6" xfId="14495"/>
    <cellStyle name="Note 7 3 6 2" xfId="14496"/>
    <cellStyle name="Note 7 3 7" xfId="14497"/>
    <cellStyle name="Note 7 3 7 2" xfId="14498"/>
    <cellStyle name="Note 7 3 8" xfId="14499"/>
    <cellStyle name="Note 7 3 8 2" xfId="14500"/>
    <cellStyle name="Note 7 3 8 2 2" xfId="14501"/>
    <cellStyle name="Note 7 3 9" xfId="14502"/>
    <cellStyle name="Note 7 3 9 2" xfId="14503"/>
    <cellStyle name="Note 7 4" xfId="14504"/>
    <cellStyle name="Note 7 4 2" xfId="14505"/>
    <cellStyle name="Note 7 4 2 2" xfId="14506"/>
    <cellStyle name="Note 7 4 2 2 2" xfId="14507"/>
    <cellStyle name="Note 7 4 2 3" xfId="14508"/>
    <cellStyle name="Note 7 4 3" xfId="14509"/>
    <cellStyle name="Note 7 4 3 2" xfId="14510"/>
    <cellStyle name="Note 7 4 4" xfId="14511"/>
    <cellStyle name="Note 7 4 4 2" xfId="14512"/>
    <cellStyle name="Note 7 4 5" xfId="14513"/>
    <cellStyle name="Note 7 5" xfId="14514"/>
    <cellStyle name="Note 7 5 2" xfId="14515"/>
    <cellStyle name="Note 7 5 2 2" xfId="14516"/>
    <cellStyle name="Note 7 5 3" xfId="14517"/>
    <cellStyle name="Note 7 5 3 2" xfId="14518"/>
    <cellStyle name="Note 7 5 4" xfId="14519"/>
    <cellStyle name="Note 7 5 4 2" xfId="14520"/>
    <cellStyle name="Note 7 5 5" xfId="14521"/>
    <cellStyle name="Note 7 6" xfId="14522"/>
    <cellStyle name="Note 7 6 2" xfId="14523"/>
    <cellStyle name="Note 7 6 2 2" xfId="14524"/>
    <cellStyle name="Note 7 6 3" xfId="14525"/>
    <cellStyle name="Note 7 6 3 2" xfId="14526"/>
    <cellStyle name="Note 7 6 3 3" xfId="14527"/>
    <cellStyle name="Note 7 7" xfId="14528"/>
    <cellStyle name="Note 7 7 2" xfId="14529"/>
    <cellStyle name="Note 7 7 2 2" xfId="14530"/>
    <cellStyle name="Note 7 7 3" xfId="14531"/>
    <cellStyle name="Note 7 8" xfId="14532"/>
    <cellStyle name="Note 7 8 2" xfId="14533"/>
    <cellStyle name="Note 7 8 2 2" xfId="14534"/>
    <cellStyle name="Note 7 8 3" xfId="14535"/>
    <cellStyle name="Note 7 9" xfId="14536"/>
    <cellStyle name="Note 7 9 2" xfId="14537"/>
    <cellStyle name="Note 8" xfId="14538"/>
    <cellStyle name="Note 8 10" xfId="14539"/>
    <cellStyle name="Note 8 11" xfId="14540"/>
    <cellStyle name="Note 8 12" xfId="14541"/>
    <cellStyle name="Note 8 2" xfId="14542"/>
    <cellStyle name="Note 8 2 2" xfId="14543"/>
    <cellStyle name="Note 8 2 2 2" xfId="14544"/>
    <cellStyle name="Note 8 2 2 2 2" xfId="14545"/>
    <cellStyle name="Note 8 2 2 3" xfId="14546"/>
    <cellStyle name="Note 8 2 2 3 2" xfId="14547"/>
    <cellStyle name="Note 8 2 2 4" xfId="14548"/>
    <cellStyle name="Note 8 2 2 4 2" xfId="14549"/>
    <cellStyle name="Note 8 2 2 5" xfId="14550"/>
    <cellStyle name="Note 8 2 3" xfId="14551"/>
    <cellStyle name="Note 8 2 3 2" xfId="14552"/>
    <cellStyle name="Note 8 2 3 2 2" xfId="14553"/>
    <cellStyle name="Note 8 2 3 3" xfId="14554"/>
    <cellStyle name="Note 8 2 3 3 2" xfId="14555"/>
    <cellStyle name="Note 8 2 3 4" xfId="14556"/>
    <cellStyle name="Note 8 2 4" xfId="14557"/>
    <cellStyle name="Note 8 2 4 2" xfId="14558"/>
    <cellStyle name="Note 8 2 4 2 2" xfId="14559"/>
    <cellStyle name="Note 8 2 4 2 2 2" xfId="14560"/>
    <cellStyle name="Note 8 2 4 3" xfId="14561"/>
    <cellStyle name="Note 8 2 4 3 2" xfId="14562"/>
    <cellStyle name="Note 8 2 4 4" xfId="14563"/>
    <cellStyle name="Note 8 2 4 5" xfId="14564"/>
    <cellStyle name="Note 8 2 5" xfId="14565"/>
    <cellStyle name="Note 8 2 5 2" xfId="14566"/>
    <cellStyle name="Note 8 2 6" xfId="14567"/>
    <cellStyle name="Note 8 2 6 2" xfId="14568"/>
    <cellStyle name="Note 8 2 6 2 2" xfId="14569"/>
    <cellStyle name="Note 8 2 7" xfId="14570"/>
    <cellStyle name="Note 8 2 8" xfId="14571"/>
    <cellStyle name="Note 8 3" xfId="14572"/>
    <cellStyle name="Note 8 3 2" xfId="14573"/>
    <cellStyle name="Note 8 3 2 2" xfId="14574"/>
    <cellStyle name="Note 8 3 2 2 2" xfId="14575"/>
    <cellStyle name="Note 8 3 2 2 2 2" xfId="14576"/>
    <cellStyle name="Note 8 3 2 3" xfId="14577"/>
    <cellStyle name="Note 8 3 2 3 2" xfId="14578"/>
    <cellStyle name="Note 8 3 2 4" xfId="14579"/>
    <cellStyle name="Note 8 3 2 5" xfId="14580"/>
    <cellStyle name="Note 8 3 3" xfId="14581"/>
    <cellStyle name="Note 8 3 3 2" xfId="14582"/>
    <cellStyle name="Note 8 3 3 2 2" xfId="14583"/>
    <cellStyle name="Note 8 3 3 2 2 2" xfId="14584"/>
    <cellStyle name="Note 8 3 3 3" xfId="14585"/>
    <cellStyle name="Note 8 3 3 3 2" xfId="14586"/>
    <cellStyle name="Note 8 3 3 4" xfId="14587"/>
    <cellStyle name="Note 8 3 3 5" xfId="14588"/>
    <cellStyle name="Note 8 3 4" xfId="14589"/>
    <cellStyle name="Note 8 3 4 2" xfId="14590"/>
    <cellStyle name="Note 8 3 5" xfId="14591"/>
    <cellStyle name="Note 8 3 6" xfId="14592"/>
    <cellStyle name="Note 8 4" xfId="14593"/>
    <cellStyle name="Note 8 4 2" xfId="14594"/>
    <cellStyle name="Note 8 4 2 2" xfId="14595"/>
    <cellStyle name="Note 8 4 3" xfId="14596"/>
    <cellStyle name="Note 8 4 3 2" xfId="14597"/>
    <cellStyle name="Note 8 4 4" xfId="14598"/>
    <cellStyle name="Note 8 5" xfId="14599"/>
    <cellStyle name="Note 8 5 2" xfId="14600"/>
    <cellStyle name="Note 8 5 2 2" xfId="14601"/>
    <cellStyle name="Note 8 5 3" xfId="14602"/>
    <cellStyle name="Note 8 5 3 2" xfId="14603"/>
    <cellStyle name="Note 8 5 3 3" xfId="14604"/>
    <cellStyle name="Note 8 6" xfId="14605"/>
    <cellStyle name="Note 8 6 2" xfId="14606"/>
    <cellStyle name="Note 8 6 2 2" xfId="14607"/>
    <cellStyle name="Note 8 6 3" xfId="14608"/>
    <cellStyle name="Note 8 6 3 2" xfId="14609"/>
    <cellStyle name="Note 8 6 4" xfId="14610"/>
    <cellStyle name="Note 8 7" xfId="14611"/>
    <cellStyle name="Note 8 7 2" xfId="14612"/>
    <cellStyle name="Note 8 7 2 2" xfId="14613"/>
    <cellStyle name="Note 8 7 2 2 2" xfId="14614"/>
    <cellStyle name="Note 8 7 3" xfId="14615"/>
    <cellStyle name="Note 8 7 4" xfId="14616"/>
    <cellStyle name="Note 8 8" xfId="14617"/>
    <cellStyle name="Note 8 8 2" xfId="14618"/>
    <cellStyle name="Note 8 8 3" xfId="14619"/>
    <cellStyle name="Note 8 9" xfId="14620"/>
    <cellStyle name="Note 8 9 2" xfId="14621"/>
    <cellStyle name="Note 9" xfId="14622"/>
    <cellStyle name="Note 9 10" xfId="14623"/>
    <cellStyle name="Note 9 11" xfId="14624"/>
    <cellStyle name="Note 9 2" xfId="14625"/>
    <cellStyle name="Note 9 2 2" xfId="14626"/>
    <cellStyle name="Note 9 2 2 2" xfId="14627"/>
    <cellStyle name="Note 9 2 2 2 2" xfId="14628"/>
    <cellStyle name="Note 9 2 2 2 2 2" xfId="14629"/>
    <cellStyle name="Note 9 2 2 3" xfId="14630"/>
    <cellStyle name="Note 9 2 2 3 2" xfId="14631"/>
    <cellStyle name="Note 9 2 2 4" xfId="14632"/>
    <cellStyle name="Note 9 2 2 5" xfId="14633"/>
    <cellStyle name="Note 9 2 3" xfId="14634"/>
    <cellStyle name="Note 9 2 3 2" xfId="14635"/>
    <cellStyle name="Note 9 2 3 2 2" xfId="14636"/>
    <cellStyle name="Note 9 2 3 2 2 2" xfId="14637"/>
    <cellStyle name="Note 9 2 3 3" xfId="14638"/>
    <cellStyle name="Note 9 2 3 3 2" xfId="14639"/>
    <cellStyle name="Note 9 2 3 4" xfId="14640"/>
    <cellStyle name="Note 9 2 3 5" xfId="14641"/>
    <cellStyle name="Note 9 2 4" xfId="14642"/>
    <cellStyle name="Note 9 2 4 2" xfId="14643"/>
    <cellStyle name="Note 9 2 4 3" xfId="14644"/>
    <cellStyle name="Note 9 2 5" xfId="14645"/>
    <cellStyle name="Note 9 2 6" xfId="14646"/>
    <cellStyle name="Note 9 3" xfId="14647"/>
    <cellStyle name="Note 9 3 2" xfId="14648"/>
    <cellStyle name="Note 9 3 2 2" xfId="14649"/>
    <cellStyle name="Note 9 3 3" xfId="14650"/>
    <cellStyle name="Note 9 3 3 2" xfId="14651"/>
    <cellStyle name="Note 9 3 4" xfId="14652"/>
    <cellStyle name="Note 9 3 4 2" xfId="14653"/>
    <cellStyle name="Note 9 3 5" xfId="14654"/>
    <cellStyle name="Note 9 4" xfId="14655"/>
    <cellStyle name="Note 9 4 2" xfId="14656"/>
    <cellStyle name="Note 9 4 2 2" xfId="14657"/>
    <cellStyle name="Note 9 4 3" xfId="14658"/>
    <cellStyle name="Note 9 4 3 2" xfId="14659"/>
    <cellStyle name="Note 9 4 3 3" xfId="14660"/>
    <cellStyle name="Note 9 5" xfId="14661"/>
    <cellStyle name="Note 9 5 2" xfId="14662"/>
    <cellStyle name="Note 9 5 3" xfId="14663"/>
    <cellStyle name="Note 9 6" xfId="14664"/>
    <cellStyle name="Note 9 6 2" xfId="14665"/>
    <cellStyle name="Note 9 6 2 2" xfId="14666"/>
    <cellStyle name="Note 9 6 3" xfId="14667"/>
    <cellStyle name="Note 9 7" xfId="14668"/>
    <cellStyle name="Note 9 7 2" xfId="14669"/>
    <cellStyle name="Note 9 8" xfId="14670"/>
    <cellStyle name="Note 9 8 2" xfId="14671"/>
    <cellStyle name="Note 9 9" xfId="14672"/>
    <cellStyle name="Output 2" xfId="14673"/>
    <cellStyle name="Output 2 2" xfId="14674"/>
    <cellStyle name="Output 2 2 2" xfId="14675"/>
    <cellStyle name="Output 2 2 3" xfId="14676"/>
    <cellStyle name="Output 2 2 4" xfId="14677"/>
    <cellStyle name="Output 2 3" xfId="14678"/>
    <cellStyle name="Output 2 3 2" xfId="14679"/>
    <cellStyle name="Output 2 3 3" xfId="14680"/>
    <cellStyle name="Output 2 4" xfId="14681"/>
    <cellStyle name="Output 2 4 2" xfId="14682"/>
    <cellStyle name="Output 2 4 3" xfId="14683"/>
    <cellStyle name="Output 2 5" xfId="14684"/>
    <cellStyle name="Output 2 6" xfId="14685"/>
    <cellStyle name="Output 3" xfId="14686"/>
    <cellStyle name="Output 3 2" xfId="14687"/>
    <cellStyle name="Output 3 2 2" xfId="14688"/>
    <cellStyle name="Output 3 2 3" xfId="14689"/>
    <cellStyle name="Output 3 3" xfId="14690"/>
    <cellStyle name="Output 3 4" xfId="14691"/>
    <cellStyle name="Output 3 5" xfId="14692"/>
    <cellStyle name="Output 4" xfId="14693"/>
    <cellStyle name="Output 4 2" xfId="14694"/>
    <cellStyle name="Output 4 3" xfId="14695"/>
    <cellStyle name="Output 5" xfId="14696"/>
    <cellStyle name="Output 5 2" xfId="14697"/>
    <cellStyle name="Output 5 3" xfId="14698"/>
    <cellStyle name="Output 6" xfId="14699"/>
    <cellStyle name="Output 6 2" xfId="14700"/>
    <cellStyle name="Output 6 3" xfId="14701"/>
    <cellStyle name="Output 6 4" xfId="14702"/>
    <cellStyle name="Percen - Style1" xfId="14703"/>
    <cellStyle name="Percen - Style2" xfId="14704"/>
    <cellStyle name="Percen - Style3" xfId="14705"/>
    <cellStyle name="Percent (0)" xfId="14706"/>
    <cellStyle name="Percent [2]" xfId="15"/>
    <cellStyle name="Percent [2] 2" xfId="14707"/>
    <cellStyle name="Percent [2] 2 2" xfId="14708"/>
    <cellStyle name="Percent [2] 3" xfId="14709"/>
    <cellStyle name="Percent 10" xfId="14710"/>
    <cellStyle name="Percent 10 10" xfId="14711"/>
    <cellStyle name="Percent 10 11" xfId="14712"/>
    <cellStyle name="Percent 10 2" xfId="14713"/>
    <cellStyle name="Percent 10 2 2" xfId="14714"/>
    <cellStyle name="Percent 10 2 2 2" xfId="14715"/>
    <cellStyle name="Percent 10 2 2 2 2" xfId="14716"/>
    <cellStyle name="Percent 10 2 2 2 3" xfId="14717"/>
    <cellStyle name="Percent 10 2 2 3" xfId="14718"/>
    <cellStyle name="Percent 10 2 2 3 2" xfId="14719"/>
    <cellStyle name="Percent 10 2 2 4" xfId="14720"/>
    <cellStyle name="Percent 10 2 2 4 2" xfId="14721"/>
    <cellStyle name="Percent 10 2 2 5" xfId="14722"/>
    <cellStyle name="Percent 10 2 3" xfId="14723"/>
    <cellStyle name="Percent 10 2 3 2" xfId="14724"/>
    <cellStyle name="Percent 10 2 3 2 2" xfId="14725"/>
    <cellStyle name="Percent 10 2 3 3" xfId="14726"/>
    <cellStyle name="Percent 10 2 3 3 2" xfId="14727"/>
    <cellStyle name="Percent 10 2 3 4" xfId="14728"/>
    <cellStyle name="Percent 10 2 4" xfId="14729"/>
    <cellStyle name="Percent 10 2 4 2" xfId="14730"/>
    <cellStyle name="Percent 10 2 5" xfId="14731"/>
    <cellStyle name="Percent 10 2 5 2" xfId="14732"/>
    <cellStyle name="Percent 10 2 6" xfId="14733"/>
    <cellStyle name="Percent 10 2 6 2" xfId="14734"/>
    <cellStyle name="Percent 10 2 7" xfId="14735"/>
    <cellStyle name="Percent 10 3" xfId="14736"/>
    <cellStyle name="Percent 10 3 2" xfId="14737"/>
    <cellStyle name="Percent 10 3 2 2" xfId="14738"/>
    <cellStyle name="Percent 10 3 2 2 2" xfId="14739"/>
    <cellStyle name="Percent 10 3 2 3" xfId="14740"/>
    <cellStyle name="Percent 10 3 2 3 2" xfId="14741"/>
    <cellStyle name="Percent 10 3 2 4" xfId="14742"/>
    <cellStyle name="Percent 10 3 2 4 2" xfId="14743"/>
    <cellStyle name="Percent 10 3 2 5" xfId="14744"/>
    <cellStyle name="Percent 10 3 3" xfId="14745"/>
    <cellStyle name="Percent 10 3 3 2" xfId="14746"/>
    <cellStyle name="Percent 10 3 3 2 2" xfId="14747"/>
    <cellStyle name="Percent 10 3 3 3" xfId="14748"/>
    <cellStyle name="Percent 10 3 4" xfId="14749"/>
    <cellStyle name="Percent 10 3 4 2" xfId="14750"/>
    <cellStyle name="Percent 10 3 5" xfId="14751"/>
    <cellStyle name="Percent 10 3 5 2" xfId="14752"/>
    <cellStyle name="Percent 10 3 6" xfId="14753"/>
    <cellStyle name="Percent 10 4" xfId="14754"/>
    <cellStyle name="Percent 10 4 2" xfId="14755"/>
    <cellStyle name="Percent 10 4 2 2" xfId="14756"/>
    <cellStyle name="Percent 10 4 2 2 2" xfId="14757"/>
    <cellStyle name="Percent 10 4 2 3" xfId="14758"/>
    <cellStyle name="Percent 10 4 3" xfId="14759"/>
    <cellStyle name="Percent 10 4 3 2" xfId="14760"/>
    <cellStyle name="Percent 10 4 4" xfId="14761"/>
    <cellStyle name="Percent 10 4 4 2" xfId="14762"/>
    <cellStyle name="Percent 10 4 5" xfId="14763"/>
    <cellStyle name="Percent 10 5" xfId="14764"/>
    <cellStyle name="Percent 10 5 2" xfId="14765"/>
    <cellStyle name="Percent 10 5 2 2" xfId="14766"/>
    <cellStyle name="Percent 10 5 3" xfId="14767"/>
    <cellStyle name="Percent 10 5 3 2" xfId="14768"/>
    <cellStyle name="Percent 10 5 4" xfId="14769"/>
    <cellStyle name="Percent 10 5 4 2" xfId="14770"/>
    <cellStyle name="Percent 10 5 5" xfId="14771"/>
    <cellStyle name="Percent 10 6" xfId="14772"/>
    <cellStyle name="Percent 10 6 2" xfId="14773"/>
    <cellStyle name="Percent 10 6 2 2" xfId="14774"/>
    <cellStyle name="Percent 10 6 3" xfId="14775"/>
    <cellStyle name="Percent 10 6 3 2" xfId="14776"/>
    <cellStyle name="Percent 10 6 4" xfId="14777"/>
    <cellStyle name="Percent 10 7" xfId="14778"/>
    <cellStyle name="Percent 10 7 2" xfId="14779"/>
    <cellStyle name="Percent 10 7 2 2" xfId="14780"/>
    <cellStyle name="Percent 10 7 3" xfId="14781"/>
    <cellStyle name="Percent 10 8" xfId="14782"/>
    <cellStyle name="Percent 10 8 2" xfId="14783"/>
    <cellStyle name="Percent 10 8 2 2" xfId="14784"/>
    <cellStyle name="Percent 10 8 3" xfId="14785"/>
    <cellStyle name="Percent 10 9" xfId="14786"/>
    <cellStyle name="Percent 10 9 2" xfId="14787"/>
    <cellStyle name="Percent 11" xfId="14788"/>
    <cellStyle name="Percent 11 2" xfId="14789"/>
    <cellStyle name="Percent 12" xfId="14790"/>
    <cellStyle name="Percent 12 2" xfId="14791"/>
    <cellStyle name="Percent 13" xfId="14792"/>
    <cellStyle name="Percent 13 2" xfId="14793"/>
    <cellStyle name="Percent 13 2 2" xfId="14794"/>
    <cellStyle name="Percent 13 3" xfId="14795"/>
    <cellStyle name="Percent 13 4" xfId="14796"/>
    <cellStyle name="Percent 14" xfId="14797"/>
    <cellStyle name="Percent 14 2" xfId="14798"/>
    <cellStyle name="Percent 14 2 2" xfId="14799"/>
    <cellStyle name="Percent 14 3" xfId="14800"/>
    <cellStyle name="Percent 14 4" xfId="14801"/>
    <cellStyle name="Percent 15" xfId="14802"/>
    <cellStyle name="Percent 15 2" xfId="14803"/>
    <cellStyle name="Percent 16" xfId="14804"/>
    <cellStyle name="Percent 16 2" xfId="14805"/>
    <cellStyle name="Percent 17" xfId="14806"/>
    <cellStyle name="Percent 18" xfId="14807"/>
    <cellStyle name="Percent 19" xfId="14808"/>
    <cellStyle name="Percent 19 2" xfId="14809"/>
    <cellStyle name="Percent 2" xfId="16"/>
    <cellStyle name="Percent 2 2" xfId="14810"/>
    <cellStyle name="Percent 2 2 2" xfId="14811"/>
    <cellStyle name="Percent 2 3" xfId="14812"/>
    <cellStyle name="Percent 20" xfId="14813"/>
    <cellStyle name="Percent 20 2" xfId="14814"/>
    <cellStyle name="Percent 21" xfId="14815"/>
    <cellStyle name="Percent 21 2" xfId="14816"/>
    <cellStyle name="Percent 21 3" xfId="14817"/>
    <cellStyle name="Percent 21 3 2" xfId="14818"/>
    <cellStyle name="Percent 21 3 3" xfId="14819"/>
    <cellStyle name="Percent 21 4" xfId="14820"/>
    <cellStyle name="Percent 22" xfId="14821"/>
    <cellStyle name="Percent 22 2" xfId="14822"/>
    <cellStyle name="Percent 22 2 2" xfId="14823"/>
    <cellStyle name="Percent 22 3" xfId="14824"/>
    <cellStyle name="Percent 23" xfId="14825"/>
    <cellStyle name="Percent 23 2" xfId="14826"/>
    <cellStyle name="Percent 23 2 2" xfId="14827"/>
    <cellStyle name="Percent 23 3" xfId="14828"/>
    <cellStyle name="Percent 24" xfId="14829"/>
    <cellStyle name="Percent 24 2" xfId="14830"/>
    <cellStyle name="Percent 24 2 2" xfId="14831"/>
    <cellStyle name="Percent 24 3" xfId="14832"/>
    <cellStyle name="Percent 25" xfId="14833"/>
    <cellStyle name="Percent 25 2" xfId="14834"/>
    <cellStyle name="Percent 25 2 2" xfId="14835"/>
    <cellStyle name="Percent 25 3" xfId="14836"/>
    <cellStyle name="Percent 26" xfId="14837"/>
    <cellStyle name="Percent 27" xfId="14838"/>
    <cellStyle name="Percent 27 2" xfId="14839"/>
    <cellStyle name="Percent 28" xfId="14840"/>
    <cellStyle name="Percent 28 2" xfId="14841"/>
    <cellStyle name="Percent 29" xfId="14842"/>
    <cellStyle name="Percent 3" xfId="14843"/>
    <cellStyle name="Percent 3 2" xfId="14844"/>
    <cellStyle name="Percent 3 2 2" xfId="14845"/>
    <cellStyle name="Percent 3 3" xfId="14846"/>
    <cellStyle name="Percent 30" xfId="14847"/>
    <cellStyle name="Percent 30 2" xfId="14848"/>
    <cellStyle name="Percent 31" xfId="14849"/>
    <cellStyle name="Percent 32" xfId="14850"/>
    <cellStyle name="Percent 33" xfId="14851"/>
    <cellStyle name="Percent 34" xfId="14852"/>
    <cellStyle name="Percent 35" xfId="14853"/>
    <cellStyle name="Percent 36" xfId="14854"/>
    <cellStyle name="Percent 4" xfId="14855"/>
    <cellStyle name="Percent 5" xfId="14856"/>
    <cellStyle name="Percent 5 2" xfId="14857"/>
    <cellStyle name="Percent 5 2 2" xfId="14858"/>
    <cellStyle name="Percent 5 3" xfId="14859"/>
    <cellStyle name="Percent 6" xfId="14860"/>
    <cellStyle name="Percent 7" xfId="14861"/>
    <cellStyle name="Percent 8" xfId="14862"/>
    <cellStyle name="Percent 9" xfId="14863"/>
    <cellStyle name="Percent 9 2" xfId="14864"/>
    <cellStyle name="Percent 9 2 10" xfId="14865"/>
    <cellStyle name="Percent 9 2 11" xfId="14866"/>
    <cellStyle name="Percent 9 2 2" xfId="14867"/>
    <cellStyle name="Percent 9 2 2 2" xfId="14868"/>
    <cellStyle name="Percent 9 2 2 2 2" xfId="14869"/>
    <cellStyle name="Percent 9 2 2 2 2 2" xfId="14870"/>
    <cellStyle name="Percent 9 2 2 2 3" xfId="14871"/>
    <cellStyle name="Percent 9 2 2 2 3 2" xfId="14872"/>
    <cellStyle name="Percent 9 2 2 2 4" xfId="14873"/>
    <cellStyle name="Percent 9 2 2 2 5" xfId="14874"/>
    <cellStyle name="Percent 9 2 2 3" xfId="14875"/>
    <cellStyle name="Percent 9 2 2 3 2" xfId="14876"/>
    <cellStyle name="Percent 9 2 2 3 2 2" xfId="14877"/>
    <cellStyle name="Percent 9 2 2 3 3" xfId="14878"/>
    <cellStyle name="Percent 9 2 2 4" xfId="14879"/>
    <cellStyle name="Percent 9 2 2 4 2" xfId="14880"/>
    <cellStyle name="Percent 9 2 2 5" xfId="14881"/>
    <cellStyle name="Percent 9 2 2 5 2" xfId="14882"/>
    <cellStyle name="Percent 9 2 2 6" xfId="14883"/>
    <cellStyle name="Percent 9 2 3" xfId="14884"/>
    <cellStyle name="Percent 9 2 3 2" xfId="14885"/>
    <cellStyle name="Percent 9 2 3 2 2" xfId="14886"/>
    <cellStyle name="Percent 9 2 3 2 2 2" xfId="14887"/>
    <cellStyle name="Percent 9 2 3 2 3" xfId="14888"/>
    <cellStyle name="Percent 9 2 3 2 3 2" xfId="14889"/>
    <cellStyle name="Percent 9 2 3 2 4" xfId="14890"/>
    <cellStyle name="Percent 9 2 3 2 5" xfId="14891"/>
    <cellStyle name="Percent 9 2 3 3" xfId="14892"/>
    <cellStyle name="Percent 9 2 3 3 2" xfId="14893"/>
    <cellStyle name="Percent 9 2 3 3 2 2" xfId="14894"/>
    <cellStyle name="Percent 9 2 3 3 3" xfId="14895"/>
    <cellStyle name="Percent 9 2 3 4" xfId="14896"/>
    <cellStyle name="Percent 9 2 3 4 2" xfId="14897"/>
    <cellStyle name="Percent 9 2 3 5" xfId="14898"/>
    <cellStyle name="Percent 9 2 3 5 2" xfId="14899"/>
    <cellStyle name="Percent 9 2 3 6" xfId="14900"/>
    <cellStyle name="Percent 9 2 4" xfId="14901"/>
    <cellStyle name="Percent 9 2 4 2" xfId="14902"/>
    <cellStyle name="Percent 9 2 4 2 2" xfId="14903"/>
    <cellStyle name="Percent 9 2 4 2 2 2" xfId="14904"/>
    <cellStyle name="Percent 9 2 4 2 3" xfId="14905"/>
    <cellStyle name="Percent 9 2 4 2 3 2" xfId="14906"/>
    <cellStyle name="Percent 9 2 4 2 4" xfId="14907"/>
    <cellStyle name="Percent 9 2 4 3" xfId="14908"/>
    <cellStyle name="Percent 9 2 4 3 2" xfId="14909"/>
    <cellStyle name="Percent 9 2 4 4" xfId="14910"/>
    <cellStyle name="Percent 9 2 4 4 2" xfId="14911"/>
    <cellStyle name="Percent 9 2 4 5" xfId="14912"/>
    <cellStyle name="Percent 9 2 4 5 2" xfId="14913"/>
    <cellStyle name="Percent 9 2 4 6" xfId="14914"/>
    <cellStyle name="Percent 9 2 5" xfId="14915"/>
    <cellStyle name="Percent 9 2 5 2" xfId="14916"/>
    <cellStyle name="Percent 9 2 5 2 2" xfId="14917"/>
    <cellStyle name="Percent 9 2 5 3" xfId="14918"/>
    <cellStyle name="Percent 9 2 5 3 2" xfId="14919"/>
    <cellStyle name="Percent 9 2 5 4" xfId="14920"/>
    <cellStyle name="Percent 9 2 5 4 2" xfId="14921"/>
    <cellStyle name="Percent 9 2 5 5" xfId="14922"/>
    <cellStyle name="Percent 9 2 6" xfId="14923"/>
    <cellStyle name="Percent 9 2 6 2" xfId="14924"/>
    <cellStyle name="Percent 9 2 6 2 2" xfId="14925"/>
    <cellStyle name="Percent 9 2 6 3" xfId="14926"/>
    <cellStyle name="Percent 9 2 6 3 2" xfId="14927"/>
    <cellStyle name="Percent 9 2 6 4" xfId="14928"/>
    <cellStyle name="Percent 9 2 7" xfId="14929"/>
    <cellStyle name="Percent 9 2 7 2" xfId="14930"/>
    <cellStyle name="Percent 9 2 7 2 2" xfId="14931"/>
    <cellStyle name="Percent 9 2 7 3" xfId="14932"/>
    <cellStyle name="Percent 9 2 8" xfId="14933"/>
    <cellStyle name="Percent 9 2 8 2" xfId="14934"/>
    <cellStyle name="Percent 9 2 9" xfId="14935"/>
    <cellStyle name="Percent 9 3" xfId="14936"/>
    <cellStyle name="Percent 9 4" xfId="14937"/>
    <cellStyle name="Percent 9 4 2" xfId="14938"/>
    <cellStyle name="Percent 9 4 2 2" xfId="14939"/>
    <cellStyle name="Percent 9 4 3" xfId="14940"/>
    <cellStyle name="Percent 9 4 3 2" xfId="14941"/>
    <cellStyle name="Percent 9 4 4" xfId="14942"/>
    <cellStyle name="Percent 9 4 5" xfId="14943"/>
    <cellStyle name="Percent 9 5" xfId="14944"/>
    <cellStyle name="Percent 9 5 2" xfId="14945"/>
    <cellStyle name="Percent 9 6" xfId="14946"/>
    <cellStyle name="Processing" xfId="14947"/>
    <cellStyle name="PSChar" xfId="14948"/>
    <cellStyle name="PSDate" xfId="14949"/>
    <cellStyle name="PSDec" xfId="14950"/>
    <cellStyle name="PSHeading" xfId="14951"/>
    <cellStyle name="PSInt" xfId="14952"/>
    <cellStyle name="PSSpacer" xfId="14953"/>
    <cellStyle name="purple - Style8" xfId="14954"/>
    <cellStyle name="RED" xfId="14955"/>
    <cellStyle name="Red - Style7" xfId="14956"/>
    <cellStyle name="Report" xfId="14957"/>
    <cellStyle name="Report Bar" xfId="14958"/>
    <cellStyle name="Report Heading" xfId="14959"/>
    <cellStyle name="Report Percent" xfId="14960"/>
    <cellStyle name="Report Unit Cost" xfId="14961"/>
    <cellStyle name="Reports" xfId="14962"/>
    <cellStyle name="Reports Total" xfId="14963"/>
    <cellStyle name="Reports Unit Cost Total" xfId="14964"/>
    <cellStyle name="RevList" xfId="14965"/>
    <cellStyle name="round100" xfId="14966"/>
    <cellStyle name="SAPBEXaggData" xfId="14967"/>
    <cellStyle name="SAPBEXaggDataEmph" xfId="14968"/>
    <cellStyle name="SAPBEXaggItem" xfId="14969"/>
    <cellStyle name="SAPBEXaggItemX" xfId="14970"/>
    <cellStyle name="SAPBEXchaText" xfId="14971"/>
    <cellStyle name="SAPBEXchaText 2" xfId="14972"/>
    <cellStyle name="SAPBEXexcBad7" xfId="14973"/>
    <cellStyle name="SAPBEXexcBad8" xfId="14974"/>
    <cellStyle name="SAPBEXexcBad9" xfId="14975"/>
    <cellStyle name="SAPBEXexcCritical4" xfId="14976"/>
    <cellStyle name="SAPBEXexcCritical5" xfId="14977"/>
    <cellStyle name="SAPBEXexcCritical6" xfId="14978"/>
    <cellStyle name="SAPBEXexcGood1" xfId="14979"/>
    <cellStyle name="SAPBEXexcGood2" xfId="14980"/>
    <cellStyle name="SAPBEXexcGood3" xfId="14981"/>
    <cellStyle name="SAPBEXfilterDrill" xfId="14982"/>
    <cellStyle name="SAPBEXfilterItem" xfId="14983"/>
    <cellStyle name="SAPBEXfilterText" xfId="14984"/>
    <cellStyle name="SAPBEXformats" xfId="14985"/>
    <cellStyle name="SAPBEXheaderItem" xfId="14986"/>
    <cellStyle name="SAPBEXheaderText" xfId="14987"/>
    <cellStyle name="SAPBEXHLevel0" xfId="14988"/>
    <cellStyle name="SAPBEXHLevel0X" xfId="14989"/>
    <cellStyle name="SAPBEXHLevel1" xfId="14990"/>
    <cellStyle name="SAPBEXHLevel1X" xfId="14991"/>
    <cellStyle name="SAPBEXHLevel2" xfId="14992"/>
    <cellStyle name="SAPBEXHLevel2X" xfId="14993"/>
    <cellStyle name="SAPBEXHLevel3" xfId="14994"/>
    <cellStyle name="SAPBEXHLevel3X" xfId="14995"/>
    <cellStyle name="SAPBEXinputData" xfId="14996"/>
    <cellStyle name="SAPBEXItemHeader" xfId="15101"/>
    <cellStyle name="SAPBEXresData" xfId="14997"/>
    <cellStyle name="SAPBEXresDataEmph" xfId="14998"/>
    <cellStyle name="SAPBEXresItem" xfId="14999"/>
    <cellStyle name="SAPBEXresItemX" xfId="15000"/>
    <cellStyle name="SAPBEXstdData" xfId="15001"/>
    <cellStyle name="SAPBEXstdDataEmph" xfId="15002"/>
    <cellStyle name="SAPBEXstdItem" xfId="15003"/>
    <cellStyle name="SAPBEXstdItemX" xfId="15004"/>
    <cellStyle name="SAPBEXtitle" xfId="15005"/>
    <cellStyle name="SAPBEXunassignedItem" xfId="15102"/>
    <cellStyle name="SAPBEXundefined" xfId="15006"/>
    <cellStyle name="SAPBorder" xfId="15103"/>
    <cellStyle name="SAPDataCell" xfId="15104"/>
    <cellStyle name="SAPDataTotalCell" xfId="15105"/>
    <cellStyle name="SAPDimensionCell" xfId="15106"/>
    <cellStyle name="SAPEditableDataCell" xfId="15107"/>
    <cellStyle name="SAPEditableDataTotalCell" xfId="15108"/>
    <cellStyle name="SAPEmphasized" xfId="15109"/>
    <cellStyle name="SAPEmphasizedTotal" xfId="15110"/>
    <cellStyle name="SAPExceptionLevel1" xfId="15111"/>
    <cellStyle name="SAPExceptionLevel2" xfId="15112"/>
    <cellStyle name="SAPExceptionLevel3" xfId="15113"/>
    <cellStyle name="SAPExceptionLevel4" xfId="15114"/>
    <cellStyle name="SAPExceptionLevel5" xfId="15115"/>
    <cellStyle name="SAPExceptionLevel6" xfId="15116"/>
    <cellStyle name="SAPExceptionLevel7" xfId="15117"/>
    <cellStyle name="SAPExceptionLevel8" xfId="15118"/>
    <cellStyle name="SAPExceptionLevel9" xfId="15119"/>
    <cellStyle name="SAPHierarchyCell0" xfId="15120"/>
    <cellStyle name="SAPHierarchyCell1" xfId="15121"/>
    <cellStyle name="SAPHierarchyCell2" xfId="15122"/>
    <cellStyle name="SAPHierarchyCell3" xfId="15123"/>
    <cellStyle name="SAPHierarchyCell4" xfId="15124"/>
    <cellStyle name="SAPLockedDataCell" xfId="15125"/>
    <cellStyle name="SAPLockedDataTotalCell" xfId="15126"/>
    <cellStyle name="SAPMemberCell" xfId="15127"/>
    <cellStyle name="SAPMemberTotalCell" xfId="15128"/>
    <cellStyle name="SAPReadonlyDataCell" xfId="15129"/>
    <cellStyle name="SAPReadonlyDataTotalCell" xfId="15130"/>
    <cellStyle name="shade" xfId="15007"/>
    <cellStyle name="Sheet Title" xfId="15008"/>
    <cellStyle name="StmtTtl1" xfId="15009"/>
    <cellStyle name="StmtTtl2" xfId="15010"/>
    <cellStyle name="STYL1 - Style1" xfId="15011"/>
    <cellStyle name="Style 1" xfId="15012"/>
    <cellStyle name="Style 1 2" xfId="15013"/>
    <cellStyle name="Style 1 3" xfId="15014"/>
    <cellStyle name="Subtotal" xfId="15015"/>
    <cellStyle name="Sub-total" xfId="15016"/>
    <cellStyle name="taples Plaza" xfId="15017"/>
    <cellStyle name="Tickmark" xfId="15018"/>
    <cellStyle name="Title 2" xfId="15019"/>
    <cellStyle name="Title 2 2" xfId="15020"/>
    <cellStyle name="Title 2 2 2" xfId="15021"/>
    <cellStyle name="Title 2 2 3" xfId="15022"/>
    <cellStyle name="Title 2 3" xfId="15023"/>
    <cellStyle name="Title 2 3 2" xfId="15024"/>
    <cellStyle name="Title 3" xfId="15025"/>
    <cellStyle name="Title 3 2" xfId="15026"/>
    <cellStyle name="Title 3 3" xfId="15027"/>
    <cellStyle name="Title 3 4" xfId="15028"/>
    <cellStyle name="Title 3 5" xfId="15029"/>
    <cellStyle name="Title 4" xfId="15030"/>
    <cellStyle name="Title 4 2" xfId="15031"/>
    <cellStyle name="Title 4 3" xfId="15032"/>
    <cellStyle name="Title: Major" xfId="15033"/>
    <cellStyle name="Title: Minor" xfId="15034"/>
    <cellStyle name="Title: Worksheet" xfId="15035"/>
    <cellStyle name="Total 2" xfId="15036"/>
    <cellStyle name="Total 2 2" xfId="15037"/>
    <cellStyle name="Total 2 2 2" xfId="15038"/>
    <cellStyle name="Total 2 2 3" xfId="15039"/>
    <cellStyle name="Total 2 2 4" xfId="15040"/>
    <cellStyle name="Total 2 3" xfId="15041"/>
    <cellStyle name="Total 2 3 2" xfId="15042"/>
    <cellStyle name="Total 2 3 3" xfId="15043"/>
    <cellStyle name="Total 2 4" xfId="15044"/>
    <cellStyle name="Total 2 4 2" xfId="15045"/>
    <cellStyle name="Total 2 4 3" xfId="15046"/>
    <cellStyle name="Total 2 5" xfId="15047"/>
    <cellStyle name="Total 2 6" xfId="15048"/>
    <cellStyle name="Total 3" xfId="15049"/>
    <cellStyle name="Total 3 2" xfId="15050"/>
    <cellStyle name="Total 3 2 2" xfId="15051"/>
    <cellStyle name="Total 3 2 3" xfId="15052"/>
    <cellStyle name="Total 3 3" xfId="15053"/>
    <cellStyle name="Total 3 4" xfId="15054"/>
    <cellStyle name="Total 3 5" xfId="15055"/>
    <cellStyle name="Total 4" xfId="15056"/>
    <cellStyle name="Total 4 2" xfId="15057"/>
    <cellStyle name="Total 4 3" xfId="15058"/>
    <cellStyle name="Total 5" xfId="15059"/>
    <cellStyle name="Total 5 2" xfId="15060"/>
    <cellStyle name="Total 5 3" xfId="15061"/>
    <cellStyle name="Total 6" xfId="15062"/>
    <cellStyle name="Total 6 2" xfId="15063"/>
    <cellStyle name="Total 6 3" xfId="15064"/>
    <cellStyle name="Total 6 4" xfId="15065"/>
    <cellStyle name="Total4 - Style4" xfId="15066"/>
    <cellStyle name="Warning Text 2" xfId="15067"/>
    <cellStyle name="Warning Text 2 2" xfId="15068"/>
    <cellStyle name="Warning Text 2 2 2" xfId="15069"/>
    <cellStyle name="Warning Text 2 2 3" xfId="15070"/>
    <cellStyle name="Warning Text 2 3" xfId="15071"/>
    <cellStyle name="Warning Text 2 4" xfId="15072"/>
    <cellStyle name="Warning Text 2 4 2" xfId="15073"/>
    <cellStyle name="Warning Text 2 5" xfId="15074"/>
    <cellStyle name="Warning Text 2 6" xfId="15075"/>
    <cellStyle name="Warning Text 2 7" xfId="15076"/>
    <cellStyle name="Warning Text 2 8" xfId="15077"/>
    <cellStyle name="Warning Text 3" xfId="15078"/>
    <cellStyle name="Warning Text 3 2" xfId="15079"/>
    <cellStyle name="Warning Text 3 3" xfId="15080"/>
    <cellStyle name="Warning Text 3 4" xfId="15081"/>
    <cellStyle name="Warning Text 4" xfId="15082"/>
    <cellStyle name="Warning Text 4 2" xfId="15083"/>
    <cellStyle name="Warning Text 4 3" xfId="15084"/>
    <cellStyle name="Warning Text 5" xfId="15085"/>
    <cellStyle name="Warning Text 5 2" xfId="15086"/>
    <cellStyle name="Warning Text 5 3" xfId="15087"/>
    <cellStyle name="Warning Text 6" xfId="15088"/>
    <cellStyle name="Warning Text 6 2" xfId="15089"/>
  </cellStyles>
  <dxfs count="1">
    <dxf>
      <font>
        <color rgb="FFFF0000"/>
      </font>
    </dxf>
  </dxfs>
  <tableStyles count="0" defaultTableStyle="TableStyleMedium2" defaultPivotStyle="PivotStyleLight16"/>
  <colors>
    <mruColors>
      <color rgb="FFFFCC00"/>
      <color rgb="FFCCFF33"/>
      <color rgb="FF0000FF"/>
      <color rgb="FF00FFFF"/>
      <color rgb="FFCCCCFF"/>
      <color rgb="FFCCFFCC"/>
      <color rgb="FFFFCCCC"/>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xdr:twoCellAnchor>
    <xdr:from>
      <xdr:col>2</xdr:col>
      <xdr:colOff>9525</xdr:colOff>
      <xdr:row>19</xdr:row>
      <xdr:rowOff>19049</xdr:rowOff>
    </xdr:from>
    <xdr:to>
      <xdr:col>7</xdr:col>
      <xdr:colOff>0</xdr:colOff>
      <xdr:row>22</xdr:row>
      <xdr:rowOff>142874</xdr:rowOff>
    </xdr:to>
    <xdr:sp macro="" textlink="">
      <xdr:nvSpPr>
        <xdr:cNvPr id="2" name="TextBox 1"/>
        <xdr:cNvSpPr txBox="1"/>
      </xdr:nvSpPr>
      <xdr:spPr>
        <a:xfrm>
          <a:off x="1228725" y="3657599"/>
          <a:ext cx="41148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rPr>
            <a:t>Note A </a:t>
          </a:r>
          <a:r>
            <a:rPr lang="en-US" sz="1100"/>
            <a:t>- </a:t>
          </a:r>
          <a:r>
            <a:rPr lang="en-US" sz="1100">
              <a:solidFill>
                <a:schemeClr val="dk1"/>
              </a:solidFill>
              <a:effectLst/>
              <a:latin typeface="+mn-lt"/>
              <a:ea typeface="+mn-ea"/>
              <a:cs typeface="+mn-cs"/>
            </a:rPr>
            <a:t>That was a true-up for June due to a 620 MWh decrease in the June final volume per the OATI report.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47625" cy="47625"/>
    <xdr:pic>
      <xdr:nvPicPr>
        <xdr:cNvPr id="2" name="BEx1KD7H6UB1VYCJ7O61P562EIUY" descr="IQGV9140X0K0UPBL8OGU3I44J"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3" name="BEx5BJQWS6YWHH4ZMSUAMD641V6Y" descr="ZTMFMXCIQSECDX38ALEFHUB00"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xdr:row>
      <xdr:rowOff>0</xdr:rowOff>
    </xdr:from>
    <xdr:ext cx="47625" cy="47625"/>
    <xdr:pic>
      <xdr:nvPicPr>
        <xdr:cNvPr id="4" name="BExVTO5Q8G2M7BPL4B2584LQS0R0" descr="OB6Q8NA4LZFE4GM9Y3V56BPM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5" name="BExIFSCLN1G86X78PFLTSMRP0US5" descr="9JK4SPV4DG7VTCZIILWHXQU5J"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6" name="BEx5AQZ4ETQ9LMY5EBWVH20Z7VX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7" name="BExUBK0YZ5VYFY8TTITJGJU9S06A"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8" name="BExUEZCSSJ7RN4J18I2NUIQR2FZS"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9" name="BExS3JDQWF7U3F5JTEVOE16ASIYK"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4.00E-ELECTRIC-MODEL-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1.01E-Exhibit-A-1-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row r="11">
          <cell r="B11">
            <v>155333122.24000001</v>
          </cell>
        </row>
        <row r="20">
          <cell r="B20">
            <v>115807777.5999999</v>
          </cell>
        </row>
        <row r="24">
          <cell r="B24">
            <v>127167992.89</v>
          </cell>
        </row>
      </sheetData>
      <sheetData sheetId="1" refreshError="1"/>
      <sheetData sheetId="2">
        <row r="12">
          <cell r="G12">
            <v>1147259983</v>
          </cell>
        </row>
        <row r="49">
          <cell r="B49">
            <v>574163746.96999896</v>
          </cell>
        </row>
        <row r="50">
          <cell r="B50">
            <v>17679050.599999901</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Summary"/>
      <sheetName val="Detailed Summary"/>
      <sheetName val="COC-Restating"/>
      <sheetName val="Common Adj"/>
      <sheetName val="Electric Adj"/>
      <sheetName val="Power Cost Bridge to A-1"/>
      <sheetName val="Named Ranges E"/>
    </sheetNames>
    <definedNames>
      <definedName name="FIT_E" refersTo="='Named Ranges E'!$C$3"/>
    </definedNames>
    <sheetDataSet>
      <sheetData sheetId="0">
        <row r="14">
          <cell r="L14">
            <v>3.8733999999999998E-2</v>
          </cell>
        </row>
      </sheetData>
      <sheetData sheetId="1"/>
      <sheetData sheetId="2"/>
      <sheetData sheetId="3"/>
      <sheetData sheetId="4"/>
      <sheetData sheetId="5">
        <row r="31">
          <cell r="D31">
            <v>807863553.20999873</v>
          </cell>
          <cell r="F31">
            <v>9607038.2144626528</v>
          </cell>
          <cell r="H31">
            <v>-4178314.6836459776</v>
          </cell>
        </row>
      </sheetData>
      <sheetData sheetId="6"/>
      <sheetData sheetId="7">
        <row r="3">
          <cell r="C3">
            <v>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1"/>
      <sheetName val="support A-1=&gt;"/>
      <sheetName val="Unprotected DFIT Lead"/>
      <sheetName val="Unprotected DFIT Reg Asset Amor"/>
      <sheetName val="For Prod Adj Expense"/>
      <sheetName val="Rate Base Summarized"/>
      <sheetName val="Prod 12-2018"/>
      <sheetName val="Trans 12-2018"/>
      <sheetName val="Trans Dep AMA to EOP"/>
      <sheetName val="DFIT EIM 2018"/>
      <sheetName val="DFIT 2018"/>
      <sheetName val="ARC &amp; ARO DIT Dec 2018"/>
      <sheetName val="Colstrip FERC"/>
      <sheetName val="Acq Adj"/>
      <sheetName val="Account 406"/>
      <sheetName val="Brokerage Fees"/>
      <sheetName val="Baker Treasury Grt"/>
      <sheetName val="Snoq Treasury Gr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
          <cell r="B17">
            <v>446665.22</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0.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85" zoomScaleNormal="85" workbookViewId="0">
      <selection activeCell="D13" sqref="D13"/>
    </sheetView>
  </sheetViews>
  <sheetFormatPr defaultRowHeight="12.75"/>
  <cols>
    <col min="1" max="1" width="6.28515625" style="464" bestFit="1" customWidth="1"/>
    <col min="2" max="2" width="49" style="464" bestFit="1" customWidth="1"/>
    <col min="3" max="3" width="9.28515625" style="464" bestFit="1" customWidth="1"/>
    <col min="4" max="4" width="16.7109375" style="464" bestFit="1" customWidth="1"/>
    <col min="5" max="5" width="17.42578125" style="464" bestFit="1" customWidth="1"/>
    <col min="6" max="6" width="16.140625" style="464" bestFit="1" customWidth="1"/>
    <col min="7" max="7" width="15.140625" style="464" bestFit="1" customWidth="1"/>
    <col min="8" max="8" width="16.140625" style="464" bestFit="1" customWidth="1"/>
    <col min="9" max="9" width="15.28515625" style="464" bestFit="1" customWidth="1"/>
    <col min="10" max="16384" width="9.140625" style="464"/>
  </cols>
  <sheetData>
    <row r="1" spans="1:8" ht="15">
      <c r="A1" s="338" t="s">
        <v>489</v>
      </c>
      <c r="B1" s="338"/>
      <c r="C1" s="338"/>
      <c r="D1" s="339"/>
      <c r="E1" s="339"/>
      <c r="F1" s="339"/>
      <c r="G1" s="339"/>
      <c r="H1" s="339"/>
    </row>
    <row r="2" spans="1:8" ht="15">
      <c r="A2" s="339" t="s">
        <v>13</v>
      </c>
      <c r="B2" s="339"/>
      <c r="C2" s="339"/>
      <c r="D2" s="339"/>
      <c r="E2" s="339"/>
      <c r="F2" s="339"/>
      <c r="G2" s="339"/>
      <c r="H2" s="339"/>
    </row>
    <row r="3" spans="1:8" ht="15">
      <c r="A3" s="339" t="s">
        <v>488</v>
      </c>
      <c r="B3" s="339"/>
      <c r="C3" s="339"/>
      <c r="D3" s="339"/>
      <c r="E3" s="339"/>
      <c r="F3" s="339"/>
      <c r="G3" s="339"/>
      <c r="H3" s="339"/>
    </row>
    <row r="4" spans="1:8" ht="15">
      <c r="A4" s="339" t="s">
        <v>487</v>
      </c>
      <c r="B4" s="339"/>
      <c r="C4" s="339"/>
      <c r="D4" s="339"/>
      <c r="E4" s="339"/>
      <c r="F4" s="339"/>
      <c r="G4" s="339"/>
      <c r="H4" s="339"/>
    </row>
    <row r="5" spans="1:8" ht="15">
      <c r="A5" s="339"/>
      <c r="B5" s="339"/>
      <c r="C5" s="339"/>
      <c r="D5" s="339"/>
      <c r="E5" s="339"/>
      <c r="F5" s="339"/>
      <c r="G5" s="339"/>
      <c r="H5" s="339"/>
    </row>
    <row r="6" spans="1:8" ht="15">
      <c r="A6" s="342" t="s">
        <v>169</v>
      </c>
      <c r="B6" s="342"/>
      <c r="C6" s="342"/>
      <c r="D6" s="340"/>
      <c r="E6" s="342"/>
      <c r="F6" s="342" t="s">
        <v>4</v>
      </c>
      <c r="G6" s="342"/>
      <c r="H6" s="342" t="s">
        <v>484</v>
      </c>
    </row>
    <row r="7" spans="1:8" ht="15">
      <c r="A7" s="341" t="s">
        <v>170</v>
      </c>
      <c r="B7" s="341"/>
      <c r="C7" s="341" t="s">
        <v>486</v>
      </c>
      <c r="D7" s="341" t="s">
        <v>485</v>
      </c>
      <c r="E7" s="341" t="s">
        <v>4</v>
      </c>
      <c r="F7" s="341" t="s">
        <v>483</v>
      </c>
      <c r="G7" s="341" t="s">
        <v>484</v>
      </c>
      <c r="H7" s="341" t="s">
        <v>483</v>
      </c>
    </row>
    <row r="8" spans="1:8" ht="15">
      <c r="A8" s="342"/>
      <c r="B8" s="342"/>
      <c r="C8" s="342"/>
      <c r="D8" s="342" t="s">
        <v>482</v>
      </c>
      <c r="E8" s="342" t="s">
        <v>481</v>
      </c>
      <c r="F8" s="342" t="s">
        <v>480</v>
      </c>
      <c r="G8" s="342" t="s">
        <v>479</v>
      </c>
      <c r="H8" s="342" t="s">
        <v>478</v>
      </c>
    </row>
    <row r="9" spans="1:8" ht="14.25">
      <c r="A9" s="353">
        <v>1</v>
      </c>
      <c r="B9" s="346" t="s">
        <v>477</v>
      </c>
      <c r="C9" s="346"/>
      <c r="D9" s="343"/>
      <c r="E9" s="344"/>
      <c r="F9" s="344"/>
      <c r="G9"/>
      <c r="H9" s="344"/>
    </row>
    <row r="10" spans="1:8">
      <c r="A10" s="353">
        <f t="shared" ref="A10:A31" si="0">+A9+1</f>
        <v>2</v>
      </c>
      <c r="B10" s="337" t="s">
        <v>744</v>
      </c>
      <c r="D10" s="356">
        <f>+'Restating=&gt;'!C14</f>
        <v>79334191.840000004</v>
      </c>
      <c r="E10" s="356">
        <f>+'Power Cost Bridge to A-1'!E13</f>
        <v>79334191.840000004</v>
      </c>
      <c r="F10" s="356">
        <f t="shared" ref="F10:F17" si="1">+E10-D10</f>
        <v>0</v>
      </c>
      <c r="G10" s="659">
        <f>+'Power Cost Bridge to A-1'!J13</f>
        <v>37464673.568808615</v>
      </c>
      <c r="H10" s="356">
        <f t="shared" ref="H10:H17" si="2">+G10-E10</f>
        <v>-41869518.271191388</v>
      </c>
    </row>
    <row r="11" spans="1:8">
      <c r="A11" s="353">
        <f t="shared" si="0"/>
        <v>3</v>
      </c>
      <c r="B11" s="337" t="s">
        <v>745</v>
      </c>
      <c r="D11" s="356">
        <f>+'Restating=&gt;'!C15</f>
        <v>124839938.45000002</v>
      </c>
      <c r="E11" s="356">
        <f>+'Power Cost Bridge to A-1'!E14</f>
        <v>125903300.81000002</v>
      </c>
      <c r="F11" s="356">
        <f t="shared" si="1"/>
        <v>1063362.3599999994</v>
      </c>
      <c r="G11" s="659">
        <f>+'Power Cost Bridge to A-1'!J14</f>
        <v>143207932.26523876</v>
      </c>
      <c r="H11" s="356">
        <f t="shared" si="2"/>
        <v>17304631.455238745</v>
      </c>
    </row>
    <row r="12" spans="1:8">
      <c r="A12" s="353">
        <f t="shared" si="0"/>
        <v>4</v>
      </c>
      <c r="B12" s="337" t="s">
        <v>476</v>
      </c>
      <c r="D12" s="356">
        <f>+'Restating=&gt;'!C16</f>
        <v>574163746.96999896</v>
      </c>
      <c r="E12" s="356">
        <f>+'Power Cost Bridge to A-1'!E15-E24</f>
        <v>583907969.91446161</v>
      </c>
      <c r="F12" s="356">
        <f t="shared" si="1"/>
        <v>9744222.944462657</v>
      </c>
      <c r="G12" s="659">
        <f>+'Power Cost Bridge to A-1'!J15</f>
        <v>433447888.18948001</v>
      </c>
      <c r="H12" s="356">
        <f t="shared" si="2"/>
        <v>-150460081.72498161</v>
      </c>
    </row>
    <row r="13" spans="1:8">
      <c r="A13" s="353">
        <f t="shared" si="0"/>
        <v>5</v>
      </c>
      <c r="B13" s="337" t="s">
        <v>475</v>
      </c>
      <c r="D13" s="660">
        <f>+'Restating=&gt;'!C17-D14</f>
        <v>17232385.379999902</v>
      </c>
      <c r="E13" s="356">
        <f>+'Power Cost Bridge to A-1'!E16</f>
        <v>11072849.4899999</v>
      </c>
      <c r="F13" s="356">
        <f t="shared" si="1"/>
        <v>-6159535.8900000025</v>
      </c>
      <c r="G13" s="659">
        <f>+'Power Cost Bridge to A-1'!J16</f>
        <v>7832796.3799999999</v>
      </c>
      <c r="H13" s="356">
        <f t="shared" si="2"/>
        <v>-3240053.1099998998</v>
      </c>
    </row>
    <row r="14" spans="1:8">
      <c r="A14" s="353">
        <f t="shared" si="0"/>
        <v>6</v>
      </c>
      <c r="B14" s="337" t="s">
        <v>748</v>
      </c>
      <c r="D14" s="356">
        <f>+'Power Cost Bridge to A-1'!E17</f>
        <v>446665.22</v>
      </c>
      <c r="E14" s="356">
        <f>+'Power Cost Bridge to A-1'!E17</f>
        <v>446665.22</v>
      </c>
      <c r="F14" s="356">
        <f t="shared" si="1"/>
        <v>0</v>
      </c>
      <c r="G14" s="659">
        <f>+'Power Cost Bridge to A-1'!J17</f>
        <v>426253.88751197996</v>
      </c>
      <c r="H14" s="356">
        <f t="shared" si="2"/>
        <v>-20411.332488020009</v>
      </c>
    </row>
    <row r="15" spans="1:8">
      <c r="A15" s="353">
        <f>+A14+1</f>
        <v>7</v>
      </c>
      <c r="B15" s="337" t="s">
        <v>474</v>
      </c>
      <c r="D15" s="356">
        <f>+'Restating=&gt;'!C18</f>
        <v>115807777.5999999</v>
      </c>
      <c r="E15" s="356">
        <f>+'Power Cost Bridge to A-1'!E18</f>
        <v>115807777.5999999</v>
      </c>
      <c r="F15" s="356">
        <f t="shared" si="1"/>
        <v>0</v>
      </c>
      <c r="G15" s="659">
        <f>+'Power Cost Bridge to A-1'!J18</f>
        <v>112334321.32462588</v>
      </c>
      <c r="H15" s="356">
        <f t="shared" si="2"/>
        <v>-3473456.2753740251</v>
      </c>
    </row>
    <row r="16" spans="1:8">
      <c r="A16" s="353">
        <f t="shared" si="0"/>
        <v>8</v>
      </c>
      <c r="B16" s="337" t="s">
        <v>473</v>
      </c>
      <c r="D16" s="356">
        <f>+'Restating=&gt;'!C19</f>
        <v>-155333122.24000001</v>
      </c>
      <c r="E16" s="356">
        <f>+'Power Cost Bridge to A-1'!E19</f>
        <v>-155333122.24000001</v>
      </c>
      <c r="F16" s="356">
        <f t="shared" si="1"/>
        <v>0</v>
      </c>
      <c r="G16" s="659">
        <f>+'Power Cost Bridge to A-1'!J19</f>
        <v>-5469488.0226492053</v>
      </c>
      <c r="H16" s="356">
        <f t="shared" si="2"/>
        <v>149863634.21735081</v>
      </c>
    </row>
    <row r="17" spans="1:9">
      <c r="A17" s="353">
        <f t="shared" si="0"/>
        <v>9</v>
      </c>
      <c r="B17" s="337" t="s">
        <v>472</v>
      </c>
      <c r="D17" s="356">
        <f>+'Restating=&gt;'!C20</f>
        <v>-69470811.980000019</v>
      </c>
      <c r="E17" s="356">
        <f>+'Power Cost Bridge to A-1'!E20</f>
        <v>-69470811.980000019</v>
      </c>
      <c r="F17" s="356">
        <f t="shared" si="1"/>
        <v>0</v>
      </c>
      <c r="G17" s="659">
        <f>+'Power Cost Bridge to A-1'!J20</f>
        <v>-21415123.754653782</v>
      </c>
      <c r="H17" s="356">
        <f t="shared" si="2"/>
        <v>48055688.225346237</v>
      </c>
    </row>
    <row r="18" spans="1:9" ht="14.25">
      <c r="A18" s="353">
        <f t="shared" si="0"/>
        <v>10</v>
      </c>
      <c r="B18" s="349" t="s">
        <v>466</v>
      </c>
      <c r="C18" s="350"/>
      <c r="D18" s="345">
        <f>SUM(D10:D17)</f>
        <v>687020771.23999882</v>
      </c>
      <c r="E18" s="345">
        <f>SUM(E10:E17)</f>
        <v>691668820.6544615</v>
      </c>
      <c r="F18" s="345">
        <f>SUM(F10:F17)</f>
        <v>4648049.4144626539</v>
      </c>
      <c r="G18" s="345">
        <f>SUM(G10:G17)</f>
        <v>707829253.83836222</v>
      </c>
      <c r="H18" s="345">
        <f>SUM(H10:H17)</f>
        <v>16160433.183900833</v>
      </c>
      <c r="I18" s="348"/>
    </row>
    <row r="19" spans="1:9" ht="14.25">
      <c r="A19" s="353">
        <f t="shared" si="0"/>
        <v>11</v>
      </c>
      <c r="B19" s="350"/>
      <c r="C19" s="661"/>
      <c r="D19" s="662"/>
      <c r="E19" s="787" t="s">
        <v>940</v>
      </c>
      <c r="F19" s="662"/>
      <c r="G19" s="662">
        <f>+'Power Cost Bridge to A-1'!J21-G18</f>
        <v>0</v>
      </c>
      <c r="H19" s="348"/>
    </row>
    <row r="20" spans="1:9" ht="14.25">
      <c r="A20" s="353">
        <f t="shared" si="0"/>
        <v>12</v>
      </c>
      <c r="B20" s="346" t="s">
        <v>471</v>
      </c>
      <c r="C20" s="350"/>
      <c r="D20" s="348"/>
      <c r="E20" s="823"/>
      <c r="F20" s="348"/>
      <c r="G20" s="348"/>
      <c r="H20" s="348"/>
      <c r="I20" s="823"/>
    </row>
    <row r="21" spans="1:9" ht="14.25">
      <c r="A21" s="353">
        <f t="shared" si="0"/>
        <v>13</v>
      </c>
      <c r="B21" s="347" t="s">
        <v>470</v>
      </c>
      <c r="C21" s="350"/>
      <c r="D21" s="348">
        <f>+'[1]Allocated (CBR)'!$B$24</f>
        <v>127167992.89</v>
      </c>
      <c r="E21" s="348">
        <f>+D21</f>
        <v>127167992.89</v>
      </c>
      <c r="F21" s="356">
        <f t="shared" ref="F21:F24" si="3">+E21-D21</f>
        <v>0</v>
      </c>
      <c r="G21" s="348">
        <f>+'Power Cost Bridge to A-1'!J24</f>
        <v>108520132.47835678</v>
      </c>
      <c r="H21" s="356">
        <f>+G21-E21</f>
        <v>-18647860.411643222</v>
      </c>
    </row>
    <row r="22" spans="1:9" ht="14.25">
      <c r="A22" s="353">
        <f t="shared" si="0"/>
        <v>14</v>
      </c>
      <c r="B22" s="349" t="s">
        <v>469</v>
      </c>
      <c r="C22" s="350"/>
      <c r="D22" s="348">
        <f>+'Power Cost Bridge to A-1'!E25</f>
        <v>876514.03</v>
      </c>
      <c r="E22" s="348">
        <f>+D22</f>
        <v>876514.03</v>
      </c>
      <c r="F22" s="356">
        <f t="shared" si="3"/>
        <v>0</v>
      </c>
      <c r="G22" s="348">
        <f>+'Power Cost Bridge to A-1'!J25</f>
        <v>876514.03</v>
      </c>
      <c r="H22" s="356">
        <f>+G22-E22</f>
        <v>0</v>
      </c>
    </row>
    <row r="23" spans="1:9" ht="14.25">
      <c r="A23" s="353">
        <f t="shared" si="0"/>
        <v>15</v>
      </c>
      <c r="B23" s="349" t="s">
        <v>468</v>
      </c>
      <c r="C23" s="350"/>
      <c r="D23" s="348">
        <f>+'Power Cost Bridge to A-1'!E26</f>
        <v>-7201724.9500000002</v>
      </c>
      <c r="E23" s="348">
        <f>+D23</f>
        <v>-7201724.9500000002</v>
      </c>
      <c r="F23" s="356">
        <f t="shared" si="3"/>
        <v>0</v>
      </c>
      <c r="G23" s="348">
        <f>+'Power Cost Bridge to A-1'!J26</f>
        <v>-8666881.7085096519</v>
      </c>
      <c r="H23" s="356">
        <f>+G23-E23</f>
        <v>-1465156.7585096518</v>
      </c>
    </row>
    <row r="24" spans="1:9" ht="14.25">
      <c r="A24" s="353">
        <f t="shared" si="0"/>
        <v>16</v>
      </c>
      <c r="B24" s="349" t="s">
        <v>467</v>
      </c>
      <c r="C24" s="350"/>
      <c r="D24" s="348">
        <f>+'Power Cost Bridge to A-1'!E27</f>
        <v>0</v>
      </c>
      <c r="E24" s="348">
        <f>+'Restating=&gt;'!F15</f>
        <v>4958988.8</v>
      </c>
      <c r="F24" s="348">
        <f t="shared" si="3"/>
        <v>4958988.8</v>
      </c>
      <c r="G24" s="348">
        <f>+'Power Cost Bridge to A-1'!J27</f>
        <v>4733258.1026060628</v>
      </c>
      <c r="H24" s="356">
        <f>+G24-E24</f>
        <v>-225730.69739393704</v>
      </c>
    </row>
    <row r="25" spans="1:9" ht="14.25">
      <c r="A25" s="353">
        <f t="shared" si="0"/>
        <v>17</v>
      </c>
      <c r="B25" s="349" t="s">
        <v>466</v>
      </c>
      <c r="C25" s="350"/>
      <c r="D25" s="345">
        <f>SUM(D18:D24)</f>
        <v>807863553.20999873</v>
      </c>
      <c r="E25" s="345">
        <f>SUM(E18:E24)</f>
        <v>817470591.42446136</v>
      </c>
      <c r="F25" s="345">
        <f>SUM(F18:F24)</f>
        <v>9607038.2144626528</v>
      </c>
      <c r="G25" s="345">
        <f>SUM(G18:G24)</f>
        <v>813292276.7408154</v>
      </c>
      <c r="H25" s="345">
        <f>SUM(H18:H24)</f>
        <v>-4178314.6836459776</v>
      </c>
    </row>
    <row r="26" spans="1:9">
      <c r="A26" s="353">
        <f t="shared" si="0"/>
        <v>18</v>
      </c>
      <c r="B26" s="354"/>
      <c r="C26" s="354"/>
      <c r="D26" s="354"/>
      <c r="E26" s="661" t="s">
        <v>749</v>
      </c>
      <c r="F26" s="786">
        <f>+'Restating=&gt;'!E23+F25</f>
        <v>4.8428773880004883E-8</v>
      </c>
      <c r="G26" s="354"/>
      <c r="H26" s="356"/>
    </row>
    <row r="27" spans="1:9">
      <c r="A27" s="353">
        <f t="shared" si="0"/>
        <v>19</v>
      </c>
      <c r="B27" s="351" t="s">
        <v>691</v>
      </c>
      <c r="C27" s="354">
        <f>+'[2]COC, Def, ConvF'!$L$14</f>
        <v>3.8733999999999998E-2</v>
      </c>
      <c r="D27" s="612">
        <f>-$C$27*D23</f>
        <v>278951.6142133</v>
      </c>
      <c r="E27" s="612">
        <f t="shared" ref="E27:H27" si="4">-$C$27*E23</f>
        <v>278951.6142133</v>
      </c>
      <c r="F27" s="612">
        <f t="shared" si="4"/>
        <v>0</v>
      </c>
      <c r="G27" s="612">
        <f t="shared" si="4"/>
        <v>335702.99609741283</v>
      </c>
      <c r="H27" s="612">
        <f t="shared" si="4"/>
        <v>56751.381884112845</v>
      </c>
    </row>
    <row r="28" spans="1:9">
      <c r="A28" s="353">
        <f t="shared" si="0"/>
        <v>20</v>
      </c>
      <c r="B28" s="351" t="s">
        <v>690</v>
      </c>
      <c r="C28" s="354"/>
      <c r="D28" s="611">
        <f>-D25-D27</f>
        <v>-808142504.82421207</v>
      </c>
      <c r="E28" s="611">
        <f t="shared" ref="E28:H28" si="5">-E25-E27</f>
        <v>-817749543.03867471</v>
      </c>
      <c r="F28" s="611">
        <f t="shared" si="5"/>
        <v>-9607038.2144626528</v>
      </c>
      <c r="G28" s="611">
        <f t="shared" si="5"/>
        <v>-813627979.73691285</v>
      </c>
      <c r="H28" s="611">
        <f t="shared" si="5"/>
        <v>4121563.3017618647</v>
      </c>
    </row>
    <row r="29" spans="1:9">
      <c r="A29" s="353">
        <f t="shared" si="0"/>
        <v>21</v>
      </c>
      <c r="B29" s="351"/>
      <c r="C29" s="354"/>
      <c r="D29" s="407"/>
      <c r="E29" s="407"/>
      <c r="F29" s="407"/>
      <c r="G29" s="407"/>
      <c r="H29" s="407"/>
    </row>
    <row r="30" spans="1:9">
      <c r="A30" s="353">
        <f t="shared" si="0"/>
        <v>22</v>
      </c>
      <c r="B30" s="354" t="s">
        <v>465</v>
      </c>
      <c r="C30" s="352">
        <v>0.21</v>
      </c>
      <c r="D30" s="407">
        <f>D28*$C$30</f>
        <v>-169709926.01308453</v>
      </c>
      <c r="E30" s="407">
        <f t="shared" ref="E30:H30" si="6">E28*$C$30</f>
        <v>-171727404.03812167</v>
      </c>
      <c r="F30" s="407">
        <f t="shared" si="6"/>
        <v>-2017478.0250371571</v>
      </c>
      <c r="G30" s="407">
        <f t="shared" si="6"/>
        <v>-170861875.74475169</v>
      </c>
      <c r="H30" s="407">
        <f t="shared" si="6"/>
        <v>865528.29336999159</v>
      </c>
    </row>
    <row r="31" spans="1:9" ht="13.5" thickBot="1">
      <c r="A31" s="353">
        <f t="shared" si="0"/>
        <v>23</v>
      </c>
      <c r="B31" s="354" t="s">
        <v>464</v>
      </c>
      <c r="C31" s="354"/>
      <c r="D31" s="355">
        <f>+D28-D30</f>
        <v>-638432578.81112754</v>
      </c>
      <c r="E31" s="355">
        <f t="shared" ref="E31:H31" si="7">+E28-E30</f>
        <v>-646022139.00055301</v>
      </c>
      <c r="F31" s="355">
        <f t="shared" si="7"/>
        <v>-7589560.1894254955</v>
      </c>
      <c r="G31" s="355">
        <f t="shared" si="7"/>
        <v>-642766103.99216115</v>
      </c>
      <c r="H31" s="355">
        <f t="shared" si="7"/>
        <v>3256035.008391873</v>
      </c>
    </row>
    <row r="32" spans="1:9" ht="15" thickTop="1">
      <c r="H32" s="823"/>
    </row>
    <row r="34" spans="1:10">
      <c r="A34"/>
      <c r="B34"/>
      <c r="C34"/>
      <c r="D34"/>
      <c r="E34"/>
      <c r="F34" s="82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row>
    <row r="46" spans="1:10">
      <c r="A46"/>
      <c r="B46"/>
      <c r="C46"/>
      <c r="D46"/>
      <c r="E46"/>
      <c r="F46"/>
      <c r="G46"/>
      <c r="H46"/>
      <c r="I46"/>
    </row>
    <row r="47" spans="1:10">
      <c r="A47"/>
      <c r="B47"/>
      <c r="C47"/>
      <c r="D47"/>
      <c r="E47"/>
      <c r="F47"/>
      <c r="G47"/>
      <c r="H47"/>
      <c r="I47"/>
    </row>
    <row r="48" spans="1:10">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 r="A60"/>
      <c r="B60"/>
      <c r="C60"/>
      <c r="D60"/>
      <c r="E60"/>
      <c r="F60"/>
      <c r="G60"/>
      <c r="H60"/>
      <c r="I60"/>
    </row>
    <row r="61" spans="1:9">
      <c r="A61"/>
      <c r="B61"/>
      <c r="C61"/>
      <c r="D61"/>
      <c r="E61"/>
      <c r="F61"/>
      <c r="G61"/>
      <c r="H61"/>
      <c r="I61"/>
    </row>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A75"/>
      <c r="B75"/>
      <c r="C75"/>
      <c r="D75"/>
      <c r="E75"/>
      <c r="F75"/>
      <c r="G75"/>
      <c r="H75"/>
      <c r="I75"/>
    </row>
    <row r="76" spans="1:9">
      <c r="A76"/>
      <c r="B76"/>
      <c r="C76"/>
      <c r="D76"/>
      <c r="E76"/>
      <c r="F76"/>
      <c r="G76"/>
      <c r="H76"/>
      <c r="I76"/>
    </row>
    <row r="77" spans="1:9">
      <c r="A77"/>
      <c r="B77"/>
      <c r="C77"/>
      <c r="D77"/>
      <c r="E77"/>
      <c r="F77"/>
      <c r="G77"/>
      <c r="H77"/>
      <c r="I77"/>
    </row>
    <row r="78" spans="1:9">
      <c r="A78"/>
      <c r="B78"/>
      <c r="C78"/>
      <c r="D78"/>
      <c r="E78"/>
      <c r="F78"/>
      <c r="G78"/>
      <c r="H78"/>
      <c r="I78"/>
    </row>
    <row r="79" spans="1:9">
      <c r="A79"/>
      <c r="B79"/>
      <c r="C79"/>
      <c r="D79"/>
      <c r="E79"/>
      <c r="F79"/>
      <c r="G79"/>
      <c r="H79"/>
      <c r="I79"/>
    </row>
    <row r="80" spans="1:9">
      <c r="A80"/>
      <c r="B80"/>
      <c r="C80"/>
      <c r="D80"/>
      <c r="E80"/>
      <c r="F80"/>
      <c r="G80"/>
      <c r="H80"/>
      <c r="I80"/>
    </row>
    <row r="81" spans="1:9">
      <c r="A81"/>
      <c r="B81"/>
      <c r="C81"/>
      <c r="D81"/>
      <c r="E81"/>
      <c r="F81"/>
      <c r="G81"/>
      <c r="H81"/>
      <c r="I81"/>
    </row>
    <row r="82" spans="1:9">
      <c r="A82"/>
      <c r="B82"/>
      <c r="C82"/>
      <c r="D82"/>
      <c r="E82"/>
      <c r="F82"/>
      <c r="G82"/>
      <c r="H82"/>
      <c r="I82"/>
    </row>
    <row r="83" spans="1:9">
      <c r="A83"/>
      <c r="B83"/>
      <c r="C83"/>
      <c r="D83"/>
      <c r="E83"/>
      <c r="F83"/>
      <c r="G83"/>
      <c r="H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workbookViewId="0">
      <selection activeCell="E41" sqref="E41"/>
    </sheetView>
  </sheetViews>
  <sheetFormatPr defaultColWidth="9.28515625" defaultRowHeight="15"/>
  <cols>
    <col min="1" max="1" width="6.28515625" style="13" bestFit="1" customWidth="1"/>
    <col min="2" max="2" width="68.28515625" style="13" bestFit="1" customWidth="1"/>
    <col min="3" max="3" width="5.42578125" style="13" bestFit="1" customWidth="1"/>
    <col min="4" max="4" width="9.7109375" style="13" bestFit="1" customWidth="1"/>
    <col min="5" max="5" width="20.140625" style="13" customWidth="1"/>
    <col min="6" max="6" width="18" style="13" bestFit="1" customWidth="1"/>
    <col min="7" max="7" width="12.140625" style="13" bestFit="1" customWidth="1"/>
    <col min="8" max="8" width="3.5703125" style="336" bestFit="1" customWidth="1"/>
    <col min="9" max="16384" width="9.28515625" style="13"/>
  </cols>
  <sheetData>
    <row r="1" spans="1:17">
      <c r="A1" s="15" t="s">
        <v>517</v>
      </c>
      <c r="B1" s="14"/>
      <c r="C1" s="14"/>
      <c r="D1" s="14"/>
      <c r="E1" s="14"/>
      <c r="F1" s="14"/>
    </row>
    <row r="2" spans="1:17">
      <c r="A2" s="15" t="s">
        <v>750</v>
      </c>
      <c r="B2" s="14"/>
      <c r="C2" s="14"/>
      <c r="D2" s="14"/>
      <c r="E2" s="14"/>
      <c r="F2" s="14"/>
    </row>
    <row r="3" spans="1:17">
      <c r="A3" s="15" t="s">
        <v>751</v>
      </c>
      <c r="B3" s="14"/>
      <c r="C3" s="14"/>
      <c r="D3" s="14"/>
      <c r="E3" s="14"/>
      <c r="F3" s="14"/>
    </row>
    <row r="4" spans="1:17">
      <c r="A4" s="15" t="s">
        <v>779</v>
      </c>
      <c r="B4" s="14"/>
      <c r="C4" s="14"/>
      <c r="D4" s="14"/>
      <c r="E4" s="14"/>
      <c r="F4" s="14"/>
    </row>
    <row r="5" spans="1:17">
      <c r="A5" s="14"/>
      <c r="B5" s="14"/>
      <c r="C5" s="14"/>
      <c r="D5" s="14"/>
      <c r="E5" s="14"/>
      <c r="F5" s="14"/>
    </row>
    <row r="6" spans="1:17">
      <c r="A6" s="12" t="s">
        <v>506</v>
      </c>
      <c r="B6" s="11"/>
      <c r="C6" s="11"/>
      <c r="D6" s="11"/>
    </row>
    <row r="7" spans="1:17">
      <c r="A7" s="12" t="s">
        <v>752</v>
      </c>
      <c r="B7" s="11" t="s">
        <v>503</v>
      </c>
      <c r="G7" s="12"/>
      <c r="H7" s="12"/>
    </row>
    <row r="8" spans="1:17">
      <c r="B8" s="13" t="s">
        <v>753</v>
      </c>
      <c r="E8" s="10">
        <f>+'PKW RY PC1'!D19</f>
        <v>23152655</v>
      </c>
      <c r="H8" s="13"/>
      <c r="I8" s="10"/>
    </row>
    <row r="9" spans="1:17">
      <c r="B9" s="13" t="s">
        <v>754</v>
      </c>
      <c r="E9" s="10">
        <f>+'Electric - Load'!$P$69</f>
        <v>23152655</v>
      </c>
      <c r="H9" s="9"/>
      <c r="I9" s="10"/>
    </row>
    <row r="10" spans="1:17">
      <c r="E10" s="8">
        <f>ROUNDDOWN(+E9-E8,-1)</f>
        <v>0</v>
      </c>
      <c r="F10" s="10" t="s">
        <v>755</v>
      </c>
      <c r="H10" s="9"/>
      <c r="I10" s="10"/>
    </row>
    <row r="11" spans="1:17">
      <c r="E11" s="12" t="s">
        <v>756</v>
      </c>
      <c r="F11" s="12" t="s">
        <v>696</v>
      </c>
      <c r="H11" s="9"/>
      <c r="I11" s="10"/>
    </row>
    <row r="12" spans="1:17">
      <c r="E12" s="12" t="s">
        <v>757</v>
      </c>
      <c r="F12" s="12" t="s">
        <v>633</v>
      </c>
      <c r="H12" s="9"/>
      <c r="I12" s="10"/>
    </row>
    <row r="13" spans="1:17">
      <c r="B13" s="11" t="s">
        <v>758</v>
      </c>
      <c r="C13" s="12" t="s">
        <v>504</v>
      </c>
      <c r="D13" s="12" t="s">
        <v>759</v>
      </c>
      <c r="I13" s="10"/>
      <c r="J13" s="10"/>
      <c r="K13" s="10"/>
      <c r="L13" s="10"/>
      <c r="M13" s="10"/>
      <c r="N13" s="10"/>
      <c r="O13" s="10"/>
      <c r="P13" s="10"/>
      <c r="Q13" s="10"/>
    </row>
    <row r="14" spans="1:17">
      <c r="B14" s="13" t="s">
        <v>760</v>
      </c>
      <c r="C14" s="336" t="s">
        <v>492</v>
      </c>
      <c r="D14" s="7">
        <f>+'Power Cost Bridge to A-1'!$J$8</f>
        <v>0.95430283896288137</v>
      </c>
      <c r="E14" s="6">
        <f t="shared" ref="E14:E21" si="0">+F14*D14</f>
        <v>37464673.568808615</v>
      </c>
      <c r="F14" s="6">
        <f>+'Power Cost Bridge to A-1'!F13</f>
        <v>39258683.972400762</v>
      </c>
      <c r="G14" s="10"/>
      <c r="H14" s="5"/>
      <c r="I14" s="10"/>
      <c r="J14" s="10"/>
      <c r="K14" s="10"/>
      <c r="L14" s="10"/>
      <c r="M14" s="10"/>
      <c r="N14" s="10"/>
      <c r="O14" s="10"/>
      <c r="P14" s="10"/>
      <c r="Q14" s="10"/>
    </row>
    <row r="15" spans="1:17">
      <c r="B15" s="13" t="s">
        <v>761</v>
      </c>
      <c r="C15" s="336" t="s">
        <v>492</v>
      </c>
      <c r="D15" s="7">
        <f>+'Power Cost Bridge to A-1'!$J$8</f>
        <v>0.95430283896288137</v>
      </c>
      <c r="E15" s="10">
        <f t="shared" si="0"/>
        <v>143207932.26523876</v>
      </c>
      <c r="F15" s="10">
        <f>+'Power Cost Bridge to A-1'!F14</f>
        <v>150065499.56497508</v>
      </c>
      <c r="G15" s="10"/>
      <c r="H15" s="5"/>
      <c r="I15" s="10"/>
      <c r="J15" s="10"/>
      <c r="K15" s="10"/>
      <c r="L15" s="10"/>
      <c r="M15" s="10"/>
      <c r="N15" s="10"/>
      <c r="O15" s="10"/>
      <c r="P15" s="10"/>
      <c r="Q15" s="10"/>
    </row>
    <row r="16" spans="1:17">
      <c r="B16" s="13" t="s">
        <v>762</v>
      </c>
      <c r="C16" s="336" t="s">
        <v>492</v>
      </c>
      <c r="D16" s="7">
        <f>+'Power Cost Bridge to A-1'!$J$8</f>
        <v>0.95430283896288137</v>
      </c>
      <c r="E16" s="10">
        <f t="shared" si="0"/>
        <v>433447888.18948001</v>
      </c>
      <c r="F16" s="10">
        <f>+'Power Cost Bridge to A-1'!F15</f>
        <v>454203708.18611747</v>
      </c>
      <c r="G16" s="10"/>
      <c r="H16" s="5"/>
      <c r="I16" s="10"/>
      <c r="J16" s="10"/>
      <c r="K16" s="10"/>
      <c r="L16" s="10"/>
      <c r="M16" s="10"/>
      <c r="N16" s="10"/>
      <c r="O16" s="10"/>
      <c r="P16" s="10"/>
      <c r="Q16" s="10"/>
    </row>
    <row r="17" spans="2:17">
      <c r="B17" s="13" t="s">
        <v>763</v>
      </c>
      <c r="C17" s="336" t="s">
        <v>495</v>
      </c>
      <c r="D17" s="7">
        <v>1</v>
      </c>
      <c r="E17" s="10">
        <f t="shared" si="0"/>
        <v>9989396.959999999</v>
      </c>
      <c r="F17" s="10">
        <f>+'Power Cost Bridge to A-1'!F16</f>
        <v>9989396.959999999</v>
      </c>
      <c r="G17" s="10"/>
      <c r="H17" s="5"/>
      <c r="I17" s="10"/>
      <c r="J17" s="10"/>
      <c r="K17" s="10"/>
      <c r="L17" s="10"/>
      <c r="M17" s="10"/>
      <c r="N17" s="10"/>
      <c r="O17" s="10"/>
      <c r="P17" s="10"/>
      <c r="Q17" s="10"/>
    </row>
    <row r="18" spans="2:17">
      <c r="B18" s="13" t="s">
        <v>764</v>
      </c>
      <c r="C18" s="336" t="s">
        <v>492</v>
      </c>
      <c r="D18" s="7">
        <f>+'Power Cost Bridge to A-1'!$J$8</f>
        <v>0.95430283896288137</v>
      </c>
      <c r="E18" s="10">
        <f t="shared" si="0"/>
        <v>426253.88751197996</v>
      </c>
      <c r="F18" s="10">
        <f>+'Power Cost Bridge to A-1'!F17</f>
        <v>446665.22</v>
      </c>
      <c r="G18" s="10"/>
      <c r="H18" s="5"/>
      <c r="I18" s="10"/>
      <c r="J18" s="10"/>
      <c r="K18" s="10"/>
      <c r="L18" s="10"/>
      <c r="M18" s="10"/>
      <c r="N18" s="10"/>
      <c r="O18" s="10"/>
      <c r="P18" s="10"/>
      <c r="Q18" s="10"/>
    </row>
    <row r="19" spans="2:17">
      <c r="B19" s="13" t="s">
        <v>765</v>
      </c>
      <c r="C19" s="336" t="s">
        <v>492</v>
      </c>
      <c r="D19" s="7">
        <f>+'Power Cost Bridge to A-1'!$J$8</f>
        <v>0.95430283896288137</v>
      </c>
      <c r="E19" s="10">
        <f t="shared" si="0"/>
        <v>112334321.32462588</v>
      </c>
      <c r="F19" s="10">
        <f>+'Power Cost Bridge to A-1'!F18</f>
        <v>117713493.80738376</v>
      </c>
      <c r="G19" s="10"/>
      <c r="H19" s="5"/>
      <c r="I19" s="10"/>
      <c r="J19" s="10"/>
      <c r="K19" s="10"/>
      <c r="L19" s="10"/>
      <c r="M19" s="10"/>
      <c r="N19" s="10"/>
      <c r="O19" s="10"/>
      <c r="P19" s="10"/>
      <c r="Q19" s="10"/>
    </row>
    <row r="20" spans="2:17">
      <c r="B20" s="13" t="s">
        <v>766</v>
      </c>
      <c r="C20" s="336" t="s">
        <v>492</v>
      </c>
      <c r="D20" s="7">
        <f>+'Power Cost Bridge to A-1'!$J$8</f>
        <v>0.95430283896288137</v>
      </c>
      <c r="E20" s="10">
        <f t="shared" si="0"/>
        <v>-5469488.0226492053</v>
      </c>
      <c r="F20" s="10">
        <f>+'Power Cost Bridge to A-1'!F19</f>
        <v>-5731396.5749000004</v>
      </c>
      <c r="G20" s="10"/>
      <c r="H20" s="5"/>
      <c r="I20" s="10"/>
      <c r="J20" s="10"/>
      <c r="K20" s="10"/>
      <c r="L20" s="10"/>
      <c r="M20" s="10"/>
      <c r="N20" s="10"/>
      <c r="O20" s="10"/>
      <c r="P20" s="10"/>
      <c r="Q20" s="10"/>
    </row>
    <row r="21" spans="2:17">
      <c r="B21" s="13" t="s">
        <v>767</v>
      </c>
      <c r="C21" s="336" t="s">
        <v>492</v>
      </c>
      <c r="D21" s="7">
        <f>+'Power Cost Bridge to A-1'!$J$8</f>
        <v>0.95430283896288137</v>
      </c>
      <c r="E21" s="10">
        <f t="shared" si="0"/>
        <v>-21415123.754653782</v>
      </c>
      <c r="F21" s="10">
        <f>+'Power Cost Bridge to A-1'!F20</f>
        <v>-22440595.249540851</v>
      </c>
      <c r="G21" s="10"/>
      <c r="H21" s="5"/>
      <c r="I21" s="10"/>
      <c r="J21" s="10"/>
      <c r="K21" s="10"/>
      <c r="L21" s="10"/>
      <c r="M21" s="10"/>
      <c r="N21" s="10"/>
      <c r="O21" s="10"/>
      <c r="P21" s="10"/>
      <c r="Q21" s="10"/>
    </row>
    <row r="22" spans="2:17">
      <c r="B22" s="13" t="s">
        <v>768</v>
      </c>
      <c r="C22" s="336"/>
      <c r="D22" s="4"/>
      <c r="E22" s="3">
        <f>SUM(E14:E21)</f>
        <v>709985854.41836226</v>
      </c>
      <c r="F22" s="3">
        <f>SUM(F14:F21)</f>
        <v>743505455.88643634</v>
      </c>
      <c r="G22" s="6">
        <f>+'PKW RY PC1'!D17*1000</f>
        <v>743505455.88643622</v>
      </c>
      <c r="H22" s="9">
        <f>ROUNDDOWN(+F22-G22,-1)</f>
        <v>0</v>
      </c>
      <c r="I22" s="1" t="s">
        <v>769</v>
      </c>
      <c r="J22" s="10"/>
      <c r="K22" s="10"/>
      <c r="L22" s="10"/>
      <c r="M22" s="10"/>
      <c r="N22" s="10"/>
      <c r="O22" s="10"/>
      <c r="P22" s="10"/>
      <c r="Q22" s="10"/>
    </row>
    <row r="23" spans="2:17">
      <c r="B23" s="13" t="s">
        <v>770</v>
      </c>
      <c r="C23" s="336" t="s">
        <v>495</v>
      </c>
      <c r="D23" s="7">
        <v>1</v>
      </c>
      <c r="E23" s="10">
        <f>+F23*D23</f>
        <v>116281330.74835677</v>
      </c>
      <c r="F23" s="10">
        <f>+'Power Cost Bridge to A-1'!F24</f>
        <v>116281330.74835677</v>
      </c>
      <c r="G23" s="6">
        <f>+'Power Cost Bridge to A-1'!F24</f>
        <v>116281330.74835677</v>
      </c>
      <c r="H23" s="9">
        <f>ROUNDDOWN(+F23-G23,-1)</f>
        <v>0</v>
      </c>
      <c r="I23" s="1" t="s">
        <v>771</v>
      </c>
      <c r="J23" s="10"/>
      <c r="K23" s="10"/>
      <c r="L23" s="10"/>
      <c r="M23" s="10"/>
      <c r="N23" s="10"/>
      <c r="O23" s="10"/>
      <c r="P23" s="10"/>
      <c r="Q23" s="10"/>
    </row>
    <row r="24" spans="2:17">
      <c r="B24" s="13" t="s">
        <v>772</v>
      </c>
      <c r="C24" s="336" t="s">
        <v>495</v>
      </c>
      <c r="D24" s="7">
        <v>1</v>
      </c>
      <c r="E24" s="10">
        <f>+F24*D24</f>
        <v>876514.03</v>
      </c>
      <c r="F24" s="10">
        <f>+'Power Cost Bridge to A-1'!F25</f>
        <v>876514.03</v>
      </c>
      <c r="G24" s="10"/>
      <c r="H24" s="5"/>
      <c r="I24" s="10"/>
      <c r="J24" s="10"/>
      <c r="K24" s="10"/>
      <c r="L24" s="10"/>
      <c r="M24" s="10"/>
      <c r="N24" s="10"/>
      <c r="O24" s="10"/>
      <c r="P24" s="10"/>
      <c r="Q24" s="10"/>
    </row>
    <row r="25" spans="2:17">
      <c r="B25" s="13" t="s">
        <v>773</v>
      </c>
      <c r="C25" s="336" t="s">
        <v>495</v>
      </c>
      <c r="D25" s="7">
        <v>1</v>
      </c>
      <c r="E25" s="10">
        <f>+F25*D25</f>
        <v>-8666881.7085096519</v>
      </c>
      <c r="F25" s="10">
        <f>+'Power Cost Bridge to A-1'!F26</f>
        <v>-8666881.7085096519</v>
      </c>
      <c r="G25" s="10"/>
      <c r="H25" s="5"/>
      <c r="I25" s="10"/>
      <c r="J25" s="10"/>
      <c r="K25" s="10"/>
      <c r="L25" s="10"/>
      <c r="M25" s="10"/>
      <c r="N25" s="10"/>
      <c r="O25" s="10"/>
      <c r="P25" s="10"/>
      <c r="Q25" s="10"/>
    </row>
    <row r="26" spans="2:17">
      <c r="B26" s="13" t="s">
        <v>774</v>
      </c>
      <c r="C26" s="336" t="s">
        <v>492</v>
      </c>
      <c r="D26" s="7">
        <f>+'Power Cost Bridge to A-1'!$J$8</f>
        <v>0.95430283896288137</v>
      </c>
      <c r="E26" s="10">
        <f>+F26*D26</f>
        <v>4733258.1026060628</v>
      </c>
      <c r="F26" s="10">
        <f>+'Power Cost Bridge to A-1'!F27</f>
        <v>4959912</v>
      </c>
      <c r="G26" s="10"/>
      <c r="H26" s="5"/>
      <c r="I26" s="10"/>
      <c r="J26" s="10"/>
      <c r="K26" s="10"/>
      <c r="L26" s="10"/>
      <c r="M26" s="10"/>
      <c r="N26" s="10"/>
      <c r="O26" s="10"/>
      <c r="P26" s="10"/>
      <c r="Q26" s="10"/>
    </row>
    <row r="27" spans="2:17">
      <c r="B27" s="13" t="s">
        <v>775</v>
      </c>
      <c r="C27" s="336" t="s">
        <v>495</v>
      </c>
      <c r="D27" s="7">
        <v>1</v>
      </c>
      <c r="E27" s="10">
        <f>+F27*D27</f>
        <v>-9917798.8499999996</v>
      </c>
      <c r="F27" s="10">
        <f>SUM('Power Cost Bridge to A-1'!G28:H28)</f>
        <v>-9917798.8499999996</v>
      </c>
      <c r="G27" s="10"/>
      <c r="H27" s="5"/>
      <c r="I27" s="10"/>
      <c r="J27" s="10"/>
      <c r="K27" s="10"/>
      <c r="L27" s="10"/>
      <c r="M27" s="10"/>
      <c r="N27" s="10"/>
      <c r="O27" s="10"/>
      <c r="P27" s="10"/>
      <c r="Q27" s="10"/>
    </row>
    <row r="28" spans="2:17">
      <c r="B28" s="13" t="s">
        <v>776</v>
      </c>
      <c r="D28" s="4"/>
      <c r="E28" s="3">
        <f>SUM(E22:E27)</f>
        <v>813292276.7408154</v>
      </c>
      <c r="F28" s="3">
        <f>SUM(F22:F27)</f>
        <v>847038532.10628343</v>
      </c>
      <c r="G28" s="10"/>
      <c r="H28" s="5"/>
      <c r="I28" s="10"/>
      <c r="J28" s="10"/>
      <c r="K28" s="10"/>
      <c r="L28" s="10"/>
      <c r="M28" s="10"/>
      <c r="N28" s="10"/>
      <c r="O28" s="10"/>
      <c r="P28" s="10"/>
      <c r="Q28" s="10"/>
    </row>
    <row r="29" spans="2:17">
      <c r="E29" s="10"/>
      <c r="F29" s="10"/>
      <c r="G29" s="10"/>
      <c r="H29" s="5"/>
      <c r="I29" s="10"/>
      <c r="J29" s="10"/>
      <c r="K29" s="10"/>
      <c r="L29" s="10"/>
      <c r="M29" s="10"/>
      <c r="N29" s="10"/>
      <c r="O29" s="10"/>
      <c r="P29" s="10"/>
      <c r="Q29" s="10"/>
    </row>
    <row r="30" spans="2:17">
      <c r="B30" s="11" t="s">
        <v>777</v>
      </c>
      <c r="E30" s="10"/>
      <c r="F30" s="10"/>
      <c r="G30" s="10"/>
      <c r="H30" s="5"/>
      <c r="I30" s="10"/>
      <c r="J30" s="10"/>
      <c r="K30" s="10"/>
      <c r="L30" s="10"/>
      <c r="M30" s="10"/>
      <c r="N30" s="10"/>
      <c r="O30" s="10"/>
      <c r="P30" s="10"/>
      <c r="Q30" s="10"/>
    </row>
    <row r="31" spans="2:17">
      <c r="B31" s="13" t="s">
        <v>782</v>
      </c>
      <c r="E31" s="6">
        <f>+'[2]Electric Adj'!$D$31</f>
        <v>807863553.20999873</v>
      </c>
      <c r="F31" s="10"/>
      <c r="G31" s="10"/>
      <c r="H31" s="5"/>
      <c r="I31" s="10"/>
      <c r="J31" s="10"/>
      <c r="K31" s="10"/>
      <c r="L31" s="10"/>
      <c r="M31" s="10"/>
      <c r="N31" s="10"/>
      <c r="O31" s="10"/>
      <c r="P31" s="10"/>
      <c r="Q31" s="10"/>
    </row>
    <row r="32" spans="2:17">
      <c r="B32" s="13" t="s">
        <v>780</v>
      </c>
      <c r="E32" s="10">
        <f>+'[2]Electric Adj'!$F$31</f>
        <v>9607038.2144626528</v>
      </c>
      <c r="F32" s="10"/>
      <c r="G32" s="10"/>
      <c r="H32" s="5"/>
      <c r="I32" s="10"/>
      <c r="J32" s="10"/>
      <c r="K32" s="10"/>
      <c r="L32" s="10"/>
      <c r="M32" s="10"/>
      <c r="N32" s="10"/>
      <c r="O32" s="10"/>
      <c r="P32" s="10"/>
      <c r="Q32" s="10"/>
    </row>
    <row r="33" spans="2:17">
      <c r="B33" s="13" t="s">
        <v>781</v>
      </c>
      <c r="E33" s="10">
        <f>+'[2]Electric Adj'!$H$31</f>
        <v>-4178314.6836459776</v>
      </c>
      <c r="F33" s="10"/>
      <c r="G33" s="10"/>
      <c r="H33" s="5"/>
      <c r="I33" s="10"/>
      <c r="J33" s="10"/>
      <c r="K33" s="10"/>
      <c r="L33" s="10"/>
      <c r="M33" s="10"/>
      <c r="N33" s="10"/>
      <c r="O33" s="10"/>
      <c r="P33" s="10"/>
      <c r="Q33" s="10"/>
    </row>
    <row r="34" spans="2:17">
      <c r="F34" s="10"/>
      <c r="G34" s="10"/>
      <c r="H34" s="5"/>
      <c r="I34" s="10"/>
      <c r="J34" s="10"/>
      <c r="K34" s="10"/>
      <c r="L34" s="10"/>
      <c r="M34" s="10"/>
      <c r="N34" s="10"/>
      <c r="O34" s="10"/>
      <c r="P34" s="10"/>
      <c r="Q34" s="10"/>
    </row>
    <row r="35" spans="2:17">
      <c r="B35" s="13" t="s">
        <v>778</v>
      </c>
      <c r="E35" s="3">
        <f>SUM(E31:E34)</f>
        <v>813292276.7408154</v>
      </c>
      <c r="F35" s="10"/>
      <c r="G35" s="10"/>
      <c r="H35" s="5"/>
      <c r="I35" s="10"/>
      <c r="J35" s="10"/>
      <c r="K35" s="10"/>
      <c r="L35" s="10"/>
      <c r="M35" s="10"/>
      <c r="N35" s="10"/>
      <c r="O35" s="10"/>
      <c r="P35" s="10"/>
      <c r="Q35" s="10"/>
    </row>
    <row r="36" spans="2:17">
      <c r="E36" s="2">
        <f>+E35-E28</f>
        <v>0</v>
      </c>
      <c r="F36" s="1" t="s">
        <v>755</v>
      </c>
      <c r="G36" s="10"/>
      <c r="H36" s="5"/>
      <c r="I36" s="10"/>
      <c r="J36" s="10"/>
      <c r="K36" s="10"/>
      <c r="L36" s="10"/>
      <c r="M36" s="10"/>
      <c r="N36" s="10"/>
      <c r="O36" s="10"/>
      <c r="P36" s="10"/>
      <c r="Q36" s="10"/>
    </row>
    <row r="37" spans="2:17">
      <c r="E37" s="10"/>
      <c r="F37" s="10"/>
      <c r="G37" s="10"/>
      <c r="H37" s="5"/>
      <c r="I37" s="10"/>
      <c r="J37" s="10"/>
      <c r="K37" s="10"/>
      <c r="L37" s="10"/>
      <c r="M37" s="10"/>
      <c r="N37" s="10"/>
      <c r="O37" s="10"/>
      <c r="P37" s="10"/>
      <c r="Q37" s="10"/>
    </row>
    <row r="38" spans="2:17">
      <c r="E38" s="10"/>
      <c r="F38" s="10"/>
      <c r="G38" s="10"/>
      <c r="H38" s="5"/>
      <c r="I38" s="10"/>
      <c r="J38" s="10"/>
      <c r="K38" s="10"/>
      <c r="L38" s="10"/>
      <c r="M38" s="10"/>
      <c r="N38" s="10"/>
      <c r="O38" s="10"/>
      <c r="P38" s="10"/>
      <c r="Q38" s="10"/>
    </row>
    <row r="39" spans="2:17">
      <c r="E39" s="10"/>
      <c r="F39" s="10"/>
      <c r="G39" s="10"/>
      <c r="H39" s="5"/>
      <c r="I39" s="10"/>
      <c r="J39" s="10"/>
      <c r="K39" s="10"/>
      <c r="L39" s="10"/>
      <c r="M39" s="10"/>
      <c r="N39" s="10"/>
      <c r="O39" s="10"/>
      <c r="P39" s="10"/>
      <c r="Q39" s="10"/>
    </row>
    <row r="40" spans="2:17">
      <c r="E40" s="10"/>
      <c r="F40" s="10"/>
      <c r="G40" s="10"/>
      <c r="H40" s="5"/>
      <c r="I40" s="10"/>
      <c r="J40" s="10"/>
      <c r="K40" s="10"/>
      <c r="L40" s="10"/>
      <c r="M40" s="10"/>
      <c r="N40" s="10"/>
      <c r="O40" s="10"/>
      <c r="P40" s="10"/>
      <c r="Q40" s="10"/>
    </row>
    <row r="41" spans="2:17">
      <c r="E41" s="10"/>
      <c r="F41" s="10"/>
      <c r="G41" s="10"/>
      <c r="H41" s="5"/>
      <c r="I41" s="10"/>
      <c r="J41" s="10"/>
      <c r="K41" s="10"/>
      <c r="L41" s="10"/>
      <c r="M41" s="10"/>
      <c r="N41" s="10"/>
      <c r="O41" s="10"/>
      <c r="P41" s="10"/>
      <c r="Q41" s="10"/>
    </row>
    <row r="42" spans="2:17">
      <c r="E42" s="10"/>
      <c r="F42" s="10"/>
      <c r="G42" s="10"/>
      <c r="H42" s="5"/>
      <c r="I42" s="10"/>
      <c r="J42" s="10"/>
      <c r="K42" s="10"/>
      <c r="L42" s="10"/>
      <c r="M42" s="10"/>
      <c r="N42" s="10"/>
      <c r="O42" s="10"/>
      <c r="P42" s="10"/>
      <c r="Q42" s="10"/>
    </row>
    <row r="43" spans="2:17">
      <c r="E43" s="10"/>
      <c r="F43" s="10"/>
      <c r="G43" s="10"/>
      <c r="H43" s="5"/>
      <c r="I43" s="10"/>
      <c r="J43" s="10"/>
      <c r="K43" s="10"/>
      <c r="L43" s="10"/>
      <c r="M43" s="10"/>
      <c r="N43" s="10"/>
      <c r="O43" s="10"/>
      <c r="P43" s="10"/>
      <c r="Q43" s="10"/>
    </row>
    <row r="44" spans="2:17">
      <c r="E44" s="10"/>
      <c r="F44" s="10"/>
      <c r="G44" s="10"/>
      <c r="H44" s="5"/>
      <c r="I44" s="10"/>
      <c r="J44" s="10"/>
      <c r="K44" s="10"/>
      <c r="L44" s="10"/>
      <c r="M44" s="10"/>
      <c r="N44" s="10"/>
      <c r="O44" s="10"/>
      <c r="P44" s="10"/>
      <c r="Q44" s="10"/>
    </row>
    <row r="45" spans="2:17">
      <c r="E45" s="10"/>
      <c r="F45" s="10"/>
      <c r="G45" s="10"/>
      <c r="H45" s="5"/>
      <c r="I45" s="10"/>
      <c r="J45" s="10"/>
      <c r="K45" s="10"/>
      <c r="L45" s="10"/>
      <c r="M45" s="10"/>
      <c r="N45" s="10"/>
      <c r="O45" s="10"/>
      <c r="P45" s="10"/>
      <c r="Q45" s="10"/>
    </row>
    <row r="46" spans="2:17">
      <c r="E46" s="10"/>
      <c r="F46" s="10"/>
      <c r="G46" s="10"/>
      <c r="H46" s="5"/>
      <c r="I46" s="10"/>
      <c r="J46" s="10"/>
      <c r="K46" s="10"/>
      <c r="L46" s="10"/>
      <c r="M46" s="10"/>
      <c r="N46" s="10"/>
      <c r="O46" s="10"/>
      <c r="P46" s="10"/>
      <c r="Q46" s="10"/>
    </row>
    <row r="47" spans="2:17">
      <c r="E47" s="10"/>
      <c r="F47" s="10"/>
      <c r="G47" s="10"/>
      <c r="H47" s="5"/>
      <c r="I47" s="10"/>
      <c r="J47" s="10"/>
      <c r="K47" s="10"/>
      <c r="L47" s="10"/>
      <c r="M47" s="10"/>
      <c r="N47" s="10"/>
      <c r="O47" s="10"/>
      <c r="P47" s="10"/>
      <c r="Q47" s="10"/>
    </row>
    <row r="48" spans="2:17">
      <c r="E48" s="10"/>
      <c r="F48" s="10"/>
      <c r="G48" s="10"/>
      <c r="H48" s="5"/>
      <c r="I48" s="10"/>
      <c r="J48" s="10"/>
      <c r="K48" s="10"/>
      <c r="L48" s="10"/>
      <c r="M48" s="10"/>
      <c r="N48" s="10"/>
      <c r="O48" s="10"/>
      <c r="P48" s="10"/>
      <c r="Q48" s="10"/>
    </row>
    <row r="49" spans="5:17">
      <c r="E49" s="10"/>
      <c r="F49" s="10"/>
      <c r="G49" s="10"/>
      <c r="H49" s="5"/>
      <c r="I49" s="10"/>
      <c r="J49" s="10"/>
      <c r="K49" s="10"/>
      <c r="L49" s="10"/>
      <c r="M49" s="10"/>
      <c r="N49" s="10"/>
      <c r="O49" s="10"/>
      <c r="P49" s="10"/>
      <c r="Q49" s="10"/>
    </row>
    <row r="50" spans="5:17">
      <c r="E50" s="10"/>
      <c r="F50" s="10"/>
      <c r="G50" s="10"/>
      <c r="H50" s="5"/>
      <c r="I50" s="10"/>
      <c r="J50" s="10"/>
      <c r="K50" s="10"/>
      <c r="L50" s="10"/>
      <c r="M50" s="10"/>
      <c r="N50" s="10"/>
      <c r="O50" s="10"/>
      <c r="P50" s="10"/>
      <c r="Q50" s="10"/>
    </row>
    <row r="51" spans="5:17">
      <c r="E51" s="10"/>
      <c r="F51" s="10"/>
      <c r="G51" s="10"/>
      <c r="H51" s="5"/>
      <c r="I51" s="10"/>
      <c r="J51" s="10"/>
      <c r="K51" s="10"/>
      <c r="L51" s="10"/>
      <c r="M51" s="10"/>
      <c r="N51" s="10"/>
      <c r="O51" s="10"/>
      <c r="P51" s="10"/>
      <c r="Q51" s="10"/>
    </row>
    <row r="52" spans="5:17">
      <c r="E52" s="10"/>
      <c r="F52" s="10"/>
      <c r="G52" s="10"/>
      <c r="H52" s="5"/>
      <c r="I52" s="10"/>
      <c r="J52" s="10"/>
      <c r="K52" s="10"/>
      <c r="L52" s="10"/>
      <c r="M52" s="10"/>
      <c r="N52" s="10"/>
      <c r="O52" s="10"/>
      <c r="P52" s="10"/>
      <c r="Q52" s="10"/>
    </row>
    <row r="53" spans="5:17">
      <c r="E53" s="10"/>
      <c r="F53" s="10"/>
      <c r="G53" s="10"/>
      <c r="H53" s="5"/>
      <c r="I53" s="10"/>
      <c r="J53" s="10"/>
      <c r="K53" s="10"/>
      <c r="L53" s="10"/>
      <c r="M53" s="10"/>
      <c r="N53" s="10"/>
      <c r="O53" s="10"/>
      <c r="P53" s="10"/>
      <c r="Q53" s="10"/>
    </row>
    <row r="54" spans="5:17">
      <c r="E54" s="10"/>
      <c r="F54" s="10"/>
      <c r="G54" s="10"/>
      <c r="H54" s="5"/>
      <c r="I54" s="10"/>
      <c r="J54" s="10"/>
      <c r="K54" s="10"/>
      <c r="L54" s="10"/>
      <c r="M54" s="10"/>
      <c r="N54" s="10"/>
      <c r="O54" s="10"/>
      <c r="P54" s="10"/>
      <c r="Q54" s="10"/>
    </row>
    <row r="55" spans="5:17">
      <c r="E55" s="10"/>
      <c r="F55" s="10"/>
      <c r="G55" s="10"/>
      <c r="H55" s="5"/>
      <c r="I55" s="10"/>
      <c r="J55" s="10"/>
      <c r="K55" s="10"/>
      <c r="L55" s="10"/>
      <c r="M55" s="10"/>
      <c r="N55" s="10"/>
      <c r="O55" s="10"/>
      <c r="P55" s="10"/>
      <c r="Q55" s="10"/>
    </row>
    <row r="56" spans="5:17">
      <c r="E56" s="10"/>
      <c r="F56" s="10"/>
      <c r="G56" s="10"/>
      <c r="H56" s="5"/>
      <c r="I56" s="10"/>
      <c r="J56" s="10"/>
      <c r="K56" s="10"/>
      <c r="L56" s="10"/>
      <c r="M56" s="10"/>
      <c r="N56" s="10"/>
      <c r="O56" s="10"/>
      <c r="P56" s="10"/>
      <c r="Q56" s="10"/>
    </row>
    <row r="57" spans="5:17">
      <c r="E57" s="10"/>
      <c r="F57" s="10"/>
      <c r="G57" s="10"/>
      <c r="H57" s="5"/>
      <c r="I57" s="10"/>
      <c r="J57" s="10"/>
      <c r="K57" s="10"/>
      <c r="L57" s="10"/>
      <c r="M57" s="10"/>
      <c r="N57" s="10"/>
      <c r="O57" s="10"/>
      <c r="P57" s="10"/>
      <c r="Q57" s="10"/>
    </row>
    <row r="58" spans="5:17">
      <c r="E58" s="10"/>
      <c r="F58" s="10"/>
      <c r="G58" s="10"/>
      <c r="H58" s="5"/>
      <c r="I58" s="10"/>
      <c r="J58" s="10"/>
      <c r="K58" s="10"/>
      <c r="L58" s="10"/>
      <c r="M58" s="10"/>
      <c r="N58" s="10"/>
      <c r="O58" s="10"/>
      <c r="P58" s="10"/>
      <c r="Q58" s="10"/>
    </row>
    <row r="59" spans="5:17">
      <c r="E59" s="10"/>
      <c r="F59" s="10"/>
      <c r="G59" s="10"/>
      <c r="H59" s="5"/>
      <c r="I59" s="10"/>
      <c r="J59" s="10"/>
      <c r="K59" s="10"/>
      <c r="L59" s="10"/>
      <c r="M59" s="10"/>
      <c r="N59" s="10"/>
      <c r="O59" s="10"/>
      <c r="P59" s="10"/>
      <c r="Q59" s="10"/>
    </row>
    <row r="60" spans="5:17">
      <c r="E60" s="10"/>
      <c r="F60" s="10"/>
      <c r="G60" s="10"/>
      <c r="H60" s="5"/>
      <c r="I60" s="10"/>
      <c r="J60" s="10"/>
      <c r="K60" s="10"/>
      <c r="L60" s="10"/>
      <c r="M60" s="10"/>
      <c r="N60" s="10"/>
      <c r="O60" s="10"/>
      <c r="P60" s="10"/>
      <c r="Q60" s="10"/>
    </row>
    <row r="61" spans="5:17">
      <c r="E61" s="10"/>
      <c r="F61" s="10"/>
      <c r="G61" s="10"/>
      <c r="H61" s="5"/>
      <c r="I61" s="10"/>
      <c r="J61" s="10"/>
      <c r="K61" s="10"/>
      <c r="L61" s="10"/>
      <c r="M61" s="10"/>
      <c r="N61" s="10"/>
      <c r="O61" s="10"/>
      <c r="P61" s="10"/>
      <c r="Q61" s="10"/>
    </row>
    <row r="62" spans="5:17">
      <c r="E62" s="10"/>
      <c r="F62" s="10"/>
      <c r="G62" s="10"/>
      <c r="H62" s="5"/>
      <c r="I62" s="10"/>
      <c r="J62" s="10"/>
      <c r="K62" s="10"/>
      <c r="L62" s="10"/>
      <c r="M62" s="10"/>
      <c r="N62" s="10"/>
      <c r="O62" s="10"/>
      <c r="P62" s="10"/>
      <c r="Q62" s="10"/>
    </row>
    <row r="63" spans="5:17">
      <c r="E63" s="10"/>
      <c r="F63" s="10"/>
      <c r="G63" s="10"/>
      <c r="H63" s="5"/>
      <c r="I63" s="10"/>
      <c r="J63" s="10"/>
      <c r="K63" s="10"/>
      <c r="L63" s="10"/>
      <c r="M63" s="10"/>
      <c r="N63" s="10"/>
      <c r="O63" s="10"/>
      <c r="P63" s="10"/>
      <c r="Q63" s="10"/>
    </row>
    <row r="64" spans="5:17">
      <c r="E64" s="10"/>
      <c r="F64" s="10"/>
      <c r="G64" s="10"/>
      <c r="H64" s="5"/>
      <c r="I64" s="10"/>
      <c r="J64" s="10"/>
      <c r="K64" s="10"/>
      <c r="L64" s="10"/>
      <c r="M64" s="10"/>
      <c r="N64" s="10"/>
      <c r="O64" s="10"/>
      <c r="P64" s="10"/>
      <c r="Q64" s="10"/>
    </row>
    <row r="65" spans="5:17">
      <c r="E65" s="10"/>
      <c r="F65" s="10"/>
      <c r="G65" s="10"/>
      <c r="H65" s="5"/>
      <c r="I65" s="10"/>
      <c r="J65" s="10"/>
      <c r="K65" s="10"/>
      <c r="L65" s="10"/>
      <c r="M65" s="10"/>
      <c r="N65" s="10"/>
      <c r="O65" s="10"/>
      <c r="P65" s="10"/>
      <c r="Q65" s="10"/>
    </row>
    <row r="66" spans="5:17">
      <c r="E66" s="10"/>
      <c r="F66" s="10"/>
      <c r="G66" s="10"/>
      <c r="H66" s="5"/>
      <c r="I66" s="10"/>
      <c r="J66" s="10"/>
      <c r="K66" s="10"/>
      <c r="L66" s="10"/>
      <c r="M66" s="10"/>
      <c r="N66" s="10"/>
      <c r="O66" s="10"/>
      <c r="P66" s="10"/>
      <c r="Q66" s="10"/>
    </row>
    <row r="67" spans="5:17">
      <c r="E67" s="10"/>
      <c r="F67" s="10"/>
      <c r="G67" s="10"/>
      <c r="H67" s="5"/>
      <c r="I67" s="10"/>
      <c r="J67" s="10"/>
      <c r="K67" s="10"/>
      <c r="L67" s="10"/>
      <c r="M67" s="10"/>
      <c r="N67" s="10"/>
      <c r="O67" s="10"/>
      <c r="P67" s="10"/>
      <c r="Q67" s="10"/>
    </row>
    <row r="68" spans="5:17">
      <c r="E68" s="10"/>
      <c r="F68" s="10"/>
      <c r="G68" s="10"/>
      <c r="H68" s="5"/>
      <c r="I68" s="10"/>
      <c r="J68" s="10"/>
      <c r="K68" s="10"/>
      <c r="L68" s="10"/>
      <c r="M68" s="10"/>
      <c r="N68" s="10"/>
      <c r="O68" s="10"/>
      <c r="P68" s="10"/>
      <c r="Q68" s="10"/>
    </row>
    <row r="69" spans="5:17">
      <c r="E69" s="10"/>
      <c r="F69" s="10"/>
      <c r="G69" s="10"/>
      <c r="H69" s="5"/>
      <c r="I69" s="10"/>
      <c r="J69" s="10"/>
      <c r="K69" s="10"/>
      <c r="L69" s="10"/>
      <c r="M69" s="10"/>
      <c r="N69" s="10"/>
      <c r="O69" s="10"/>
      <c r="P69" s="10"/>
      <c r="Q69" s="10"/>
    </row>
    <row r="70" spans="5:17">
      <c r="E70" s="10"/>
      <c r="F70" s="10"/>
      <c r="G70" s="10"/>
      <c r="H70" s="5"/>
      <c r="I70" s="10"/>
      <c r="J70" s="10"/>
      <c r="K70" s="10"/>
      <c r="L70" s="10"/>
      <c r="M70" s="10"/>
      <c r="N70" s="10"/>
      <c r="O70" s="10"/>
      <c r="P70" s="10"/>
      <c r="Q70" s="10"/>
    </row>
    <row r="71" spans="5:17">
      <c r="E71" s="10"/>
      <c r="F71" s="10"/>
      <c r="G71" s="10"/>
      <c r="H71" s="5"/>
      <c r="I71" s="10"/>
      <c r="J71" s="10"/>
      <c r="K71" s="10"/>
      <c r="L71" s="10"/>
      <c r="M71" s="10"/>
      <c r="N71" s="10"/>
      <c r="O71" s="10"/>
      <c r="P71" s="10"/>
      <c r="Q71" s="10"/>
    </row>
    <row r="72" spans="5:17">
      <c r="E72" s="10"/>
      <c r="F72" s="10"/>
      <c r="G72" s="10"/>
      <c r="H72" s="5"/>
      <c r="I72" s="10"/>
      <c r="J72" s="10"/>
      <c r="K72" s="10"/>
      <c r="L72" s="10"/>
      <c r="M72" s="10"/>
      <c r="N72" s="10"/>
      <c r="O72" s="10"/>
      <c r="P72" s="10"/>
      <c r="Q72" s="10"/>
    </row>
    <row r="73" spans="5:17">
      <c r="E73" s="10"/>
      <c r="F73" s="10"/>
      <c r="G73" s="10"/>
      <c r="H73" s="5"/>
      <c r="I73" s="10"/>
      <c r="J73" s="10"/>
      <c r="K73" s="10"/>
      <c r="L73" s="10"/>
      <c r="M73" s="10"/>
      <c r="N73" s="10"/>
      <c r="O73" s="10"/>
      <c r="P73" s="10"/>
      <c r="Q73" s="10"/>
    </row>
    <row r="74" spans="5:17">
      <c r="E74" s="10"/>
      <c r="F74" s="10"/>
      <c r="G74" s="10"/>
      <c r="H74" s="5"/>
      <c r="I74" s="10"/>
      <c r="J74" s="10"/>
      <c r="K74" s="10"/>
      <c r="L74" s="10"/>
      <c r="M74" s="10"/>
      <c r="N74" s="10"/>
      <c r="O74" s="10"/>
      <c r="P74" s="10"/>
      <c r="Q74" s="10"/>
    </row>
    <row r="75" spans="5:17">
      <c r="E75" s="10"/>
      <c r="F75" s="10"/>
      <c r="G75" s="10"/>
      <c r="H75" s="5"/>
      <c r="I75" s="10"/>
      <c r="J75" s="10"/>
      <c r="K75" s="10"/>
      <c r="L75" s="10"/>
      <c r="M75" s="10"/>
      <c r="N75" s="10"/>
      <c r="O75" s="10"/>
      <c r="P75" s="10"/>
      <c r="Q75" s="10"/>
    </row>
    <row r="76" spans="5:17">
      <c r="E76" s="10"/>
      <c r="F76" s="10"/>
      <c r="G76" s="10"/>
      <c r="H76" s="5"/>
      <c r="I76" s="10"/>
      <c r="J76" s="10"/>
      <c r="K76" s="10"/>
      <c r="L76" s="10"/>
      <c r="M76" s="10"/>
      <c r="N76" s="10"/>
      <c r="O76" s="10"/>
      <c r="P76" s="10"/>
      <c r="Q76" s="10"/>
    </row>
    <row r="77" spans="5:17">
      <c r="E77" s="10"/>
      <c r="F77" s="10"/>
      <c r="G77" s="10"/>
      <c r="H77" s="5"/>
      <c r="I77" s="10"/>
      <c r="J77" s="10"/>
      <c r="K77" s="10"/>
      <c r="L77" s="10"/>
      <c r="M77" s="10"/>
      <c r="N77" s="10"/>
      <c r="O77" s="10"/>
      <c r="P77" s="10"/>
      <c r="Q77" s="10"/>
    </row>
    <row r="78" spans="5:17">
      <c r="E78" s="10"/>
      <c r="F78" s="10"/>
      <c r="G78" s="10"/>
      <c r="H78" s="5"/>
      <c r="I78" s="10"/>
      <c r="J78" s="10"/>
      <c r="K78" s="10"/>
      <c r="L78" s="10"/>
      <c r="M78" s="10"/>
      <c r="N78" s="10"/>
      <c r="O78" s="10"/>
      <c r="P78" s="10"/>
      <c r="Q78" s="10"/>
    </row>
    <row r="79" spans="5:17">
      <c r="E79" s="10"/>
      <c r="F79" s="10"/>
      <c r="G79" s="10"/>
      <c r="H79" s="5"/>
      <c r="I79" s="10"/>
      <c r="J79" s="10"/>
      <c r="K79" s="10"/>
      <c r="L79" s="10"/>
      <c r="M79" s="10"/>
      <c r="N79" s="10"/>
      <c r="O79" s="10"/>
      <c r="P79" s="10"/>
      <c r="Q79" s="10"/>
    </row>
    <row r="80" spans="5:17">
      <c r="E80" s="10"/>
      <c r="F80" s="10"/>
      <c r="G80" s="10"/>
      <c r="H80" s="5"/>
      <c r="I80" s="10"/>
      <c r="J80" s="10"/>
      <c r="K80" s="10"/>
      <c r="L80" s="10"/>
      <c r="M80" s="10"/>
      <c r="N80" s="10"/>
      <c r="O80" s="10"/>
      <c r="P80" s="10"/>
      <c r="Q80" s="10"/>
    </row>
    <row r="81" spans="5:17">
      <c r="E81" s="10"/>
      <c r="F81" s="10"/>
      <c r="G81" s="10"/>
      <c r="H81" s="5"/>
      <c r="I81" s="10"/>
      <c r="J81" s="10"/>
      <c r="K81" s="10"/>
      <c r="L81" s="10"/>
      <c r="M81" s="10"/>
      <c r="N81" s="10"/>
      <c r="O81" s="10"/>
      <c r="P81" s="10"/>
      <c r="Q81" s="10"/>
    </row>
    <row r="82" spans="5:17">
      <c r="E82" s="10"/>
      <c r="F82" s="10"/>
      <c r="G82" s="10"/>
      <c r="H82" s="5"/>
      <c r="I82" s="10"/>
      <c r="J82" s="10"/>
      <c r="K82" s="10"/>
      <c r="L82" s="10"/>
      <c r="M82" s="10"/>
      <c r="N82" s="10"/>
      <c r="O82" s="10"/>
      <c r="P82" s="10"/>
      <c r="Q82" s="10"/>
    </row>
    <row r="83" spans="5:17">
      <c r="E83" s="10"/>
      <c r="F83" s="10"/>
      <c r="G83" s="10"/>
      <c r="H83" s="5"/>
      <c r="I83" s="10"/>
      <c r="J83" s="10"/>
      <c r="K83" s="10"/>
      <c r="L83" s="10"/>
      <c r="M83" s="10"/>
      <c r="N83" s="10"/>
      <c r="O83" s="10"/>
      <c r="P83" s="10"/>
      <c r="Q83" s="10"/>
    </row>
    <row r="84" spans="5:17">
      <c r="E84" s="10"/>
      <c r="F84" s="10"/>
      <c r="G84" s="10"/>
      <c r="H84" s="5"/>
      <c r="I84" s="10"/>
      <c r="J84" s="10"/>
      <c r="K84" s="10"/>
      <c r="L84" s="10"/>
      <c r="M84" s="10"/>
      <c r="N84" s="10"/>
      <c r="O84" s="10"/>
      <c r="P84" s="10"/>
      <c r="Q84" s="10"/>
    </row>
    <row r="85" spans="5:17">
      <c r="E85" s="10"/>
      <c r="F85" s="10"/>
      <c r="G85" s="10"/>
      <c r="H85" s="5"/>
      <c r="I85" s="10"/>
      <c r="J85" s="10"/>
      <c r="K85" s="10"/>
      <c r="L85" s="10"/>
      <c r="M85" s="10"/>
      <c r="N85" s="10"/>
      <c r="O85" s="10"/>
      <c r="P85" s="10"/>
      <c r="Q85" s="10"/>
    </row>
    <row r="86" spans="5:17">
      <c r="E86" s="10"/>
      <c r="F86" s="10"/>
      <c r="G86" s="10"/>
      <c r="H86" s="5"/>
      <c r="I86" s="10"/>
      <c r="J86" s="10"/>
      <c r="K86" s="10"/>
      <c r="L86" s="10"/>
      <c r="M86" s="10"/>
      <c r="N86" s="10"/>
      <c r="O86" s="10"/>
      <c r="P86" s="10"/>
      <c r="Q86" s="10"/>
    </row>
    <row r="87" spans="5:17">
      <c r="E87" s="10"/>
      <c r="F87" s="10"/>
      <c r="G87" s="10"/>
      <c r="H87" s="5"/>
      <c r="I87" s="10"/>
      <c r="J87" s="10"/>
      <c r="K87" s="10"/>
      <c r="L87" s="10"/>
      <c r="M87" s="10"/>
      <c r="N87" s="10"/>
      <c r="O87" s="10"/>
      <c r="P87" s="10"/>
      <c r="Q87" s="10"/>
    </row>
    <row r="88" spans="5:17">
      <c r="E88" s="10"/>
      <c r="F88" s="10"/>
      <c r="G88" s="10"/>
      <c r="H88" s="5"/>
      <c r="I88" s="10"/>
      <c r="J88" s="10"/>
      <c r="K88" s="10"/>
      <c r="L88" s="10"/>
      <c r="M88" s="10"/>
      <c r="N88" s="10"/>
      <c r="O88" s="10"/>
      <c r="P88" s="10"/>
      <c r="Q88" s="10"/>
    </row>
    <row r="89" spans="5:17">
      <c r="E89" s="10"/>
      <c r="F89" s="10"/>
      <c r="G89" s="10"/>
      <c r="H89" s="5"/>
      <c r="I89" s="10"/>
      <c r="J89" s="10"/>
      <c r="K89" s="10"/>
      <c r="L89" s="10"/>
      <c r="M89" s="10"/>
      <c r="N89" s="10"/>
      <c r="O89" s="10"/>
      <c r="P89" s="10"/>
      <c r="Q89" s="10"/>
    </row>
    <row r="90" spans="5:17">
      <c r="E90" s="10"/>
      <c r="F90" s="10"/>
      <c r="G90" s="10"/>
      <c r="H90" s="5"/>
      <c r="I90" s="10"/>
      <c r="J90" s="10"/>
      <c r="K90" s="10"/>
      <c r="L90" s="10"/>
      <c r="M90" s="10"/>
      <c r="N90" s="10"/>
      <c r="O90" s="10"/>
      <c r="P90" s="10"/>
      <c r="Q90" s="10"/>
    </row>
    <row r="91" spans="5:17">
      <c r="E91" s="10"/>
      <c r="F91" s="10"/>
      <c r="G91" s="10"/>
      <c r="H91" s="5"/>
      <c r="I91" s="10"/>
      <c r="J91" s="10"/>
      <c r="K91" s="10"/>
      <c r="L91" s="10"/>
      <c r="M91" s="10"/>
      <c r="N91" s="10"/>
      <c r="O91" s="10"/>
      <c r="P91" s="10"/>
      <c r="Q91" s="10"/>
    </row>
    <row r="92" spans="5:17">
      <c r="E92" s="10"/>
      <c r="F92" s="10"/>
      <c r="G92" s="10"/>
      <c r="H92" s="5"/>
      <c r="I92" s="10"/>
      <c r="J92" s="10"/>
      <c r="K92" s="10"/>
      <c r="L92" s="10"/>
      <c r="M92" s="10"/>
      <c r="N92" s="10"/>
      <c r="O92" s="10"/>
      <c r="P92" s="10"/>
      <c r="Q92" s="10"/>
    </row>
    <row r="93" spans="5:17">
      <c r="E93" s="10"/>
      <c r="F93" s="10"/>
      <c r="G93" s="10"/>
      <c r="H93" s="5"/>
      <c r="I93" s="10"/>
      <c r="J93" s="10"/>
      <c r="K93" s="10"/>
      <c r="L93" s="10"/>
      <c r="M93" s="10"/>
      <c r="N93" s="10"/>
      <c r="O93" s="10"/>
      <c r="P93" s="10"/>
      <c r="Q93" s="10"/>
    </row>
    <row r="94" spans="5:17">
      <c r="E94" s="10"/>
      <c r="F94" s="10"/>
      <c r="G94" s="10"/>
      <c r="H94" s="5"/>
      <c r="I94" s="10"/>
      <c r="J94" s="10"/>
      <c r="K94" s="10"/>
      <c r="L94" s="10"/>
      <c r="M94" s="10"/>
      <c r="N94" s="10"/>
      <c r="O94" s="10"/>
      <c r="P94" s="10"/>
      <c r="Q94" s="10"/>
    </row>
    <row r="95" spans="5:17">
      <c r="E95" s="10"/>
      <c r="F95" s="10"/>
      <c r="G95" s="10"/>
      <c r="H95" s="5"/>
      <c r="I95" s="10"/>
      <c r="J95" s="10"/>
      <c r="K95" s="10"/>
      <c r="L95" s="10"/>
      <c r="M95" s="10"/>
      <c r="N95" s="10"/>
      <c r="O95" s="10"/>
      <c r="P95" s="10"/>
      <c r="Q95" s="10"/>
    </row>
    <row r="96" spans="5:17">
      <c r="E96" s="10"/>
      <c r="F96" s="10"/>
      <c r="G96" s="10"/>
      <c r="H96" s="5"/>
      <c r="I96" s="10"/>
      <c r="J96" s="10"/>
      <c r="K96" s="10"/>
      <c r="L96" s="10"/>
      <c r="M96" s="10"/>
      <c r="N96" s="10"/>
      <c r="O96" s="10"/>
      <c r="P96" s="10"/>
      <c r="Q96" s="10"/>
    </row>
    <row r="97" spans="5:17">
      <c r="E97" s="10"/>
      <c r="F97" s="10"/>
      <c r="G97" s="10"/>
      <c r="H97" s="5"/>
      <c r="I97" s="10"/>
      <c r="J97" s="10"/>
      <c r="K97" s="10"/>
      <c r="L97" s="10"/>
      <c r="M97" s="10"/>
      <c r="N97" s="10"/>
      <c r="O97" s="10"/>
      <c r="P97" s="10"/>
      <c r="Q97" s="10"/>
    </row>
    <row r="98" spans="5:17">
      <c r="E98" s="10"/>
      <c r="F98" s="10"/>
      <c r="G98" s="10"/>
      <c r="H98" s="5"/>
      <c r="I98" s="10"/>
      <c r="J98" s="10"/>
      <c r="K98" s="10"/>
      <c r="L98" s="10"/>
      <c r="M98" s="10"/>
      <c r="N98" s="10"/>
      <c r="O98" s="10"/>
      <c r="P98" s="10"/>
      <c r="Q98" s="10"/>
    </row>
    <row r="99" spans="5:17">
      <c r="E99" s="10"/>
      <c r="F99" s="10"/>
      <c r="G99" s="10"/>
      <c r="H99" s="5"/>
      <c r="I99" s="10"/>
      <c r="J99" s="10"/>
      <c r="K99" s="10"/>
      <c r="L99" s="10"/>
      <c r="M99" s="10"/>
      <c r="N99" s="10"/>
      <c r="O99" s="10"/>
      <c r="P99" s="10"/>
      <c r="Q99" s="10"/>
    </row>
    <row r="100" spans="5:17">
      <c r="E100" s="10"/>
      <c r="F100" s="10"/>
      <c r="G100" s="10"/>
      <c r="H100" s="5"/>
      <c r="I100" s="10"/>
      <c r="J100" s="10"/>
      <c r="K100" s="10"/>
      <c r="L100" s="10"/>
      <c r="M100" s="10"/>
      <c r="N100" s="10"/>
      <c r="O100" s="10"/>
      <c r="P100" s="10"/>
      <c r="Q100" s="10"/>
    </row>
    <row r="101" spans="5:17">
      <c r="E101" s="10"/>
      <c r="F101" s="10"/>
      <c r="G101" s="10"/>
      <c r="H101" s="5"/>
      <c r="I101" s="10"/>
      <c r="J101" s="10"/>
      <c r="K101" s="10"/>
      <c r="L101" s="10"/>
      <c r="M101" s="10"/>
      <c r="N101" s="10"/>
      <c r="O101" s="10"/>
      <c r="P101" s="10"/>
      <c r="Q101" s="10"/>
    </row>
    <row r="102" spans="5:17">
      <c r="E102" s="10"/>
      <c r="F102" s="10"/>
      <c r="G102" s="10"/>
      <c r="H102" s="5"/>
      <c r="I102" s="10"/>
      <c r="J102" s="10"/>
      <c r="K102" s="10"/>
      <c r="L102" s="10"/>
      <c r="M102" s="10"/>
      <c r="N102" s="10"/>
      <c r="O102" s="10"/>
      <c r="P102" s="10"/>
      <c r="Q102" s="10"/>
    </row>
    <row r="103" spans="5:17">
      <c r="E103" s="10"/>
      <c r="F103" s="10"/>
      <c r="G103" s="10"/>
      <c r="H103" s="5"/>
      <c r="I103" s="10"/>
      <c r="J103" s="10"/>
      <c r="K103" s="10"/>
      <c r="L103" s="10"/>
      <c r="M103" s="10"/>
      <c r="N103" s="10"/>
      <c r="O103" s="10"/>
      <c r="P103" s="10"/>
      <c r="Q103" s="10"/>
    </row>
    <row r="104" spans="5:17">
      <c r="E104" s="10"/>
      <c r="F104" s="10"/>
      <c r="G104" s="10"/>
      <c r="H104" s="5"/>
      <c r="I104" s="10"/>
      <c r="J104" s="10"/>
      <c r="K104" s="10"/>
      <c r="L104" s="10"/>
      <c r="M104" s="10"/>
      <c r="N104" s="10"/>
      <c r="O104" s="10"/>
      <c r="P104" s="10"/>
      <c r="Q104" s="10"/>
    </row>
    <row r="105" spans="5:17">
      <c r="E105" s="10"/>
      <c r="F105" s="10"/>
      <c r="G105" s="10"/>
      <c r="H105" s="5"/>
      <c r="I105" s="10"/>
      <c r="J105" s="10"/>
      <c r="K105" s="10"/>
      <c r="L105" s="10"/>
      <c r="M105" s="10"/>
      <c r="N105" s="10"/>
      <c r="O105" s="10"/>
      <c r="P105" s="10"/>
      <c r="Q105" s="10"/>
    </row>
    <row r="106" spans="5:17">
      <c r="E106" s="10"/>
      <c r="F106" s="10"/>
      <c r="G106" s="10"/>
      <c r="H106" s="5"/>
      <c r="I106" s="10"/>
      <c r="J106" s="10"/>
      <c r="K106" s="10"/>
      <c r="L106" s="10"/>
      <c r="M106" s="10"/>
      <c r="N106" s="10"/>
      <c r="O106" s="10"/>
      <c r="P106" s="10"/>
      <c r="Q106" s="10"/>
    </row>
    <row r="107" spans="5:17">
      <c r="E107" s="10"/>
      <c r="F107" s="10"/>
      <c r="G107" s="10"/>
      <c r="H107" s="5"/>
      <c r="I107" s="10"/>
      <c r="J107" s="10"/>
      <c r="K107" s="10"/>
      <c r="L107" s="10"/>
      <c r="M107" s="10"/>
      <c r="N107" s="10"/>
      <c r="O107" s="10"/>
      <c r="P107" s="10"/>
      <c r="Q107" s="10"/>
    </row>
    <row r="108" spans="5:17">
      <c r="E108" s="10"/>
      <c r="F108" s="10"/>
      <c r="G108" s="10"/>
      <c r="H108" s="5"/>
      <c r="I108" s="10"/>
      <c r="J108" s="10"/>
      <c r="K108" s="10"/>
      <c r="L108" s="10"/>
      <c r="M108" s="10"/>
      <c r="N108" s="10"/>
      <c r="O108" s="10"/>
      <c r="P108" s="10"/>
      <c r="Q108" s="10"/>
    </row>
    <row r="109" spans="5:17">
      <c r="E109" s="10"/>
      <c r="F109" s="10"/>
      <c r="G109" s="10"/>
      <c r="H109" s="5"/>
      <c r="I109" s="10"/>
      <c r="J109" s="10"/>
      <c r="K109" s="10"/>
      <c r="L109" s="10"/>
      <c r="M109" s="10"/>
      <c r="N109" s="10"/>
      <c r="O109" s="10"/>
      <c r="P109" s="10"/>
      <c r="Q109" s="10"/>
    </row>
    <row r="110" spans="5:17">
      <c r="E110" s="10"/>
      <c r="F110" s="10"/>
      <c r="G110" s="10"/>
      <c r="H110" s="5"/>
      <c r="I110" s="10"/>
      <c r="J110" s="10"/>
      <c r="K110" s="10"/>
      <c r="L110" s="10"/>
      <c r="M110" s="10"/>
      <c r="N110" s="10"/>
      <c r="O110" s="10"/>
      <c r="P110" s="10"/>
      <c r="Q110" s="10"/>
    </row>
    <row r="111" spans="5:17">
      <c r="E111" s="10"/>
      <c r="F111" s="10"/>
      <c r="G111" s="10"/>
      <c r="H111" s="5"/>
      <c r="I111" s="10"/>
      <c r="J111" s="10"/>
      <c r="K111" s="10"/>
      <c r="L111" s="10"/>
      <c r="M111" s="10"/>
      <c r="N111" s="10"/>
      <c r="O111" s="10"/>
      <c r="P111" s="10"/>
      <c r="Q111" s="10"/>
    </row>
    <row r="112" spans="5:17">
      <c r="E112" s="10"/>
      <c r="F112" s="10"/>
      <c r="G112" s="10"/>
      <c r="H112" s="5"/>
      <c r="I112" s="10"/>
      <c r="J112" s="10"/>
      <c r="K112" s="10"/>
      <c r="L112" s="10"/>
      <c r="M112" s="10"/>
      <c r="N112" s="10"/>
      <c r="O112" s="10"/>
      <c r="P112" s="10"/>
      <c r="Q112" s="10"/>
    </row>
    <row r="113" spans="5:17">
      <c r="E113" s="10"/>
      <c r="F113" s="10"/>
      <c r="G113" s="10"/>
      <c r="H113" s="5"/>
      <c r="I113" s="10"/>
      <c r="J113" s="10"/>
      <c r="K113" s="10"/>
      <c r="L113" s="10"/>
      <c r="M113" s="10"/>
      <c r="N113" s="10"/>
      <c r="O113" s="10"/>
      <c r="P113" s="10"/>
      <c r="Q113" s="10"/>
    </row>
    <row r="114" spans="5:17">
      <c r="E114" s="10"/>
      <c r="F114" s="10"/>
      <c r="G114" s="10"/>
      <c r="H114" s="5"/>
      <c r="I114" s="10"/>
      <c r="J114" s="10"/>
      <c r="K114" s="10"/>
      <c r="L114" s="10"/>
      <c r="M114" s="10"/>
      <c r="N114" s="10"/>
      <c r="O114" s="10"/>
      <c r="P114" s="10"/>
      <c r="Q114" s="10"/>
    </row>
    <row r="115" spans="5:17">
      <c r="E115" s="10"/>
      <c r="F115" s="10"/>
      <c r="G115" s="10"/>
      <c r="H115" s="5"/>
      <c r="I115" s="10"/>
      <c r="J115" s="10"/>
      <c r="K115" s="10"/>
      <c r="L115" s="10"/>
      <c r="M115" s="10"/>
      <c r="N115" s="10"/>
      <c r="O115" s="10"/>
      <c r="P115" s="10"/>
      <c r="Q115" s="10"/>
    </row>
    <row r="116" spans="5:17">
      <c r="E116" s="10"/>
      <c r="F116" s="10"/>
      <c r="G116" s="10"/>
      <c r="H116" s="5"/>
      <c r="I116" s="10"/>
      <c r="J116" s="10"/>
      <c r="K116" s="10"/>
      <c r="L116" s="10"/>
      <c r="M116" s="10"/>
      <c r="N116" s="10"/>
      <c r="O116" s="10"/>
      <c r="P116" s="10"/>
      <c r="Q116" s="10"/>
    </row>
    <row r="117" spans="5:17">
      <c r="E117" s="10"/>
      <c r="F117" s="10"/>
      <c r="G117" s="10"/>
      <c r="H117" s="5"/>
      <c r="I117" s="10"/>
      <c r="J117" s="10"/>
      <c r="K117" s="10"/>
      <c r="L117" s="10"/>
      <c r="M117" s="10"/>
      <c r="N117" s="10"/>
      <c r="O117" s="10"/>
      <c r="P117" s="10"/>
      <c r="Q117" s="10"/>
    </row>
    <row r="118" spans="5:17">
      <c r="E118" s="10"/>
      <c r="F118" s="10"/>
      <c r="G118" s="10"/>
      <c r="H118" s="5"/>
      <c r="I118" s="10"/>
      <c r="J118" s="10"/>
      <c r="K118" s="10"/>
      <c r="L118" s="10"/>
      <c r="M118" s="10"/>
      <c r="N118" s="10"/>
      <c r="O118" s="10"/>
      <c r="P118" s="10"/>
      <c r="Q118" s="10"/>
    </row>
    <row r="119" spans="5:17">
      <c r="E119" s="10"/>
      <c r="F119" s="10"/>
      <c r="G119" s="10"/>
      <c r="H119" s="5"/>
      <c r="I119" s="10"/>
      <c r="J119" s="10"/>
      <c r="K119" s="10"/>
      <c r="L119" s="10"/>
      <c r="M119" s="10"/>
      <c r="N119" s="10"/>
      <c r="O119" s="10"/>
      <c r="P119" s="10"/>
      <c r="Q119" s="10"/>
    </row>
    <row r="120" spans="5:17">
      <c r="F120" s="10"/>
      <c r="G120" s="10"/>
      <c r="H120" s="5"/>
      <c r="I120" s="10"/>
      <c r="J120" s="10"/>
      <c r="K120" s="10"/>
      <c r="L120" s="10"/>
      <c r="M120" s="10"/>
      <c r="N120" s="10"/>
      <c r="O120" s="10"/>
      <c r="P120" s="10"/>
      <c r="Q120" s="10"/>
    </row>
    <row r="121" spans="5:17">
      <c r="F121" s="10"/>
      <c r="G121" s="10"/>
      <c r="H121" s="5"/>
      <c r="I121" s="10"/>
      <c r="J121" s="10"/>
      <c r="K121" s="10"/>
      <c r="L121" s="10"/>
      <c r="M121" s="10"/>
      <c r="N121" s="10"/>
      <c r="O121" s="10"/>
      <c r="P121" s="10"/>
      <c r="Q121" s="10"/>
    </row>
    <row r="122" spans="5:17">
      <c r="F122" s="10"/>
      <c r="G122" s="10"/>
      <c r="H122" s="5"/>
      <c r="I122" s="10"/>
      <c r="J122" s="10"/>
      <c r="K122" s="10"/>
      <c r="L122" s="10"/>
      <c r="M122" s="10"/>
      <c r="N122" s="10"/>
      <c r="O122" s="10"/>
      <c r="P122" s="10"/>
      <c r="Q122" s="10"/>
    </row>
    <row r="123" spans="5:17">
      <c r="F123" s="10"/>
      <c r="G123" s="10"/>
      <c r="H123" s="5"/>
      <c r="I123" s="10"/>
      <c r="J123" s="10"/>
      <c r="K123" s="10"/>
      <c r="L123" s="10"/>
      <c r="M123" s="10"/>
      <c r="N123" s="10"/>
      <c r="O123" s="10"/>
      <c r="P123" s="10"/>
      <c r="Q123" s="10"/>
    </row>
    <row r="124" spans="5:17">
      <c r="F124" s="10"/>
      <c r="G124" s="10"/>
      <c r="H124" s="5"/>
      <c r="I124" s="10"/>
      <c r="J124" s="10"/>
      <c r="K124" s="10"/>
      <c r="L124" s="10"/>
      <c r="M124" s="10"/>
      <c r="N124" s="10"/>
      <c r="O124" s="10"/>
      <c r="P124" s="10"/>
      <c r="Q124" s="10"/>
    </row>
    <row r="125" spans="5:17">
      <c r="F125" s="10"/>
      <c r="G125" s="10"/>
      <c r="H125" s="5"/>
      <c r="I125" s="10"/>
      <c r="J125" s="10"/>
      <c r="K125" s="10"/>
      <c r="L125" s="10"/>
      <c r="M125" s="10"/>
      <c r="N125" s="10"/>
      <c r="O125" s="10"/>
      <c r="P125" s="10"/>
      <c r="Q125" s="10"/>
    </row>
    <row r="126" spans="5:17">
      <c r="F126" s="10"/>
      <c r="G126" s="10"/>
      <c r="H126" s="5"/>
      <c r="I126" s="10"/>
      <c r="J126" s="10"/>
      <c r="K126" s="10"/>
      <c r="L126" s="10"/>
      <c r="M126" s="10"/>
      <c r="N126" s="10"/>
      <c r="O126" s="10"/>
      <c r="P126" s="10"/>
      <c r="Q126" s="10"/>
    </row>
    <row r="127" spans="5:17">
      <c r="F127" s="10"/>
      <c r="G127" s="10"/>
      <c r="H127" s="5"/>
      <c r="I127" s="10"/>
      <c r="J127" s="10"/>
      <c r="K127" s="10"/>
      <c r="L127" s="10"/>
      <c r="M127" s="10"/>
      <c r="N127" s="10"/>
      <c r="O127" s="10"/>
      <c r="P127" s="10"/>
      <c r="Q127" s="10"/>
    </row>
    <row r="128" spans="5:17">
      <c r="F128" s="10"/>
      <c r="G128" s="10"/>
      <c r="H128" s="5"/>
      <c r="I128" s="10"/>
      <c r="J128" s="10"/>
      <c r="K128" s="10"/>
      <c r="L128" s="10"/>
      <c r="M128" s="10"/>
      <c r="N128" s="10"/>
      <c r="O128" s="10"/>
      <c r="P128" s="10"/>
      <c r="Q128" s="10"/>
    </row>
    <row r="129" spans="6:17">
      <c r="F129" s="10"/>
      <c r="G129" s="10"/>
      <c r="H129" s="5"/>
      <c r="I129" s="10"/>
      <c r="J129" s="10"/>
      <c r="K129" s="10"/>
      <c r="L129" s="10"/>
      <c r="M129" s="10"/>
      <c r="N129" s="10"/>
      <c r="O129" s="10"/>
      <c r="P129" s="10"/>
      <c r="Q129" s="10"/>
    </row>
    <row r="130" spans="6:17">
      <c r="F130" s="10"/>
      <c r="G130" s="10"/>
      <c r="H130" s="5"/>
      <c r="I130" s="10"/>
      <c r="J130" s="10"/>
      <c r="K130" s="10"/>
      <c r="L130" s="10"/>
      <c r="M130" s="10"/>
      <c r="N130" s="10"/>
      <c r="O130" s="10"/>
      <c r="P130" s="10"/>
      <c r="Q130" s="10"/>
    </row>
    <row r="131" spans="6:17">
      <c r="F131" s="10"/>
      <c r="G131" s="10"/>
      <c r="H131" s="5"/>
      <c r="I131" s="10"/>
      <c r="J131" s="10"/>
      <c r="K131" s="10"/>
      <c r="L131" s="10"/>
      <c r="M131" s="10"/>
      <c r="N131" s="10"/>
      <c r="O131" s="10"/>
      <c r="P131" s="10"/>
      <c r="Q131" s="10"/>
    </row>
    <row r="132" spans="6:17">
      <c r="F132" s="10"/>
      <c r="G132" s="10"/>
      <c r="H132" s="5"/>
      <c r="I132" s="10"/>
      <c r="J132" s="10"/>
      <c r="K132" s="10"/>
      <c r="L132" s="10"/>
      <c r="M132" s="10"/>
      <c r="N132" s="10"/>
      <c r="O132" s="10"/>
      <c r="P132" s="10"/>
      <c r="Q132" s="10"/>
    </row>
    <row r="133" spans="6:17">
      <c r="F133" s="10"/>
      <c r="G133" s="10"/>
      <c r="H133" s="5"/>
      <c r="I133" s="10"/>
      <c r="J133" s="10"/>
      <c r="K133" s="10"/>
      <c r="L133" s="10"/>
      <c r="M133" s="10"/>
      <c r="N133" s="10"/>
      <c r="O133" s="10"/>
      <c r="P133" s="10"/>
      <c r="Q133" s="10"/>
    </row>
    <row r="134" spans="6:17">
      <c r="F134" s="10"/>
      <c r="G134" s="10"/>
      <c r="H134" s="5"/>
      <c r="I134" s="10"/>
      <c r="J134" s="10"/>
      <c r="K134" s="10"/>
      <c r="L134" s="10"/>
      <c r="M134" s="10"/>
      <c r="N134" s="10"/>
      <c r="O134" s="10"/>
      <c r="P134" s="10"/>
      <c r="Q134" s="10"/>
    </row>
    <row r="135" spans="6:17">
      <c r="F135" s="10"/>
      <c r="G135" s="10"/>
      <c r="H135" s="5"/>
      <c r="I135" s="10"/>
      <c r="J135" s="10"/>
      <c r="K135" s="10"/>
      <c r="L135" s="10"/>
      <c r="M135" s="10"/>
      <c r="N135" s="10"/>
      <c r="O135" s="10"/>
      <c r="P135" s="10"/>
      <c r="Q135" s="10"/>
    </row>
    <row r="136" spans="6:17">
      <c r="F136" s="10"/>
      <c r="G136" s="10"/>
      <c r="H136" s="5"/>
      <c r="I136" s="10"/>
      <c r="J136" s="10"/>
      <c r="K136" s="10"/>
      <c r="L136" s="10"/>
      <c r="M136" s="10"/>
      <c r="N136" s="10"/>
      <c r="O136" s="10"/>
      <c r="P136" s="10"/>
      <c r="Q136" s="10"/>
    </row>
    <row r="137" spans="6:17">
      <c r="F137" s="10"/>
      <c r="G137" s="10"/>
      <c r="H137" s="5"/>
      <c r="I137" s="10"/>
      <c r="J137" s="10"/>
      <c r="K137" s="10"/>
      <c r="L137" s="10"/>
      <c r="M137" s="10"/>
      <c r="N137" s="10"/>
      <c r="O137" s="10"/>
      <c r="P137" s="10"/>
      <c r="Q137" s="10"/>
    </row>
    <row r="138" spans="6:17">
      <c r="F138" s="10"/>
      <c r="G138" s="10"/>
      <c r="H138" s="5"/>
      <c r="I138" s="10"/>
      <c r="J138" s="10"/>
      <c r="K138" s="10"/>
      <c r="L138" s="10"/>
      <c r="M138" s="10"/>
      <c r="N138" s="10"/>
      <c r="O138" s="10"/>
      <c r="P138" s="10"/>
      <c r="Q138" s="10"/>
    </row>
    <row r="139" spans="6:17">
      <c r="F139" s="10"/>
      <c r="G139" s="10"/>
      <c r="H139" s="5"/>
      <c r="I139" s="10"/>
      <c r="J139" s="10"/>
      <c r="K139" s="10"/>
      <c r="L139" s="10"/>
      <c r="M139" s="10"/>
      <c r="N139" s="10"/>
      <c r="O139" s="10"/>
      <c r="P139" s="10"/>
      <c r="Q139" s="10"/>
    </row>
    <row r="140" spans="6:17">
      <c r="F140" s="10"/>
      <c r="G140" s="10"/>
      <c r="H140" s="5"/>
      <c r="I140" s="10"/>
      <c r="J140" s="10"/>
      <c r="K140" s="10"/>
      <c r="L140" s="10"/>
      <c r="M140" s="10"/>
      <c r="N140" s="10"/>
      <c r="O140" s="10"/>
      <c r="P140" s="10"/>
      <c r="Q140" s="10"/>
    </row>
    <row r="141" spans="6:17">
      <c r="F141" s="10"/>
      <c r="G141" s="10"/>
      <c r="H141" s="5"/>
      <c r="I141" s="10"/>
      <c r="J141" s="10"/>
      <c r="K141" s="10"/>
      <c r="L141" s="10"/>
      <c r="M141" s="10"/>
      <c r="N141" s="10"/>
      <c r="O141" s="10"/>
      <c r="P141" s="10"/>
      <c r="Q141" s="10"/>
    </row>
    <row r="142" spans="6:17">
      <c r="F142" s="10"/>
      <c r="G142" s="10"/>
      <c r="H142" s="5"/>
      <c r="I142" s="10"/>
      <c r="J142" s="10"/>
      <c r="K142" s="10"/>
      <c r="L142" s="10"/>
      <c r="M142" s="10"/>
      <c r="N142" s="10"/>
      <c r="O142" s="10"/>
      <c r="P142" s="10"/>
      <c r="Q142" s="10"/>
    </row>
    <row r="143" spans="6:17">
      <c r="F143" s="10"/>
      <c r="G143" s="10"/>
      <c r="H143" s="5"/>
      <c r="I143" s="10"/>
      <c r="J143" s="10"/>
      <c r="K143" s="10"/>
      <c r="L143" s="10"/>
      <c r="M143" s="10"/>
      <c r="N143" s="10"/>
      <c r="O143" s="10"/>
      <c r="P143" s="10"/>
      <c r="Q143" s="10"/>
    </row>
    <row r="144" spans="6:17">
      <c r="F144" s="10"/>
      <c r="G144" s="10"/>
      <c r="H144" s="5"/>
      <c r="I144" s="10"/>
      <c r="J144" s="10"/>
      <c r="K144" s="10"/>
      <c r="L144" s="10"/>
      <c r="M144" s="10"/>
      <c r="N144" s="10"/>
      <c r="O144" s="10"/>
      <c r="P144" s="10"/>
      <c r="Q144" s="10"/>
    </row>
    <row r="145" spans="6:17">
      <c r="F145" s="10"/>
      <c r="G145" s="10"/>
      <c r="H145" s="5"/>
      <c r="I145" s="10"/>
      <c r="J145" s="10"/>
      <c r="K145" s="10"/>
      <c r="L145" s="10"/>
      <c r="M145" s="10"/>
      <c r="N145" s="10"/>
      <c r="O145" s="10"/>
      <c r="P145" s="10"/>
      <c r="Q145" s="10"/>
    </row>
    <row r="146" spans="6:17">
      <c r="F146" s="10"/>
      <c r="G146" s="10"/>
      <c r="H146" s="5"/>
      <c r="I146" s="10"/>
      <c r="J146" s="10"/>
      <c r="K146" s="10"/>
      <c r="L146" s="10"/>
      <c r="M146" s="10"/>
      <c r="N146" s="10"/>
      <c r="O146" s="10"/>
      <c r="P146" s="10"/>
      <c r="Q146" s="10"/>
    </row>
    <row r="147" spans="6:17">
      <c r="F147" s="10"/>
      <c r="G147" s="10"/>
      <c r="H147" s="5"/>
      <c r="I147" s="10"/>
      <c r="J147" s="10"/>
      <c r="K147" s="10"/>
      <c r="L147" s="10"/>
      <c r="M147" s="10"/>
      <c r="N147" s="10"/>
      <c r="O147" s="10"/>
      <c r="P147" s="10"/>
      <c r="Q147" s="10"/>
    </row>
    <row r="148" spans="6:17">
      <c r="F148" s="10"/>
      <c r="G148" s="10"/>
      <c r="H148" s="5"/>
      <c r="I148" s="10"/>
      <c r="J148" s="10"/>
      <c r="K148" s="10"/>
      <c r="L148" s="10"/>
      <c r="M148" s="10"/>
      <c r="N148" s="10"/>
      <c r="O148" s="10"/>
      <c r="P148" s="10"/>
      <c r="Q148" s="10"/>
    </row>
    <row r="149" spans="6:17">
      <c r="F149" s="10"/>
      <c r="G149" s="10"/>
      <c r="H149" s="5"/>
      <c r="I149" s="10"/>
      <c r="J149" s="10"/>
      <c r="K149" s="10"/>
      <c r="L149" s="10"/>
      <c r="M149" s="10"/>
      <c r="N149" s="10"/>
      <c r="O149" s="10"/>
      <c r="P149" s="10"/>
      <c r="Q149" s="10"/>
    </row>
    <row r="150" spans="6:17">
      <c r="F150" s="10"/>
      <c r="G150" s="10"/>
      <c r="H150" s="5"/>
      <c r="I150" s="10"/>
      <c r="J150" s="10"/>
      <c r="K150" s="10"/>
      <c r="L150" s="10"/>
      <c r="M150" s="10"/>
      <c r="N150" s="10"/>
      <c r="O150" s="10"/>
      <c r="P150" s="10"/>
      <c r="Q150" s="10"/>
    </row>
    <row r="151" spans="6:17">
      <c r="F151" s="10"/>
      <c r="G151" s="10"/>
      <c r="H151" s="5"/>
      <c r="I151" s="10"/>
      <c r="J151" s="10"/>
      <c r="K151" s="10"/>
      <c r="L151" s="10"/>
      <c r="M151" s="10"/>
      <c r="N151" s="10"/>
      <c r="O151" s="10"/>
      <c r="P151" s="10"/>
      <c r="Q151" s="10"/>
    </row>
    <row r="152" spans="6:17">
      <c r="F152" s="10"/>
      <c r="G152" s="10"/>
      <c r="H152" s="5"/>
      <c r="I152" s="10"/>
      <c r="J152" s="10"/>
      <c r="K152" s="10"/>
      <c r="L152" s="10"/>
      <c r="M152" s="10"/>
      <c r="N152" s="10"/>
      <c r="O152" s="10"/>
      <c r="P152" s="10"/>
      <c r="Q152" s="10"/>
    </row>
    <row r="153" spans="6:17">
      <c r="F153" s="10"/>
      <c r="G153" s="10"/>
      <c r="H153" s="5"/>
      <c r="I153" s="10"/>
      <c r="J153" s="10"/>
      <c r="K153" s="10"/>
      <c r="L153" s="10"/>
      <c r="M153" s="10"/>
      <c r="N153" s="10"/>
      <c r="O153" s="10"/>
      <c r="P153" s="10"/>
      <c r="Q153" s="10"/>
    </row>
    <row r="154" spans="6:17">
      <c r="F154" s="10"/>
      <c r="G154" s="10"/>
      <c r="H154" s="5"/>
      <c r="I154" s="10"/>
      <c r="J154" s="10"/>
      <c r="K154" s="10"/>
      <c r="L154" s="10"/>
      <c r="M154" s="10"/>
      <c r="N154" s="10"/>
      <c r="O154" s="10"/>
      <c r="P154" s="10"/>
      <c r="Q154" s="10"/>
    </row>
    <row r="155" spans="6:17">
      <c r="F155" s="10"/>
      <c r="G155" s="10"/>
      <c r="H155" s="5"/>
      <c r="I155" s="10"/>
      <c r="J155" s="10"/>
      <c r="K155" s="10"/>
      <c r="L155" s="10"/>
      <c r="M155" s="10"/>
      <c r="N155" s="10"/>
      <c r="O155" s="10"/>
      <c r="P155" s="10"/>
      <c r="Q155" s="10"/>
    </row>
    <row r="156" spans="6:17">
      <c r="F156" s="10"/>
      <c r="G156" s="10"/>
      <c r="H156" s="5"/>
      <c r="I156" s="10"/>
      <c r="J156" s="10"/>
      <c r="K156" s="10"/>
      <c r="L156" s="10"/>
      <c r="M156" s="10"/>
      <c r="N156" s="10"/>
      <c r="O156" s="10"/>
      <c r="P156" s="10"/>
      <c r="Q156" s="10"/>
    </row>
    <row r="157" spans="6:17">
      <c r="F157" s="10"/>
      <c r="G157" s="10"/>
      <c r="H157" s="5"/>
      <c r="I157" s="10"/>
      <c r="J157" s="10"/>
      <c r="K157" s="10"/>
      <c r="L157" s="10"/>
      <c r="M157" s="10"/>
      <c r="N157" s="10"/>
      <c r="O157" s="10"/>
      <c r="P157" s="10"/>
      <c r="Q157" s="10"/>
    </row>
    <row r="158" spans="6:17">
      <c r="F158" s="10"/>
      <c r="G158" s="10"/>
      <c r="H158" s="5"/>
      <c r="I158" s="10"/>
      <c r="J158" s="10"/>
      <c r="K158" s="10"/>
      <c r="L158" s="10"/>
      <c r="M158" s="10"/>
      <c r="N158" s="10"/>
      <c r="O158" s="10"/>
      <c r="P158" s="10"/>
      <c r="Q158" s="10"/>
    </row>
    <row r="159" spans="6:17">
      <c r="F159" s="10"/>
      <c r="G159" s="10"/>
      <c r="H159" s="5"/>
      <c r="I159" s="10"/>
      <c r="J159" s="10"/>
      <c r="K159" s="10"/>
      <c r="L159" s="10"/>
      <c r="M159" s="10"/>
      <c r="N159" s="10"/>
      <c r="O159" s="10"/>
      <c r="P159" s="10"/>
      <c r="Q159" s="10"/>
    </row>
    <row r="160" spans="6:17">
      <c r="F160" s="10"/>
      <c r="G160" s="10"/>
      <c r="H160" s="5"/>
      <c r="I160" s="10"/>
      <c r="J160" s="10"/>
      <c r="K160" s="10"/>
      <c r="L160" s="10"/>
      <c r="M160" s="10"/>
      <c r="N160" s="10"/>
      <c r="O160" s="10"/>
      <c r="P160" s="10"/>
      <c r="Q160" s="10"/>
    </row>
    <row r="161" spans="6:17">
      <c r="F161" s="10"/>
      <c r="G161" s="10"/>
      <c r="H161" s="5"/>
      <c r="I161" s="10"/>
      <c r="J161" s="10"/>
      <c r="K161" s="10"/>
      <c r="L161" s="10"/>
      <c r="M161" s="10"/>
      <c r="N161" s="10"/>
      <c r="O161" s="10"/>
      <c r="P161" s="10"/>
      <c r="Q161" s="10"/>
    </row>
    <row r="162" spans="6:17">
      <c r="F162" s="10"/>
      <c r="G162" s="10"/>
      <c r="H162" s="5"/>
      <c r="I162" s="10"/>
      <c r="J162" s="10"/>
      <c r="K162" s="10"/>
      <c r="L162" s="10"/>
      <c r="M162" s="10"/>
      <c r="N162" s="10"/>
      <c r="O162" s="10"/>
      <c r="P162" s="10"/>
      <c r="Q162" s="10"/>
    </row>
    <row r="163" spans="6:17">
      <c r="F163" s="10"/>
      <c r="G163" s="10"/>
      <c r="H163" s="5"/>
      <c r="I163" s="10"/>
      <c r="J163" s="10"/>
      <c r="K163" s="10"/>
      <c r="L163" s="10"/>
      <c r="M163" s="10"/>
      <c r="N163" s="10"/>
      <c r="O163" s="10"/>
      <c r="P163" s="10"/>
      <c r="Q163" s="10"/>
    </row>
    <row r="164" spans="6:17">
      <c r="F164" s="10"/>
      <c r="G164" s="10"/>
      <c r="H164" s="5"/>
      <c r="I164" s="10"/>
      <c r="J164" s="10"/>
      <c r="K164" s="10"/>
      <c r="L164" s="10"/>
      <c r="M164" s="10"/>
      <c r="N164" s="10"/>
      <c r="O164" s="10"/>
      <c r="P164" s="10"/>
      <c r="Q164" s="10"/>
    </row>
    <row r="165" spans="6:17">
      <c r="F165" s="10"/>
      <c r="G165" s="10"/>
      <c r="H165" s="5"/>
      <c r="I165" s="10"/>
      <c r="J165" s="10"/>
      <c r="K165" s="10"/>
      <c r="L165" s="10"/>
      <c r="M165" s="10"/>
      <c r="N165" s="10"/>
      <c r="O165" s="10"/>
      <c r="P165" s="10"/>
      <c r="Q165" s="10"/>
    </row>
    <row r="166" spans="6:17">
      <c r="F166" s="10"/>
      <c r="G166" s="10"/>
      <c r="H166" s="5"/>
      <c r="I166" s="10"/>
      <c r="J166" s="10"/>
      <c r="K166" s="10"/>
      <c r="L166" s="10"/>
      <c r="M166" s="10"/>
      <c r="N166" s="10"/>
      <c r="O166" s="10"/>
      <c r="P166" s="10"/>
      <c r="Q166" s="10"/>
    </row>
    <row r="167" spans="6:17">
      <c r="F167" s="10"/>
      <c r="G167" s="10"/>
      <c r="H167" s="5"/>
      <c r="I167" s="10"/>
      <c r="J167" s="10"/>
      <c r="K167" s="10"/>
      <c r="L167" s="10"/>
      <c r="M167" s="10"/>
      <c r="N167" s="10"/>
      <c r="O167" s="10"/>
      <c r="P167" s="10"/>
      <c r="Q167" s="10"/>
    </row>
    <row r="168" spans="6:17">
      <c r="F168" s="10"/>
      <c r="G168" s="10"/>
      <c r="H168" s="5"/>
      <c r="I168" s="10"/>
      <c r="J168" s="10"/>
      <c r="K168" s="10"/>
      <c r="L168" s="10"/>
      <c r="M168" s="10"/>
      <c r="N168" s="10"/>
      <c r="O168" s="10"/>
      <c r="P168" s="10"/>
      <c r="Q168" s="10"/>
    </row>
    <row r="169" spans="6:17">
      <c r="F169" s="10"/>
      <c r="G169" s="10"/>
      <c r="H169" s="5"/>
      <c r="I169" s="10"/>
      <c r="J169" s="10"/>
      <c r="K169" s="10"/>
      <c r="L169" s="10"/>
      <c r="M169" s="10"/>
      <c r="N169" s="10"/>
      <c r="O169" s="10"/>
      <c r="P169" s="10"/>
      <c r="Q169" s="10"/>
    </row>
    <row r="170" spans="6:17">
      <c r="F170" s="10"/>
      <c r="G170" s="10"/>
      <c r="H170" s="5"/>
      <c r="I170" s="10"/>
      <c r="J170" s="10"/>
      <c r="K170" s="10"/>
      <c r="L170" s="10"/>
      <c r="M170" s="10"/>
      <c r="N170" s="10"/>
      <c r="O170" s="10"/>
      <c r="P170" s="10"/>
      <c r="Q170" s="10"/>
    </row>
    <row r="171" spans="6:17">
      <c r="F171" s="10"/>
      <c r="G171" s="10"/>
      <c r="H171" s="5"/>
      <c r="I171" s="10"/>
      <c r="J171" s="10"/>
      <c r="K171" s="10"/>
      <c r="L171" s="10"/>
      <c r="M171" s="10"/>
      <c r="N171" s="10"/>
      <c r="O171" s="10"/>
      <c r="P171" s="10"/>
      <c r="Q171" s="10"/>
    </row>
    <row r="172" spans="6:17">
      <c r="F172" s="10"/>
      <c r="G172" s="10"/>
      <c r="H172" s="5"/>
      <c r="I172" s="10"/>
      <c r="J172" s="10"/>
      <c r="K172" s="10"/>
      <c r="L172" s="10"/>
      <c r="M172" s="10"/>
      <c r="N172" s="10"/>
      <c r="O172" s="10"/>
      <c r="P172" s="10"/>
      <c r="Q172" s="10"/>
    </row>
    <row r="173" spans="6:17">
      <c r="F173" s="10"/>
      <c r="G173" s="10"/>
      <c r="H173" s="5"/>
      <c r="I173" s="10"/>
      <c r="J173" s="10"/>
      <c r="K173" s="10"/>
      <c r="L173" s="10"/>
      <c r="M173" s="10"/>
      <c r="N173" s="10"/>
      <c r="O173" s="10"/>
      <c r="P173" s="10"/>
      <c r="Q173" s="10"/>
    </row>
    <row r="174" spans="6:17">
      <c r="F174" s="10"/>
      <c r="G174" s="10"/>
      <c r="H174" s="5"/>
      <c r="I174" s="10"/>
      <c r="J174" s="10"/>
      <c r="K174" s="10"/>
      <c r="L174" s="10"/>
      <c r="M174" s="10"/>
      <c r="N174" s="10"/>
      <c r="O174" s="10"/>
      <c r="P174" s="10"/>
      <c r="Q174" s="10"/>
    </row>
    <row r="175" spans="6:17">
      <c r="F175" s="10"/>
      <c r="G175" s="10"/>
      <c r="H175" s="5"/>
      <c r="I175" s="10"/>
      <c r="J175" s="10"/>
      <c r="K175" s="10"/>
      <c r="L175" s="10"/>
      <c r="M175" s="10"/>
      <c r="N175" s="10"/>
      <c r="O175" s="10"/>
      <c r="P175" s="10"/>
      <c r="Q175" s="10"/>
    </row>
    <row r="176" spans="6:17">
      <c r="F176" s="10"/>
      <c r="G176" s="10"/>
      <c r="H176" s="5"/>
      <c r="I176" s="10"/>
      <c r="J176" s="10"/>
      <c r="K176" s="10"/>
      <c r="L176" s="10"/>
      <c r="M176" s="10"/>
      <c r="N176" s="10"/>
      <c r="O176" s="10"/>
      <c r="P176" s="10"/>
      <c r="Q176" s="10"/>
    </row>
    <row r="177" spans="6:17">
      <c r="F177" s="10"/>
      <c r="G177" s="10"/>
      <c r="H177" s="5"/>
      <c r="I177" s="10"/>
      <c r="J177" s="10"/>
      <c r="K177" s="10"/>
      <c r="L177" s="10"/>
      <c r="M177" s="10"/>
      <c r="N177" s="10"/>
      <c r="O177" s="10"/>
      <c r="P177" s="10"/>
      <c r="Q177" s="10"/>
    </row>
    <row r="178" spans="6:17">
      <c r="F178" s="10"/>
      <c r="G178" s="10"/>
      <c r="H178" s="5"/>
      <c r="I178" s="10"/>
      <c r="J178" s="10"/>
      <c r="K178" s="10"/>
      <c r="L178" s="10"/>
      <c r="M178" s="10"/>
      <c r="N178" s="10"/>
      <c r="O178" s="10"/>
      <c r="P178" s="10"/>
      <c r="Q178" s="10"/>
    </row>
    <row r="179" spans="6:17">
      <c r="F179" s="10"/>
      <c r="G179" s="10"/>
      <c r="H179" s="5"/>
      <c r="I179" s="10"/>
      <c r="J179" s="10"/>
      <c r="K179" s="10"/>
      <c r="L179" s="10"/>
      <c r="M179" s="10"/>
      <c r="N179" s="10"/>
      <c r="O179" s="10"/>
      <c r="P179" s="10"/>
      <c r="Q179" s="10"/>
    </row>
    <row r="180" spans="6:17">
      <c r="F180" s="10"/>
      <c r="G180" s="10"/>
      <c r="H180" s="5"/>
      <c r="I180" s="10"/>
      <c r="J180" s="10"/>
      <c r="K180" s="10"/>
      <c r="L180" s="10"/>
      <c r="M180" s="10"/>
      <c r="N180" s="10"/>
      <c r="O180" s="10"/>
      <c r="P180" s="10"/>
      <c r="Q180" s="10"/>
    </row>
    <row r="181" spans="6:17">
      <c r="F181" s="10"/>
      <c r="G181" s="10"/>
      <c r="H181" s="5"/>
      <c r="I181" s="10"/>
      <c r="J181" s="10"/>
      <c r="K181" s="10"/>
      <c r="L181" s="10"/>
      <c r="M181" s="10"/>
      <c r="N181" s="10"/>
      <c r="O181" s="10"/>
      <c r="P181" s="10"/>
      <c r="Q181" s="10"/>
    </row>
    <row r="182" spans="6:17">
      <c r="F182" s="10"/>
      <c r="G182" s="10"/>
      <c r="H182" s="5"/>
      <c r="I182" s="10"/>
      <c r="J182" s="10"/>
      <c r="K182" s="10"/>
      <c r="L182" s="10"/>
      <c r="M182" s="10"/>
      <c r="N182" s="10"/>
      <c r="O182" s="10"/>
      <c r="P182" s="10"/>
      <c r="Q182" s="10"/>
    </row>
    <row r="183" spans="6:17">
      <c r="F183" s="10"/>
      <c r="G183" s="10"/>
      <c r="H183" s="5"/>
      <c r="I183" s="10"/>
      <c r="J183" s="10"/>
      <c r="K183" s="10"/>
      <c r="L183" s="10"/>
      <c r="M183" s="10"/>
      <c r="N183" s="10"/>
      <c r="O183" s="10"/>
      <c r="P183" s="10"/>
      <c r="Q183" s="10"/>
    </row>
    <row r="184" spans="6:17">
      <c r="F184" s="10"/>
      <c r="G184" s="10"/>
      <c r="H184" s="5"/>
      <c r="I184" s="10"/>
      <c r="J184" s="10"/>
      <c r="K184" s="10"/>
      <c r="L184" s="10"/>
      <c r="M184" s="10"/>
      <c r="N184" s="10"/>
      <c r="O184" s="10"/>
      <c r="P184" s="10"/>
      <c r="Q184" s="10"/>
    </row>
    <row r="185" spans="6:17">
      <c r="F185" s="10"/>
      <c r="G185" s="10"/>
      <c r="H185" s="5"/>
      <c r="I185" s="10"/>
      <c r="J185" s="10"/>
      <c r="K185" s="10"/>
      <c r="L185" s="10"/>
      <c r="M185" s="10"/>
      <c r="N185" s="10"/>
      <c r="O185" s="10"/>
      <c r="P185" s="10"/>
      <c r="Q185" s="10"/>
    </row>
    <row r="186" spans="6:17">
      <c r="F186" s="10"/>
      <c r="G186" s="10"/>
      <c r="H186" s="5"/>
      <c r="I186" s="10"/>
      <c r="J186" s="10"/>
      <c r="K186" s="10"/>
      <c r="L186" s="10"/>
      <c r="M186" s="10"/>
      <c r="N186" s="10"/>
      <c r="O186" s="10"/>
      <c r="P186" s="10"/>
      <c r="Q186" s="10"/>
    </row>
    <row r="187" spans="6:17">
      <c r="F187" s="10"/>
      <c r="G187" s="10"/>
      <c r="H187" s="5"/>
      <c r="I187" s="10"/>
      <c r="J187" s="10"/>
      <c r="K187" s="10"/>
      <c r="L187" s="10"/>
      <c r="M187" s="10"/>
      <c r="N187" s="10"/>
      <c r="O187" s="10"/>
      <c r="P187" s="10"/>
      <c r="Q187" s="10"/>
    </row>
    <row r="188" spans="6:17">
      <c r="F188" s="10"/>
      <c r="G188" s="10"/>
      <c r="H188" s="5"/>
      <c r="I188" s="10"/>
      <c r="J188" s="10"/>
      <c r="K188" s="10"/>
      <c r="L188" s="10"/>
      <c r="M188" s="10"/>
      <c r="N188" s="10"/>
      <c r="O188" s="10"/>
      <c r="P188" s="10"/>
      <c r="Q188" s="10"/>
    </row>
    <row r="189" spans="6:17">
      <c r="F189" s="10"/>
      <c r="G189" s="10"/>
      <c r="H189" s="5"/>
      <c r="I189" s="10"/>
      <c r="J189" s="10"/>
      <c r="K189" s="10"/>
      <c r="L189" s="10"/>
      <c r="M189" s="10"/>
      <c r="N189" s="10"/>
      <c r="O189" s="10"/>
      <c r="P189" s="10"/>
      <c r="Q189" s="10"/>
    </row>
    <row r="190" spans="6:17">
      <c r="F190" s="10"/>
      <c r="G190" s="10"/>
      <c r="H190" s="5"/>
      <c r="I190" s="10"/>
      <c r="J190" s="10"/>
      <c r="K190" s="10"/>
      <c r="L190" s="10"/>
      <c r="M190" s="10"/>
      <c r="N190" s="10"/>
      <c r="O190" s="10"/>
      <c r="P190" s="10"/>
      <c r="Q190" s="10"/>
    </row>
    <row r="191" spans="6:17">
      <c r="F191" s="10"/>
      <c r="G191" s="10"/>
      <c r="H191" s="5"/>
      <c r="I191" s="10"/>
      <c r="J191" s="10"/>
      <c r="K191" s="10"/>
      <c r="L191" s="10"/>
      <c r="M191" s="10"/>
      <c r="N191" s="10"/>
      <c r="O191" s="10"/>
      <c r="P191" s="10"/>
      <c r="Q191" s="10"/>
    </row>
    <row r="192" spans="6:17">
      <c r="F192" s="10"/>
      <c r="G192" s="10"/>
      <c r="H192" s="5"/>
      <c r="I192" s="10"/>
      <c r="J192" s="10"/>
      <c r="K192" s="10"/>
      <c r="L192" s="10"/>
      <c r="M192" s="10"/>
      <c r="N192" s="10"/>
      <c r="O192" s="10"/>
      <c r="P192" s="10"/>
      <c r="Q192" s="10"/>
    </row>
    <row r="193" spans="6:17">
      <c r="F193" s="10"/>
      <c r="G193" s="10"/>
      <c r="H193" s="5"/>
      <c r="I193" s="10"/>
      <c r="J193" s="10"/>
      <c r="K193" s="10"/>
      <c r="L193" s="10"/>
      <c r="M193" s="10"/>
      <c r="N193" s="10"/>
      <c r="O193" s="10"/>
      <c r="P193" s="10"/>
      <c r="Q193" s="10"/>
    </row>
    <row r="194" spans="6:17">
      <c r="F194" s="10"/>
      <c r="G194" s="10"/>
      <c r="H194" s="5"/>
      <c r="I194" s="10"/>
      <c r="J194" s="10"/>
      <c r="K194" s="10"/>
      <c r="L194" s="10"/>
      <c r="M194" s="10"/>
      <c r="N194" s="10"/>
      <c r="O194" s="10"/>
      <c r="P194" s="10"/>
      <c r="Q194" s="10"/>
    </row>
    <row r="195" spans="6:17">
      <c r="F195" s="10"/>
      <c r="G195" s="10"/>
      <c r="H195" s="5"/>
      <c r="I195" s="10"/>
      <c r="J195" s="10"/>
      <c r="K195" s="10"/>
      <c r="L195" s="10"/>
      <c r="M195" s="10"/>
      <c r="N195" s="10"/>
      <c r="O195" s="10"/>
      <c r="P195" s="10"/>
      <c r="Q195" s="10"/>
    </row>
    <row r="196" spans="6:17">
      <c r="F196" s="10"/>
      <c r="G196" s="10"/>
      <c r="H196" s="5"/>
      <c r="I196" s="10"/>
      <c r="J196" s="10"/>
      <c r="K196" s="10"/>
      <c r="L196" s="10"/>
      <c r="M196" s="10"/>
      <c r="N196" s="10"/>
      <c r="O196" s="10"/>
      <c r="P196" s="10"/>
      <c r="Q196" s="10"/>
    </row>
    <row r="197" spans="6:17">
      <c r="F197" s="10"/>
      <c r="G197" s="10"/>
      <c r="H197" s="5"/>
      <c r="I197" s="10"/>
      <c r="J197" s="10"/>
      <c r="K197" s="10"/>
      <c r="L197" s="10"/>
      <c r="M197" s="10"/>
      <c r="N197" s="10"/>
      <c r="O197" s="10"/>
      <c r="P197" s="10"/>
      <c r="Q197" s="10"/>
    </row>
    <row r="198" spans="6:17">
      <c r="F198" s="10"/>
      <c r="G198" s="10"/>
      <c r="H198" s="5"/>
      <c r="I198" s="10"/>
      <c r="J198" s="10"/>
      <c r="K198" s="10"/>
      <c r="L198" s="10"/>
      <c r="M198" s="10"/>
      <c r="N198" s="10"/>
      <c r="O198" s="10"/>
      <c r="P198" s="10"/>
      <c r="Q198" s="10"/>
    </row>
    <row r="199" spans="6:17">
      <c r="F199" s="10"/>
      <c r="G199" s="10"/>
      <c r="H199" s="5"/>
      <c r="I199" s="10"/>
      <c r="J199" s="10"/>
      <c r="K199" s="10"/>
      <c r="L199" s="10"/>
      <c r="M199" s="10"/>
      <c r="N199" s="10"/>
      <c r="O199" s="10"/>
      <c r="P199" s="10"/>
      <c r="Q199" s="10"/>
    </row>
    <row r="200" spans="6:17">
      <c r="F200" s="10"/>
      <c r="G200" s="10"/>
      <c r="H200" s="5"/>
      <c r="I200" s="10"/>
      <c r="J200" s="10"/>
      <c r="K200" s="10"/>
      <c r="L200" s="10"/>
      <c r="M200" s="10"/>
      <c r="N200" s="10"/>
      <c r="O200" s="10"/>
      <c r="P200" s="10"/>
      <c r="Q200" s="10"/>
    </row>
    <row r="201" spans="6:17">
      <c r="F201" s="10"/>
      <c r="G201" s="10"/>
      <c r="H201" s="5"/>
      <c r="I201" s="10"/>
      <c r="J201" s="10"/>
      <c r="K201" s="10"/>
      <c r="L201" s="10"/>
      <c r="M201" s="10"/>
      <c r="N201" s="10"/>
      <c r="O201" s="10"/>
      <c r="P201" s="10"/>
      <c r="Q201" s="10"/>
    </row>
    <row r="202" spans="6:17">
      <c r="F202" s="10"/>
      <c r="G202" s="10"/>
      <c r="H202" s="5"/>
      <c r="I202" s="10"/>
      <c r="J202" s="10"/>
      <c r="K202" s="10"/>
      <c r="L202" s="10"/>
      <c r="M202" s="10"/>
      <c r="N202" s="10"/>
      <c r="O202" s="10"/>
      <c r="P202" s="10"/>
      <c r="Q202" s="10"/>
    </row>
    <row r="203" spans="6:17">
      <c r="F203" s="10"/>
      <c r="G203" s="10"/>
      <c r="H203" s="5"/>
      <c r="I203" s="10"/>
      <c r="J203" s="10"/>
      <c r="K203" s="10"/>
      <c r="L203" s="10"/>
      <c r="M203" s="10"/>
      <c r="N203" s="10"/>
      <c r="O203" s="10"/>
      <c r="P203" s="10"/>
      <c r="Q203" s="10"/>
    </row>
    <row r="204" spans="6:17">
      <c r="F204" s="10"/>
      <c r="G204" s="10"/>
      <c r="H204" s="5"/>
      <c r="I204" s="10"/>
      <c r="J204" s="10"/>
      <c r="K204" s="10"/>
      <c r="L204" s="10"/>
      <c r="M204" s="10"/>
      <c r="N204" s="10"/>
      <c r="O204" s="10"/>
      <c r="P204" s="10"/>
      <c r="Q204" s="10"/>
    </row>
    <row r="205" spans="6:17">
      <c r="F205" s="10"/>
      <c r="G205" s="10"/>
      <c r="H205" s="5"/>
      <c r="I205" s="10"/>
      <c r="J205" s="10"/>
      <c r="K205" s="10"/>
      <c r="L205" s="10"/>
      <c r="M205" s="10"/>
      <c r="N205" s="10"/>
      <c r="O205" s="10"/>
      <c r="P205" s="10"/>
      <c r="Q205" s="10"/>
    </row>
    <row r="206" spans="6:17">
      <c r="F206" s="10"/>
      <c r="G206" s="10"/>
      <c r="H206" s="5"/>
      <c r="I206" s="10"/>
      <c r="J206" s="10"/>
      <c r="K206" s="10"/>
      <c r="L206" s="10"/>
      <c r="M206" s="10"/>
      <c r="N206" s="10"/>
      <c r="O206" s="10"/>
      <c r="P206" s="10"/>
      <c r="Q206" s="10"/>
    </row>
    <row r="207" spans="6:17">
      <c r="F207" s="10"/>
      <c r="G207" s="10"/>
      <c r="H207" s="5"/>
      <c r="I207" s="10"/>
      <c r="J207" s="10"/>
      <c r="K207" s="10"/>
      <c r="L207" s="10"/>
      <c r="M207" s="10"/>
      <c r="N207" s="10"/>
      <c r="O207" s="10"/>
      <c r="P207" s="10"/>
      <c r="Q207" s="10"/>
    </row>
    <row r="208" spans="6:17">
      <c r="F208" s="10"/>
      <c r="G208" s="10"/>
      <c r="H208" s="5"/>
      <c r="I208" s="10"/>
      <c r="J208" s="10"/>
      <c r="K208" s="10"/>
      <c r="L208" s="10"/>
      <c r="M208" s="10"/>
      <c r="N208" s="10"/>
      <c r="O208" s="10"/>
      <c r="P208" s="10"/>
      <c r="Q208" s="10"/>
    </row>
    <row r="209" spans="6:17">
      <c r="F209" s="10"/>
      <c r="G209" s="10"/>
      <c r="H209" s="5"/>
      <c r="I209" s="10"/>
      <c r="J209" s="10"/>
      <c r="K209" s="10"/>
      <c r="L209" s="10"/>
      <c r="M209" s="10"/>
      <c r="N209" s="10"/>
      <c r="O209" s="10"/>
      <c r="P209" s="10"/>
      <c r="Q209" s="10"/>
    </row>
    <row r="210" spans="6:17">
      <c r="F210" s="10"/>
      <c r="G210" s="10"/>
      <c r="H210" s="5"/>
      <c r="I210" s="10"/>
      <c r="J210" s="10"/>
      <c r="K210" s="10"/>
      <c r="L210" s="10"/>
      <c r="M210" s="10"/>
      <c r="N210" s="10"/>
      <c r="O210" s="10"/>
      <c r="P210" s="10"/>
      <c r="Q210" s="10"/>
    </row>
    <row r="211" spans="6:17">
      <c r="F211" s="10"/>
      <c r="G211" s="10"/>
      <c r="H211" s="5"/>
      <c r="I211" s="10"/>
      <c r="J211" s="10"/>
      <c r="K211" s="10"/>
      <c r="L211" s="10"/>
      <c r="M211" s="10"/>
      <c r="N211" s="10"/>
      <c r="O211" s="10"/>
      <c r="P211" s="10"/>
      <c r="Q211" s="10"/>
    </row>
    <row r="212" spans="6:17">
      <c r="F212" s="10"/>
      <c r="G212" s="10"/>
      <c r="H212" s="5"/>
      <c r="I212" s="10"/>
      <c r="J212" s="10"/>
      <c r="K212" s="10"/>
      <c r="L212" s="10"/>
      <c r="M212" s="10"/>
      <c r="N212" s="10"/>
      <c r="O212" s="10"/>
      <c r="P212" s="10"/>
      <c r="Q212" s="10"/>
    </row>
    <row r="213" spans="6:17">
      <c r="F213" s="10"/>
      <c r="G213" s="10"/>
      <c r="H213" s="5"/>
      <c r="I213" s="10"/>
      <c r="J213" s="10"/>
      <c r="K213" s="10"/>
      <c r="L213" s="10"/>
      <c r="M213" s="10"/>
      <c r="N213" s="10"/>
      <c r="O213" s="10"/>
      <c r="P213" s="10"/>
      <c r="Q213" s="10"/>
    </row>
    <row r="214" spans="6:17">
      <c r="F214" s="10"/>
      <c r="G214" s="10"/>
      <c r="H214" s="5"/>
      <c r="I214" s="10"/>
      <c r="J214" s="10"/>
      <c r="K214" s="10"/>
      <c r="L214" s="10"/>
      <c r="M214" s="10"/>
      <c r="N214" s="10"/>
      <c r="O214" s="10"/>
      <c r="P214" s="10"/>
      <c r="Q214" s="10"/>
    </row>
    <row r="215" spans="6:17">
      <c r="F215" s="10"/>
      <c r="G215" s="10"/>
      <c r="H215" s="5"/>
      <c r="I215" s="10"/>
      <c r="J215" s="10"/>
      <c r="K215" s="10"/>
      <c r="L215" s="10"/>
      <c r="M215" s="10"/>
      <c r="N215" s="10"/>
      <c r="O215" s="10"/>
      <c r="P215" s="10"/>
      <c r="Q215" s="10"/>
    </row>
    <row r="216" spans="6:17">
      <c r="F216" s="10"/>
      <c r="G216" s="10"/>
      <c r="H216" s="5"/>
      <c r="I216" s="10"/>
      <c r="J216" s="10"/>
      <c r="K216" s="10"/>
      <c r="L216" s="10"/>
      <c r="M216" s="10"/>
      <c r="N216" s="10"/>
      <c r="O216" s="10"/>
      <c r="P216" s="10"/>
      <c r="Q216" s="10"/>
    </row>
    <row r="217" spans="6:17">
      <c r="F217" s="10"/>
      <c r="G217" s="10"/>
      <c r="H217" s="5"/>
      <c r="I217" s="10"/>
      <c r="J217" s="10"/>
      <c r="K217" s="10"/>
      <c r="L217" s="10"/>
      <c r="M217" s="10"/>
      <c r="N217" s="10"/>
      <c r="O217" s="10"/>
      <c r="P217" s="10"/>
      <c r="Q217" s="10"/>
    </row>
    <row r="218" spans="6:17">
      <c r="F218" s="10"/>
      <c r="G218" s="10"/>
      <c r="H218" s="5"/>
      <c r="I218" s="10"/>
      <c r="J218" s="10"/>
      <c r="K218" s="10"/>
      <c r="L218" s="10"/>
      <c r="M218" s="10"/>
      <c r="N218" s="10"/>
      <c r="O218" s="10"/>
      <c r="P218" s="10"/>
      <c r="Q218" s="10"/>
    </row>
    <row r="219" spans="6:17">
      <c r="F219" s="10"/>
      <c r="G219" s="10"/>
      <c r="H219" s="5"/>
      <c r="I219" s="10"/>
      <c r="J219" s="10"/>
      <c r="K219" s="10"/>
      <c r="L219" s="10"/>
      <c r="M219" s="10"/>
      <c r="N219" s="10"/>
      <c r="O219" s="10"/>
      <c r="P219" s="10"/>
      <c r="Q219" s="10"/>
    </row>
    <row r="220" spans="6:17">
      <c r="F220" s="10"/>
      <c r="G220" s="10"/>
      <c r="H220" s="5"/>
      <c r="I220" s="10"/>
      <c r="J220" s="10"/>
      <c r="K220" s="10"/>
      <c r="L220" s="10"/>
      <c r="M220" s="10"/>
      <c r="N220" s="10"/>
      <c r="O220" s="10"/>
      <c r="P220" s="10"/>
      <c r="Q220" s="10"/>
    </row>
    <row r="221" spans="6:17">
      <c r="F221" s="10"/>
      <c r="G221" s="10"/>
      <c r="H221" s="5"/>
      <c r="I221" s="10"/>
      <c r="J221" s="10"/>
      <c r="K221" s="10"/>
      <c r="L221" s="10"/>
      <c r="M221" s="10"/>
      <c r="N221" s="10"/>
      <c r="O221" s="10"/>
      <c r="P221" s="10"/>
      <c r="Q221" s="10"/>
    </row>
    <row r="222" spans="6:17">
      <c r="F222" s="10"/>
      <c r="G222" s="10"/>
      <c r="H222" s="5"/>
      <c r="I222" s="10"/>
      <c r="J222" s="10"/>
      <c r="K222" s="10"/>
      <c r="L222" s="10"/>
      <c r="M222" s="10"/>
      <c r="N222" s="10"/>
      <c r="O222" s="10"/>
      <c r="P222" s="10"/>
      <c r="Q222" s="10"/>
    </row>
    <row r="223" spans="6:17">
      <c r="F223" s="10"/>
      <c r="G223" s="10"/>
      <c r="H223" s="5"/>
      <c r="I223" s="10"/>
      <c r="J223" s="10"/>
      <c r="K223" s="10"/>
      <c r="L223" s="10"/>
      <c r="M223" s="10"/>
      <c r="N223" s="10"/>
      <c r="O223" s="10"/>
      <c r="P223" s="10"/>
      <c r="Q223" s="10"/>
    </row>
    <row r="224" spans="6:17">
      <c r="F224" s="10"/>
      <c r="G224" s="10"/>
      <c r="H224" s="5"/>
      <c r="I224" s="10"/>
      <c r="J224" s="10"/>
      <c r="K224" s="10"/>
      <c r="L224" s="10"/>
      <c r="M224" s="10"/>
      <c r="N224" s="10"/>
      <c r="O224" s="10"/>
      <c r="P224" s="10"/>
      <c r="Q224" s="10"/>
    </row>
    <row r="225" spans="6:17">
      <c r="F225" s="10"/>
      <c r="G225" s="10"/>
      <c r="H225" s="5"/>
      <c r="I225" s="10"/>
      <c r="J225" s="10"/>
      <c r="K225" s="10"/>
      <c r="L225" s="10"/>
      <c r="M225" s="10"/>
      <c r="N225" s="10"/>
      <c r="O225" s="10"/>
      <c r="P225" s="10"/>
      <c r="Q225" s="10"/>
    </row>
    <row r="226" spans="6:17">
      <c r="F226" s="10"/>
      <c r="G226" s="10"/>
      <c r="H226" s="5"/>
      <c r="I226" s="10"/>
      <c r="J226" s="10"/>
      <c r="K226" s="10"/>
      <c r="L226" s="10"/>
      <c r="M226" s="10"/>
      <c r="N226" s="10"/>
      <c r="O226" s="10"/>
      <c r="P226" s="10"/>
      <c r="Q226" s="10"/>
    </row>
    <row r="227" spans="6:17">
      <c r="F227" s="10"/>
      <c r="G227" s="10"/>
      <c r="H227" s="5"/>
      <c r="I227" s="10"/>
      <c r="J227" s="10"/>
      <c r="K227" s="10"/>
      <c r="L227" s="10"/>
      <c r="M227" s="10"/>
      <c r="N227" s="10"/>
      <c r="O227" s="10"/>
      <c r="P227" s="10"/>
      <c r="Q227" s="10"/>
    </row>
    <row r="228" spans="6:17">
      <c r="F228" s="10"/>
      <c r="G228" s="10"/>
      <c r="H228" s="5"/>
      <c r="I228" s="10"/>
      <c r="J228" s="10"/>
      <c r="K228" s="10"/>
      <c r="L228" s="10"/>
      <c r="M228" s="10"/>
      <c r="N228" s="10"/>
      <c r="O228" s="10"/>
      <c r="P228" s="10"/>
      <c r="Q228" s="10"/>
    </row>
    <row r="229" spans="6:17">
      <c r="F229" s="10"/>
      <c r="G229" s="10"/>
      <c r="H229" s="5"/>
      <c r="I229" s="10"/>
      <c r="J229" s="10"/>
      <c r="K229" s="10"/>
      <c r="L229" s="10"/>
      <c r="M229" s="10"/>
      <c r="N229" s="10"/>
      <c r="O229" s="10"/>
      <c r="P229" s="10"/>
      <c r="Q229" s="10"/>
    </row>
    <row r="230" spans="6:17">
      <c r="F230" s="10"/>
      <c r="G230" s="10"/>
      <c r="H230" s="5"/>
      <c r="I230" s="10"/>
      <c r="J230" s="10"/>
      <c r="K230" s="10"/>
      <c r="L230" s="10"/>
      <c r="M230" s="10"/>
      <c r="N230" s="10"/>
      <c r="O230" s="10"/>
      <c r="P230" s="10"/>
      <c r="Q230" s="10"/>
    </row>
    <row r="231" spans="6:17">
      <c r="F231" s="10"/>
      <c r="G231" s="10"/>
      <c r="H231" s="5"/>
      <c r="I231" s="10"/>
      <c r="J231" s="10"/>
      <c r="K231" s="10"/>
      <c r="L231" s="10"/>
      <c r="M231" s="10"/>
      <c r="N231" s="10"/>
      <c r="O231" s="10"/>
      <c r="P231" s="10"/>
      <c r="Q231" s="10"/>
    </row>
    <row r="232" spans="6:17">
      <c r="F232" s="10"/>
      <c r="G232" s="10"/>
      <c r="H232" s="5"/>
      <c r="I232" s="10"/>
      <c r="J232" s="10"/>
      <c r="K232" s="10"/>
      <c r="L232" s="10"/>
      <c r="M232" s="10"/>
      <c r="N232" s="10"/>
      <c r="O232" s="10"/>
      <c r="P232" s="10"/>
      <c r="Q232" s="10"/>
    </row>
    <row r="233" spans="6:17">
      <c r="F233" s="10"/>
      <c r="G233" s="10"/>
      <c r="H233" s="5"/>
      <c r="I233" s="10"/>
      <c r="J233" s="10"/>
      <c r="K233" s="10"/>
      <c r="L233" s="10"/>
      <c r="M233" s="10"/>
      <c r="N233" s="10"/>
      <c r="O233" s="10"/>
      <c r="P233" s="10"/>
      <c r="Q233" s="10"/>
    </row>
    <row r="234" spans="6:17">
      <c r="F234" s="10"/>
      <c r="G234" s="10"/>
      <c r="H234" s="5"/>
      <c r="I234" s="10"/>
      <c r="J234" s="10"/>
      <c r="K234" s="10"/>
      <c r="L234" s="10"/>
      <c r="M234" s="10"/>
      <c r="N234" s="10"/>
      <c r="O234" s="10"/>
      <c r="P234" s="10"/>
      <c r="Q234" s="10"/>
    </row>
    <row r="235" spans="6:17">
      <c r="F235" s="10"/>
      <c r="G235" s="10"/>
      <c r="H235" s="5"/>
      <c r="I235" s="10"/>
      <c r="J235" s="10"/>
      <c r="K235" s="10"/>
      <c r="L235" s="10"/>
      <c r="M235" s="10"/>
      <c r="N235" s="10"/>
      <c r="O235" s="10"/>
      <c r="P235" s="10"/>
      <c r="Q235" s="10"/>
    </row>
    <row r="236" spans="6:17">
      <c r="F236" s="10"/>
      <c r="G236" s="10"/>
      <c r="H236" s="5"/>
      <c r="I236" s="10"/>
      <c r="J236" s="10"/>
      <c r="K236" s="10"/>
      <c r="L236" s="10"/>
      <c r="M236" s="10"/>
      <c r="N236" s="10"/>
      <c r="O236" s="10"/>
      <c r="P236" s="10"/>
      <c r="Q236" s="10"/>
    </row>
    <row r="237" spans="6:17">
      <c r="F237" s="10"/>
      <c r="G237" s="10"/>
      <c r="H237" s="5"/>
      <c r="I237" s="10"/>
      <c r="J237" s="10"/>
      <c r="K237" s="10"/>
      <c r="L237" s="10"/>
      <c r="M237" s="10"/>
      <c r="N237" s="10"/>
      <c r="O237" s="10"/>
      <c r="P237" s="10"/>
      <c r="Q237" s="10"/>
    </row>
    <row r="238" spans="6:17">
      <c r="F238" s="10"/>
      <c r="G238" s="10"/>
      <c r="H238" s="5"/>
      <c r="I238" s="10"/>
      <c r="J238" s="10"/>
      <c r="K238" s="10"/>
      <c r="L238" s="10"/>
      <c r="M238" s="10"/>
      <c r="N238" s="10"/>
      <c r="O238" s="10"/>
      <c r="P238" s="10"/>
      <c r="Q238" s="10"/>
    </row>
    <row r="239" spans="6:17">
      <c r="F239" s="10"/>
      <c r="G239" s="10"/>
      <c r="H239" s="5"/>
      <c r="I239" s="10"/>
      <c r="J239" s="10"/>
      <c r="K239" s="10"/>
      <c r="L239" s="10"/>
      <c r="M239" s="10"/>
      <c r="N239" s="10"/>
      <c r="O239" s="10"/>
      <c r="P239" s="10"/>
      <c r="Q239" s="10"/>
    </row>
    <row r="240" spans="6:17">
      <c r="F240" s="10"/>
      <c r="G240" s="10"/>
      <c r="H240" s="5"/>
      <c r="I240" s="10"/>
      <c r="J240" s="10"/>
      <c r="K240" s="10"/>
      <c r="L240" s="10"/>
      <c r="M240" s="10"/>
      <c r="N240" s="10"/>
      <c r="O240" s="10"/>
      <c r="P240" s="10"/>
      <c r="Q240" s="10"/>
    </row>
    <row r="241" spans="6:17">
      <c r="F241" s="10"/>
      <c r="G241" s="10"/>
      <c r="H241" s="5"/>
      <c r="I241" s="10"/>
      <c r="J241" s="10"/>
      <c r="K241" s="10"/>
      <c r="L241" s="10"/>
      <c r="M241" s="10"/>
      <c r="N241" s="10"/>
      <c r="O241" s="10"/>
      <c r="P241" s="10"/>
      <c r="Q241" s="10"/>
    </row>
    <row r="242" spans="6:17">
      <c r="F242" s="10"/>
      <c r="G242" s="10"/>
      <c r="H242" s="5"/>
      <c r="I242" s="10"/>
      <c r="J242" s="10"/>
      <c r="K242" s="10"/>
      <c r="L242" s="10"/>
      <c r="M242" s="10"/>
      <c r="N242" s="10"/>
      <c r="O242" s="10"/>
      <c r="P242" s="10"/>
      <c r="Q242" s="10"/>
    </row>
    <row r="243" spans="6:17">
      <c r="F243" s="10"/>
      <c r="G243" s="10"/>
      <c r="H243" s="5"/>
      <c r="I243" s="10"/>
      <c r="J243" s="10"/>
      <c r="K243" s="10"/>
      <c r="L243" s="10"/>
      <c r="M243" s="10"/>
      <c r="N243" s="10"/>
      <c r="O243" s="10"/>
      <c r="P243" s="10"/>
      <c r="Q243" s="10"/>
    </row>
    <row r="244" spans="6:17">
      <c r="F244" s="10"/>
      <c r="G244" s="10"/>
      <c r="H244" s="5"/>
      <c r="I244" s="10"/>
      <c r="J244" s="10"/>
      <c r="K244" s="10"/>
      <c r="L244" s="10"/>
      <c r="M244" s="10"/>
      <c r="N244" s="10"/>
      <c r="O244" s="10"/>
      <c r="P244" s="10"/>
      <c r="Q244" s="10"/>
    </row>
    <row r="245" spans="6:17">
      <c r="F245" s="10"/>
      <c r="G245" s="10"/>
      <c r="H245" s="5"/>
      <c r="I245" s="10"/>
      <c r="J245" s="10"/>
      <c r="K245" s="10"/>
      <c r="L245" s="10"/>
      <c r="M245" s="10"/>
      <c r="N245" s="10"/>
      <c r="O245" s="10"/>
      <c r="P245" s="10"/>
      <c r="Q245" s="10"/>
    </row>
    <row r="246" spans="6:17">
      <c r="F246" s="10"/>
      <c r="G246" s="10"/>
      <c r="H246" s="5"/>
      <c r="I246" s="10"/>
      <c r="J246" s="10"/>
      <c r="K246" s="10"/>
      <c r="L246" s="10"/>
      <c r="M246" s="10"/>
      <c r="N246" s="10"/>
      <c r="O246" s="10"/>
      <c r="P246" s="10"/>
      <c r="Q246" s="10"/>
    </row>
    <row r="247" spans="6:17">
      <c r="F247" s="10"/>
      <c r="G247" s="10"/>
      <c r="H247" s="5"/>
      <c r="I247" s="10"/>
      <c r="J247" s="10"/>
      <c r="K247" s="10"/>
      <c r="L247" s="10"/>
      <c r="M247" s="10"/>
      <c r="N247" s="10"/>
      <c r="O247" s="10"/>
      <c r="P247" s="10"/>
      <c r="Q247" s="10"/>
    </row>
    <row r="248" spans="6:17">
      <c r="F248" s="10"/>
      <c r="G248" s="10"/>
      <c r="H248" s="5"/>
      <c r="I248" s="10"/>
      <c r="J248" s="10"/>
      <c r="K248" s="10"/>
      <c r="L248" s="10"/>
      <c r="M248" s="10"/>
      <c r="N248" s="10"/>
      <c r="O248" s="10"/>
      <c r="P248" s="10"/>
      <c r="Q248" s="10"/>
    </row>
    <row r="249" spans="6:17">
      <c r="F249" s="10"/>
      <c r="G249" s="10"/>
      <c r="H249" s="5"/>
      <c r="I249" s="10"/>
      <c r="J249" s="10"/>
      <c r="K249" s="10"/>
      <c r="L249" s="10"/>
      <c r="M249" s="10"/>
      <c r="N249" s="10"/>
      <c r="O249" s="10"/>
      <c r="P249" s="10"/>
      <c r="Q249" s="10"/>
    </row>
    <row r="250" spans="6:17">
      <c r="F250" s="10"/>
      <c r="G250" s="10"/>
      <c r="H250" s="5"/>
      <c r="I250" s="10"/>
      <c r="J250" s="10"/>
      <c r="K250" s="10"/>
      <c r="L250" s="10"/>
      <c r="M250" s="10"/>
      <c r="N250" s="10"/>
      <c r="O250" s="10"/>
      <c r="P250" s="10"/>
      <c r="Q250" s="10"/>
    </row>
    <row r="251" spans="6:17">
      <c r="F251" s="10"/>
      <c r="G251" s="10"/>
      <c r="H251" s="5"/>
      <c r="I251" s="10"/>
      <c r="J251" s="10"/>
      <c r="K251" s="10"/>
      <c r="L251" s="10"/>
      <c r="M251" s="10"/>
      <c r="N251" s="10"/>
      <c r="O251" s="10"/>
      <c r="P251" s="10"/>
      <c r="Q251" s="10"/>
    </row>
    <row r="252" spans="6:17">
      <c r="F252" s="10"/>
      <c r="G252" s="10"/>
      <c r="H252" s="5"/>
      <c r="I252" s="10"/>
      <c r="J252" s="10"/>
      <c r="K252" s="10"/>
      <c r="L252" s="10"/>
      <c r="M252" s="10"/>
      <c r="N252" s="10"/>
      <c r="O252" s="10"/>
      <c r="P252" s="10"/>
      <c r="Q252" s="10"/>
    </row>
    <row r="253" spans="6:17">
      <c r="F253" s="10"/>
      <c r="G253" s="10"/>
      <c r="H253" s="5"/>
      <c r="I253" s="10"/>
      <c r="J253" s="10"/>
      <c r="K253" s="10"/>
      <c r="L253" s="10"/>
      <c r="M253" s="10"/>
      <c r="N253" s="10"/>
      <c r="O253" s="10"/>
      <c r="P253" s="10"/>
      <c r="Q253" s="10"/>
    </row>
    <row r="254" spans="6:17">
      <c r="F254" s="10"/>
      <c r="G254" s="10"/>
      <c r="H254" s="5"/>
      <c r="I254" s="10"/>
      <c r="J254" s="10"/>
      <c r="K254" s="10"/>
      <c r="L254" s="10"/>
      <c r="M254" s="10"/>
      <c r="N254" s="10"/>
      <c r="O254" s="10"/>
      <c r="P254" s="10"/>
      <c r="Q254" s="10"/>
    </row>
    <row r="255" spans="6:17">
      <c r="F255" s="10"/>
      <c r="G255" s="10"/>
      <c r="H255" s="5"/>
      <c r="I255" s="10"/>
      <c r="J255" s="10"/>
      <c r="K255" s="10"/>
      <c r="L255" s="10"/>
      <c r="M255" s="10"/>
      <c r="N255" s="10"/>
      <c r="O255" s="10"/>
      <c r="P255" s="10"/>
      <c r="Q255" s="10"/>
    </row>
    <row r="256" spans="6:17">
      <c r="F256" s="10"/>
      <c r="G256" s="10"/>
      <c r="H256" s="5"/>
      <c r="I256" s="10"/>
      <c r="J256" s="10"/>
      <c r="K256" s="10"/>
      <c r="L256" s="10"/>
      <c r="M256" s="10"/>
      <c r="N256" s="10"/>
      <c r="O256" s="10"/>
      <c r="P256" s="10"/>
      <c r="Q256" s="10"/>
    </row>
    <row r="257" spans="6:17">
      <c r="F257" s="10"/>
      <c r="G257" s="10"/>
      <c r="H257" s="5"/>
      <c r="I257" s="10"/>
      <c r="J257" s="10"/>
      <c r="K257" s="10"/>
      <c r="L257" s="10"/>
      <c r="M257" s="10"/>
      <c r="N257" s="10"/>
      <c r="O257" s="10"/>
      <c r="P257" s="10"/>
      <c r="Q257" s="10"/>
    </row>
    <row r="258" spans="6:17">
      <c r="F258" s="10"/>
      <c r="G258" s="10"/>
      <c r="H258" s="5"/>
      <c r="I258" s="10"/>
      <c r="J258" s="10"/>
      <c r="K258" s="10"/>
      <c r="L258" s="10"/>
      <c r="M258" s="10"/>
      <c r="N258" s="10"/>
      <c r="O258" s="10"/>
      <c r="P258" s="10"/>
      <c r="Q258" s="10"/>
    </row>
    <row r="259" spans="6:17">
      <c r="F259" s="10"/>
      <c r="G259" s="10"/>
      <c r="H259" s="5"/>
      <c r="I259" s="10"/>
      <c r="J259" s="10"/>
      <c r="K259" s="10"/>
      <c r="L259" s="10"/>
      <c r="M259" s="10"/>
      <c r="N259" s="10"/>
      <c r="O259" s="10"/>
      <c r="P259" s="10"/>
      <c r="Q259" s="10"/>
    </row>
    <row r="260" spans="6:17">
      <c r="F260" s="10"/>
      <c r="G260" s="10"/>
      <c r="H260" s="5"/>
      <c r="I260" s="10"/>
      <c r="J260" s="10"/>
      <c r="K260" s="10"/>
      <c r="L260" s="10"/>
      <c r="M260" s="10"/>
      <c r="N260" s="10"/>
      <c r="O260" s="10"/>
      <c r="P260" s="10"/>
      <c r="Q260" s="10"/>
    </row>
    <row r="261" spans="6:17">
      <c r="F261" s="10"/>
      <c r="G261" s="10"/>
      <c r="H261" s="5"/>
      <c r="I261" s="10"/>
      <c r="J261" s="10"/>
      <c r="K261" s="10"/>
      <c r="L261" s="10"/>
      <c r="M261" s="10"/>
      <c r="N261" s="10"/>
      <c r="O261" s="10"/>
      <c r="P261" s="10"/>
      <c r="Q261" s="10"/>
    </row>
    <row r="262" spans="6:17">
      <c r="F262" s="10"/>
      <c r="G262" s="10"/>
      <c r="H262" s="5"/>
      <c r="I262" s="10"/>
      <c r="J262" s="10"/>
      <c r="K262" s="10"/>
      <c r="L262" s="10"/>
      <c r="M262" s="10"/>
      <c r="N262" s="10"/>
      <c r="O262" s="10"/>
      <c r="P262" s="10"/>
      <c r="Q262" s="10"/>
    </row>
    <row r="263" spans="6:17">
      <c r="F263" s="10"/>
      <c r="G263" s="10"/>
      <c r="H263" s="5"/>
      <c r="I263" s="10"/>
      <c r="J263" s="10"/>
      <c r="K263" s="10"/>
      <c r="L263" s="10"/>
      <c r="M263" s="10"/>
      <c r="N263" s="10"/>
      <c r="O263" s="10"/>
      <c r="P263" s="10"/>
      <c r="Q263" s="10"/>
    </row>
    <row r="264" spans="6:17">
      <c r="F264" s="10"/>
      <c r="G264" s="10"/>
      <c r="H264" s="5"/>
      <c r="I264" s="10"/>
      <c r="J264" s="10"/>
      <c r="K264" s="10"/>
      <c r="L264" s="10"/>
      <c r="M264" s="10"/>
      <c r="N264" s="10"/>
      <c r="O264" s="10"/>
      <c r="P264" s="10"/>
      <c r="Q264" s="10"/>
    </row>
    <row r="265" spans="6:17">
      <c r="F265" s="10"/>
      <c r="G265" s="10"/>
      <c r="H265" s="5"/>
      <c r="I265" s="10"/>
      <c r="J265" s="10"/>
      <c r="K265" s="10"/>
      <c r="L265" s="10"/>
      <c r="M265" s="10"/>
      <c r="N265" s="10"/>
      <c r="O265" s="10"/>
      <c r="P265" s="10"/>
      <c r="Q265" s="10"/>
    </row>
    <row r="266" spans="6:17">
      <c r="F266" s="10"/>
      <c r="G266" s="10"/>
      <c r="H266" s="5"/>
      <c r="I266" s="10"/>
      <c r="J266" s="10"/>
      <c r="K266" s="10"/>
      <c r="L266" s="10"/>
      <c r="M266" s="10"/>
      <c r="N266" s="10"/>
      <c r="O266" s="10"/>
      <c r="P266" s="10"/>
      <c r="Q266" s="10"/>
    </row>
    <row r="267" spans="6:17">
      <c r="F267" s="10"/>
      <c r="G267" s="10"/>
      <c r="H267" s="5"/>
      <c r="I267" s="10"/>
      <c r="J267" s="10"/>
      <c r="K267" s="10"/>
      <c r="L267" s="10"/>
      <c r="M267" s="10"/>
      <c r="N267" s="10"/>
      <c r="O267" s="10"/>
      <c r="P267" s="10"/>
      <c r="Q267" s="10"/>
    </row>
    <row r="268" spans="6:17">
      <c r="F268" s="10"/>
      <c r="G268" s="10"/>
      <c r="H268" s="5"/>
      <c r="I268" s="10"/>
      <c r="J268" s="10"/>
      <c r="K268" s="10"/>
      <c r="L268" s="10"/>
      <c r="M268" s="10"/>
      <c r="N268" s="10"/>
      <c r="O268" s="10"/>
      <c r="P268" s="10"/>
      <c r="Q268" s="10"/>
    </row>
    <row r="269" spans="6:17">
      <c r="F269" s="10"/>
      <c r="G269" s="10"/>
      <c r="H269" s="5"/>
      <c r="I269" s="10"/>
      <c r="J269" s="10"/>
      <c r="K269" s="10"/>
      <c r="L269" s="10"/>
      <c r="M269" s="10"/>
      <c r="N269" s="10"/>
      <c r="O269" s="10"/>
      <c r="P269" s="10"/>
      <c r="Q269" s="10"/>
    </row>
    <row r="270" spans="6:17">
      <c r="F270" s="10"/>
      <c r="G270" s="10"/>
      <c r="H270" s="5"/>
      <c r="I270" s="10"/>
      <c r="J270" s="10"/>
      <c r="K270" s="10"/>
      <c r="L270" s="10"/>
      <c r="M270" s="10"/>
      <c r="N270" s="10"/>
      <c r="O270" s="10"/>
      <c r="P270" s="10"/>
      <c r="Q270" s="10"/>
    </row>
    <row r="271" spans="6:17">
      <c r="F271" s="10"/>
      <c r="G271" s="10"/>
      <c r="H271" s="5"/>
      <c r="I271" s="10"/>
      <c r="J271" s="10"/>
      <c r="K271" s="10"/>
      <c r="L271" s="10"/>
      <c r="M271" s="10"/>
      <c r="N271" s="10"/>
      <c r="O271" s="10"/>
      <c r="P271" s="10"/>
      <c r="Q271" s="10"/>
    </row>
    <row r="272" spans="6:17">
      <c r="F272" s="10"/>
      <c r="G272" s="10"/>
      <c r="H272" s="5"/>
      <c r="I272" s="10"/>
      <c r="J272" s="10"/>
      <c r="K272" s="10"/>
      <c r="L272" s="10"/>
      <c r="M272" s="10"/>
      <c r="N272" s="10"/>
      <c r="O272" s="10"/>
      <c r="P272" s="10"/>
      <c r="Q272" s="10"/>
    </row>
    <row r="273" spans="6:17">
      <c r="F273" s="10"/>
      <c r="G273" s="10"/>
      <c r="H273" s="5"/>
      <c r="I273" s="10"/>
      <c r="J273" s="10"/>
      <c r="K273" s="10"/>
      <c r="L273" s="10"/>
      <c r="M273" s="10"/>
      <c r="N273" s="10"/>
      <c r="O273" s="10"/>
      <c r="P273" s="10"/>
      <c r="Q273" s="10"/>
    </row>
    <row r="274" spans="6:17">
      <c r="F274" s="10"/>
      <c r="G274" s="10"/>
      <c r="H274" s="5"/>
      <c r="I274" s="10"/>
      <c r="J274" s="10"/>
      <c r="K274" s="10"/>
      <c r="L274" s="10"/>
      <c r="M274" s="10"/>
      <c r="N274" s="10"/>
      <c r="O274" s="10"/>
      <c r="P274" s="10"/>
      <c r="Q274" s="10"/>
    </row>
    <row r="275" spans="6:17">
      <c r="F275" s="10"/>
      <c r="G275" s="10"/>
      <c r="H275" s="5"/>
      <c r="I275" s="10"/>
      <c r="J275" s="10"/>
      <c r="K275" s="10"/>
      <c r="L275" s="10"/>
      <c r="M275" s="10"/>
      <c r="N275" s="10"/>
      <c r="O275" s="10"/>
      <c r="P275" s="10"/>
      <c r="Q275" s="10"/>
    </row>
    <row r="276" spans="6:17">
      <c r="F276" s="10"/>
      <c r="G276" s="10"/>
      <c r="H276" s="5"/>
      <c r="I276" s="10"/>
      <c r="J276" s="10"/>
      <c r="K276" s="10"/>
      <c r="L276" s="10"/>
      <c r="M276" s="10"/>
      <c r="N276" s="10"/>
      <c r="O276" s="10"/>
      <c r="P276" s="10"/>
      <c r="Q276" s="10"/>
    </row>
    <row r="277" spans="6:17">
      <c r="F277" s="10"/>
      <c r="G277" s="10"/>
      <c r="H277" s="5"/>
      <c r="I277" s="10"/>
      <c r="J277" s="10"/>
      <c r="K277" s="10"/>
      <c r="L277" s="10"/>
      <c r="M277" s="10"/>
      <c r="N277" s="10"/>
      <c r="O277" s="10"/>
      <c r="P277" s="10"/>
      <c r="Q277" s="10"/>
    </row>
    <row r="278" spans="6:17">
      <c r="F278" s="10"/>
      <c r="G278" s="10"/>
      <c r="H278" s="5"/>
      <c r="I278" s="10"/>
      <c r="J278" s="10"/>
      <c r="K278" s="10"/>
      <c r="L278" s="10"/>
      <c r="M278" s="10"/>
      <c r="N278" s="10"/>
      <c r="O278" s="10"/>
      <c r="P278" s="10"/>
      <c r="Q278" s="10"/>
    </row>
    <row r="279" spans="6:17">
      <c r="F279" s="10"/>
      <c r="G279" s="10"/>
      <c r="H279" s="5"/>
      <c r="I279" s="10"/>
      <c r="J279" s="10"/>
      <c r="K279" s="10"/>
      <c r="L279" s="10"/>
      <c r="M279" s="10"/>
      <c r="N279" s="10"/>
      <c r="O279" s="10"/>
      <c r="P279" s="10"/>
      <c r="Q279" s="10"/>
    </row>
    <row r="280" spans="6:17">
      <c r="F280" s="10"/>
      <c r="G280" s="10"/>
      <c r="H280" s="5"/>
      <c r="I280" s="10"/>
      <c r="J280" s="10"/>
      <c r="K280" s="10"/>
      <c r="L280" s="10"/>
      <c r="M280" s="10"/>
      <c r="N280" s="10"/>
      <c r="O280" s="10"/>
      <c r="P280" s="10"/>
      <c r="Q280" s="10"/>
    </row>
    <row r="281" spans="6:17">
      <c r="F281" s="10"/>
      <c r="G281" s="10"/>
      <c r="H281" s="5"/>
      <c r="I281" s="10"/>
      <c r="J281" s="10"/>
      <c r="K281" s="10"/>
      <c r="L281" s="10"/>
      <c r="M281" s="10"/>
      <c r="N281" s="10"/>
      <c r="O281" s="10"/>
      <c r="P281" s="10"/>
      <c r="Q281" s="10"/>
    </row>
    <row r="282" spans="6:17">
      <c r="F282" s="10"/>
      <c r="G282" s="10"/>
      <c r="H282" s="5"/>
      <c r="I282" s="10"/>
      <c r="J282" s="10"/>
      <c r="K282" s="10"/>
      <c r="L282" s="10"/>
      <c r="M282" s="10"/>
      <c r="N282" s="10"/>
      <c r="O282" s="10"/>
      <c r="P282" s="10"/>
      <c r="Q282" s="10"/>
    </row>
    <row r="283" spans="6:17">
      <c r="F283" s="10"/>
      <c r="G283" s="10"/>
      <c r="H283" s="5"/>
      <c r="I283" s="10"/>
      <c r="J283" s="10"/>
      <c r="K283" s="10"/>
      <c r="L283" s="10"/>
      <c r="M283" s="10"/>
      <c r="N283" s="10"/>
      <c r="O283" s="10"/>
      <c r="P283" s="10"/>
      <c r="Q283" s="10"/>
    </row>
    <row r="284" spans="6:17">
      <c r="F284" s="10"/>
      <c r="G284" s="10"/>
      <c r="H284" s="5"/>
      <c r="I284" s="10"/>
      <c r="J284" s="10"/>
      <c r="K284" s="10"/>
      <c r="L284" s="10"/>
      <c r="M284" s="10"/>
      <c r="N284" s="10"/>
      <c r="O284" s="10"/>
      <c r="P284" s="10"/>
      <c r="Q284" s="10"/>
    </row>
    <row r="285" spans="6:17">
      <c r="F285" s="10"/>
      <c r="G285" s="10"/>
      <c r="H285" s="5"/>
      <c r="I285" s="10"/>
      <c r="J285" s="10"/>
      <c r="K285" s="10"/>
      <c r="L285" s="10"/>
      <c r="M285" s="10"/>
      <c r="N285" s="10"/>
      <c r="O285" s="10"/>
      <c r="P285" s="10"/>
      <c r="Q285" s="10"/>
    </row>
    <row r="286" spans="6:17">
      <c r="F286" s="10"/>
      <c r="G286" s="10"/>
      <c r="H286" s="5"/>
      <c r="I286" s="10"/>
      <c r="J286" s="10"/>
      <c r="K286" s="10"/>
      <c r="L286" s="10"/>
      <c r="M286" s="10"/>
      <c r="N286" s="10"/>
      <c r="O286" s="10"/>
      <c r="P286" s="10"/>
      <c r="Q286" s="10"/>
    </row>
    <row r="287" spans="6:17">
      <c r="F287" s="10"/>
      <c r="G287" s="10"/>
      <c r="H287" s="5"/>
      <c r="I287" s="10"/>
      <c r="J287" s="10"/>
      <c r="K287" s="10"/>
      <c r="L287" s="10"/>
      <c r="M287" s="10"/>
      <c r="N287" s="10"/>
      <c r="O287" s="10"/>
      <c r="P287" s="10"/>
      <c r="Q287" s="10"/>
    </row>
    <row r="288" spans="6:17">
      <c r="F288" s="10"/>
      <c r="G288" s="10"/>
      <c r="H288" s="5"/>
      <c r="I288" s="10"/>
      <c r="J288" s="10"/>
      <c r="K288" s="10"/>
      <c r="L288" s="10"/>
      <c r="M288" s="10"/>
      <c r="N288" s="10"/>
      <c r="O288" s="10"/>
      <c r="P288" s="10"/>
      <c r="Q288" s="10"/>
    </row>
    <row r="289" spans="6:17">
      <c r="F289" s="10"/>
      <c r="G289" s="10"/>
      <c r="H289" s="5"/>
      <c r="I289" s="10"/>
      <c r="J289" s="10"/>
      <c r="K289" s="10"/>
      <c r="L289" s="10"/>
      <c r="M289" s="10"/>
      <c r="N289" s="10"/>
      <c r="O289" s="10"/>
      <c r="P289" s="10"/>
      <c r="Q289" s="10"/>
    </row>
    <row r="290" spans="6:17">
      <c r="F290" s="10"/>
      <c r="G290" s="10"/>
      <c r="H290" s="5"/>
      <c r="I290" s="10"/>
      <c r="J290" s="10"/>
      <c r="K290" s="10"/>
      <c r="L290" s="10"/>
      <c r="M290" s="10"/>
      <c r="N290" s="10"/>
      <c r="O290" s="10"/>
      <c r="P290" s="10"/>
      <c r="Q290" s="10"/>
    </row>
    <row r="291" spans="6:17">
      <c r="F291" s="10"/>
      <c r="G291" s="10"/>
      <c r="H291" s="5"/>
      <c r="I291" s="10"/>
      <c r="J291" s="10"/>
      <c r="K291" s="10"/>
      <c r="L291" s="10"/>
      <c r="M291" s="10"/>
      <c r="N291" s="10"/>
      <c r="O291" s="10"/>
      <c r="P291" s="10"/>
      <c r="Q291" s="10"/>
    </row>
    <row r="292" spans="6:17">
      <c r="F292" s="10"/>
      <c r="G292" s="10"/>
      <c r="H292" s="5"/>
      <c r="I292" s="10"/>
      <c r="J292" s="10"/>
      <c r="K292" s="10"/>
      <c r="L292" s="10"/>
      <c r="M292" s="10"/>
      <c r="N292" s="10"/>
      <c r="O292" s="10"/>
      <c r="P292" s="10"/>
      <c r="Q292" s="10"/>
    </row>
    <row r="293" spans="6:17">
      <c r="F293" s="10"/>
      <c r="G293" s="10"/>
      <c r="H293" s="5"/>
      <c r="I293" s="10"/>
      <c r="J293" s="10"/>
      <c r="K293" s="10"/>
      <c r="L293" s="10"/>
      <c r="M293" s="10"/>
      <c r="N293" s="10"/>
      <c r="O293" s="10"/>
      <c r="P293" s="10"/>
      <c r="Q293" s="10"/>
    </row>
    <row r="294" spans="6:17">
      <c r="F294" s="10"/>
      <c r="G294" s="10"/>
      <c r="H294" s="5"/>
      <c r="I294" s="10"/>
      <c r="J294" s="10"/>
      <c r="K294" s="10"/>
      <c r="L294" s="10"/>
      <c r="M294" s="10"/>
      <c r="N294" s="10"/>
      <c r="O294" s="10"/>
      <c r="P294" s="10"/>
      <c r="Q294" s="10"/>
    </row>
    <row r="295" spans="6:17">
      <c r="F295" s="10"/>
      <c r="G295" s="10"/>
      <c r="H295" s="5"/>
      <c r="I295" s="10"/>
      <c r="J295" s="10"/>
      <c r="K295" s="10"/>
      <c r="L295" s="10"/>
      <c r="M295" s="10"/>
      <c r="N295" s="10"/>
      <c r="O295" s="10"/>
      <c r="P295" s="10"/>
      <c r="Q295" s="10"/>
    </row>
    <row r="296" spans="6:17">
      <c r="F296" s="10"/>
      <c r="G296" s="10"/>
      <c r="H296" s="5"/>
      <c r="I296" s="10"/>
      <c r="J296" s="10"/>
      <c r="K296" s="10"/>
      <c r="L296" s="10"/>
      <c r="M296" s="10"/>
      <c r="N296" s="10"/>
      <c r="O296" s="10"/>
      <c r="P296" s="10"/>
      <c r="Q296" s="10"/>
    </row>
    <row r="297" spans="6:17">
      <c r="F297" s="10"/>
      <c r="G297" s="10"/>
      <c r="H297" s="5"/>
      <c r="I297" s="10"/>
      <c r="J297" s="10"/>
      <c r="K297" s="10"/>
      <c r="L297" s="10"/>
      <c r="M297" s="10"/>
      <c r="N297" s="10"/>
      <c r="O297" s="10"/>
      <c r="P297" s="10"/>
      <c r="Q297" s="10"/>
    </row>
    <row r="298" spans="6:17">
      <c r="F298" s="10"/>
      <c r="G298" s="10"/>
      <c r="H298" s="5"/>
      <c r="I298" s="10"/>
      <c r="J298" s="10"/>
      <c r="K298" s="10"/>
      <c r="L298" s="10"/>
      <c r="M298" s="10"/>
      <c r="N298" s="10"/>
      <c r="O298" s="10"/>
      <c r="P298" s="10"/>
      <c r="Q298" s="10"/>
    </row>
    <row r="299" spans="6:17">
      <c r="F299" s="10"/>
      <c r="G299" s="10"/>
      <c r="H299" s="5"/>
      <c r="I299" s="10"/>
      <c r="J299" s="10"/>
      <c r="K299" s="10"/>
      <c r="L299" s="10"/>
      <c r="M299" s="10"/>
      <c r="N299" s="10"/>
      <c r="O299" s="10"/>
      <c r="P299" s="10"/>
      <c r="Q299" s="10"/>
    </row>
    <row r="300" spans="6:17">
      <c r="F300" s="10"/>
      <c r="G300" s="10"/>
      <c r="H300" s="5"/>
      <c r="I300" s="10"/>
      <c r="J300" s="10"/>
      <c r="K300" s="10"/>
      <c r="L300" s="10"/>
      <c r="M300" s="10"/>
      <c r="N300" s="10"/>
      <c r="O300" s="10"/>
      <c r="P300" s="10"/>
      <c r="Q300" s="10"/>
    </row>
    <row r="301" spans="6:17">
      <c r="F301" s="10"/>
      <c r="G301" s="10"/>
      <c r="H301" s="5"/>
      <c r="I301" s="10"/>
      <c r="J301" s="10"/>
      <c r="K301" s="10"/>
      <c r="L301" s="10"/>
      <c r="M301" s="10"/>
      <c r="N301" s="10"/>
      <c r="O301" s="10"/>
      <c r="P301" s="10"/>
      <c r="Q301" s="10"/>
    </row>
    <row r="302" spans="6:17">
      <c r="F302" s="10"/>
      <c r="G302" s="10"/>
      <c r="H302" s="5"/>
      <c r="I302" s="10"/>
      <c r="J302" s="10"/>
      <c r="K302" s="10"/>
      <c r="L302" s="10"/>
      <c r="M302" s="10"/>
      <c r="N302" s="10"/>
      <c r="O302" s="10"/>
      <c r="P302" s="10"/>
      <c r="Q302" s="10"/>
    </row>
    <row r="303" spans="6:17">
      <c r="F303" s="10"/>
      <c r="G303" s="10"/>
      <c r="H303" s="5"/>
      <c r="I303" s="10"/>
      <c r="J303" s="10"/>
      <c r="K303" s="10"/>
      <c r="L303" s="10"/>
      <c r="M303" s="10"/>
      <c r="N303" s="10"/>
      <c r="O303" s="10"/>
      <c r="P303" s="10"/>
      <c r="Q303" s="10"/>
    </row>
    <row r="304" spans="6:17">
      <c r="F304" s="10"/>
      <c r="G304" s="10"/>
      <c r="H304" s="5"/>
      <c r="I304" s="10"/>
      <c r="J304" s="10"/>
      <c r="K304" s="10"/>
      <c r="L304" s="10"/>
      <c r="M304" s="10"/>
      <c r="N304" s="10"/>
      <c r="O304" s="10"/>
      <c r="P304" s="10"/>
      <c r="Q304" s="10"/>
    </row>
    <row r="305" spans="6:17">
      <c r="F305" s="10"/>
      <c r="G305" s="10"/>
      <c r="H305" s="5"/>
      <c r="I305" s="10"/>
      <c r="J305" s="10"/>
      <c r="K305" s="10"/>
      <c r="L305" s="10"/>
      <c r="M305" s="10"/>
      <c r="N305" s="10"/>
      <c r="O305" s="10"/>
      <c r="P305" s="10"/>
      <c r="Q305" s="10"/>
    </row>
    <row r="306" spans="6:17">
      <c r="F306" s="10"/>
      <c r="G306" s="10"/>
      <c r="H306" s="5"/>
      <c r="I306" s="10"/>
      <c r="J306" s="10"/>
      <c r="K306" s="10"/>
      <c r="L306" s="10"/>
      <c r="M306" s="10"/>
      <c r="N306" s="10"/>
      <c r="O306" s="10"/>
      <c r="P306" s="10"/>
      <c r="Q306" s="10"/>
    </row>
    <row r="307" spans="6:17">
      <c r="F307" s="10"/>
      <c r="G307" s="10"/>
      <c r="H307" s="5"/>
      <c r="I307" s="10"/>
      <c r="J307" s="10"/>
      <c r="K307" s="10"/>
      <c r="L307" s="10"/>
      <c r="M307" s="10"/>
      <c r="N307" s="10"/>
      <c r="O307" s="10"/>
      <c r="P307" s="10"/>
      <c r="Q307" s="10"/>
    </row>
    <row r="308" spans="6:17">
      <c r="F308" s="10"/>
      <c r="G308" s="10"/>
      <c r="H308" s="5"/>
      <c r="I308" s="10"/>
      <c r="J308" s="10"/>
      <c r="K308" s="10"/>
      <c r="L308" s="10"/>
      <c r="M308" s="10"/>
      <c r="N308" s="10"/>
      <c r="O308" s="10"/>
      <c r="P308" s="10"/>
      <c r="Q308" s="10"/>
    </row>
    <row r="309" spans="6:17">
      <c r="F309" s="10"/>
      <c r="G309" s="10"/>
      <c r="H309" s="5"/>
      <c r="I309" s="10"/>
      <c r="J309" s="10"/>
      <c r="K309" s="10"/>
      <c r="L309" s="10"/>
      <c r="M309" s="10"/>
      <c r="N309" s="10"/>
      <c r="O309" s="10"/>
      <c r="P309" s="10"/>
      <c r="Q309" s="10"/>
    </row>
    <row r="310" spans="6:17">
      <c r="F310" s="10"/>
      <c r="G310" s="10"/>
      <c r="H310" s="5"/>
      <c r="I310" s="10"/>
      <c r="J310" s="10"/>
      <c r="K310" s="10"/>
      <c r="L310" s="10"/>
      <c r="M310" s="10"/>
      <c r="N310" s="10"/>
      <c r="O310" s="10"/>
      <c r="P310" s="10"/>
      <c r="Q310" s="10"/>
    </row>
    <row r="311" spans="6:17">
      <c r="F311" s="10"/>
      <c r="G311" s="10"/>
      <c r="H311" s="5"/>
      <c r="I311" s="10"/>
      <c r="J311" s="10"/>
      <c r="K311" s="10"/>
      <c r="L311" s="10"/>
      <c r="M311" s="10"/>
      <c r="N311" s="10"/>
      <c r="O311" s="10"/>
      <c r="P311" s="10"/>
      <c r="Q311" s="10"/>
    </row>
    <row r="312" spans="6:17">
      <c r="F312" s="10"/>
      <c r="G312" s="10"/>
      <c r="H312" s="5"/>
      <c r="I312" s="10"/>
      <c r="J312" s="10"/>
      <c r="K312" s="10"/>
      <c r="L312" s="10"/>
      <c r="M312" s="10"/>
      <c r="N312" s="10"/>
      <c r="O312" s="10"/>
      <c r="P312" s="10"/>
      <c r="Q312" s="10"/>
    </row>
    <row r="313" spans="6:17">
      <c r="F313" s="10"/>
      <c r="G313" s="10"/>
      <c r="H313" s="5"/>
      <c r="I313" s="10"/>
      <c r="J313" s="10"/>
      <c r="K313" s="10"/>
      <c r="L313" s="10"/>
      <c r="M313" s="10"/>
      <c r="N313" s="10"/>
      <c r="O313" s="10"/>
      <c r="P313" s="10"/>
      <c r="Q313" s="10"/>
    </row>
    <row r="314" spans="6:17">
      <c r="F314" s="10"/>
      <c r="G314" s="10"/>
      <c r="H314" s="5"/>
      <c r="I314" s="10"/>
      <c r="J314" s="10"/>
      <c r="K314" s="10"/>
      <c r="L314" s="10"/>
      <c r="M314" s="10"/>
      <c r="N314" s="10"/>
      <c r="O314" s="10"/>
      <c r="P314" s="10"/>
      <c r="Q314" s="10"/>
    </row>
    <row r="315" spans="6:17">
      <c r="F315" s="10"/>
      <c r="G315" s="10"/>
      <c r="H315" s="5"/>
      <c r="I315" s="10"/>
      <c r="J315" s="10"/>
      <c r="K315" s="10"/>
      <c r="L315" s="10"/>
      <c r="M315" s="10"/>
      <c r="N315" s="10"/>
      <c r="O315" s="10"/>
      <c r="P315" s="10"/>
      <c r="Q315" s="10"/>
    </row>
    <row r="316" spans="6:17">
      <c r="F316" s="10"/>
      <c r="G316" s="10"/>
      <c r="H316" s="5"/>
      <c r="I316" s="10"/>
      <c r="J316" s="10"/>
      <c r="K316" s="10"/>
      <c r="L316" s="10"/>
      <c r="M316" s="10"/>
      <c r="N316" s="10"/>
      <c r="O316" s="10"/>
      <c r="P316" s="10"/>
      <c r="Q316" s="10"/>
    </row>
    <row r="317" spans="6:17">
      <c r="F317" s="10"/>
      <c r="G317" s="10"/>
      <c r="H317" s="5"/>
      <c r="I317" s="10"/>
      <c r="J317" s="10"/>
      <c r="K317" s="10"/>
      <c r="L317" s="10"/>
      <c r="M317" s="10"/>
      <c r="N317" s="10"/>
      <c r="O317" s="10"/>
      <c r="P317" s="10"/>
      <c r="Q317" s="10"/>
    </row>
    <row r="318" spans="6:17">
      <c r="F318" s="10"/>
      <c r="G318" s="10"/>
      <c r="H318" s="5"/>
      <c r="I318" s="10"/>
      <c r="J318" s="10"/>
      <c r="K318" s="10"/>
      <c r="L318" s="10"/>
      <c r="M318" s="10"/>
      <c r="N318" s="10"/>
      <c r="O318" s="10"/>
      <c r="P318" s="10"/>
      <c r="Q318" s="10"/>
    </row>
    <row r="319" spans="6:17">
      <c r="F319" s="10"/>
      <c r="G319" s="10"/>
      <c r="H319" s="5"/>
      <c r="I319" s="10"/>
      <c r="J319" s="10"/>
      <c r="K319" s="10"/>
      <c r="L319" s="10"/>
      <c r="M319" s="10"/>
      <c r="N319" s="10"/>
      <c r="O319" s="10"/>
      <c r="P319" s="10"/>
      <c r="Q319" s="10"/>
    </row>
    <row r="320" spans="6:17">
      <c r="F320" s="10"/>
      <c r="G320" s="10"/>
      <c r="H320" s="5"/>
      <c r="I320" s="10"/>
      <c r="J320" s="10"/>
      <c r="K320" s="10"/>
      <c r="L320" s="10"/>
      <c r="M320" s="10"/>
      <c r="N320" s="10"/>
      <c r="O320" s="10"/>
      <c r="P320" s="10"/>
      <c r="Q320" s="10"/>
    </row>
    <row r="321" spans="6:17">
      <c r="F321" s="10"/>
      <c r="G321" s="10"/>
      <c r="H321" s="5"/>
      <c r="I321" s="10"/>
      <c r="J321" s="10"/>
      <c r="K321" s="10"/>
      <c r="L321" s="10"/>
      <c r="M321" s="10"/>
      <c r="N321" s="10"/>
      <c r="O321" s="10"/>
      <c r="P321" s="10"/>
      <c r="Q321" s="10"/>
    </row>
    <row r="322" spans="6:17">
      <c r="F322" s="10"/>
      <c r="G322" s="10"/>
      <c r="H322" s="5"/>
      <c r="I322" s="10"/>
      <c r="J322" s="10"/>
      <c r="K322" s="10"/>
      <c r="L322" s="10"/>
      <c r="M322" s="10"/>
      <c r="N322" s="10"/>
      <c r="O322" s="10"/>
      <c r="P322" s="10"/>
      <c r="Q322" s="10"/>
    </row>
    <row r="323" spans="6:17">
      <c r="F323" s="10"/>
      <c r="G323" s="10"/>
      <c r="H323" s="5"/>
      <c r="I323" s="10"/>
      <c r="J323" s="10"/>
      <c r="K323" s="10"/>
      <c r="L323" s="10"/>
      <c r="M323" s="10"/>
      <c r="N323" s="10"/>
      <c r="O323" s="10"/>
      <c r="P323" s="10"/>
      <c r="Q323" s="10"/>
    </row>
    <row r="324" spans="6:17">
      <c r="F324" s="10"/>
      <c r="G324" s="10"/>
      <c r="H324" s="5"/>
      <c r="I324" s="10"/>
      <c r="J324" s="10"/>
      <c r="K324" s="10"/>
      <c r="L324" s="10"/>
      <c r="M324" s="10"/>
      <c r="N324" s="10"/>
      <c r="O324" s="10"/>
      <c r="P324" s="10"/>
      <c r="Q324" s="10"/>
    </row>
    <row r="325" spans="6:17">
      <c r="F325" s="10"/>
      <c r="G325" s="10"/>
      <c r="H325" s="5"/>
      <c r="I325" s="10"/>
      <c r="J325" s="10"/>
      <c r="K325" s="10"/>
      <c r="L325" s="10"/>
      <c r="M325" s="10"/>
      <c r="N325" s="10"/>
      <c r="O325" s="10"/>
      <c r="P325" s="10"/>
      <c r="Q325" s="10"/>
    </row>
    <row r="326" spans="6:17">
      <c r="F326" s="10"/>
      <c r="G326" s="10"/>
      <c r="H326" s="5"/>
      <c r="I326" s="10"/>
      <c r="J326" s="10"/>
      <c r="K326" s="10"/>
      <c r="L326" s="10"/>
      <c r="M326" s="10"/>
      <c r="N326" s="10"/>
      <c r="O326" s="10"/>
      <c r="P326" s="10"/>
      <c r="Q326" s="10"/>
    </row>
    <row r="327" spans="6:17">
      <c r="F327" s="10"/>
      <c r="G327" s="10"/>
      <c r="H327" s="5"/>
      <c r="I327" s="10"/>
      <c r="J327" s="10"/>
      <c r="K327" s="10"/>
      <c r="L327" s="10"/>
      <c r="M327" s="10"/>
      <c r="N327" s="10"/>
      <c r="O327" s="10"/>
      <c r="P327" s="10"/>
      <c r="Q327" s="10"/>
    </row>
    <row r="328" spans="6:17">
      <c r="F328" s="10"/>
      <c r="G328" s="10"/>
      <c r="H328" s="5"/>
      <c r="I328" s="10"/>
      <c r="J328" s="10"/>
      <c r="K328" s="10"/>
      <c r="L328" s="10"/>
      <c r="M328" s="10"/>
      <c r="N328" s="10"/>
      <c r="O328" s="10"/>
      <c r="P328" s="10"/>
      <c r="Q328" s="10"/>
    </row>
    <row r="329" spans="6:17">
      <c r="F329" s="10"/>
      <c r="G329" s="10"/>
      <c r="H329" s="5"/>
      <c r="I329" s="10"/>
      <c r="J329" s="10"/>
      <c r="K329" s="10"/>
      <c r="L329" s="10"/>
      <c r="M329" s="10"/>
      <c r="N329" s="10"/>
      <c r="O329" s="10"/>
      <c r="P329" s="10"/>
      <c r="Q329" s="10"/>
    </row>
    <row r="330" spans="6:17">
      <c r="F330" s="10"/>
      <c r="G330" s="10"/>
      <c r="H330" s="5"/>
      <c r="I330" s="10"/>
      <c r="J330" s="10"/>
      <c r="K330" s="10"/>
      <c r="L330" s="10"/>
      <c r="M330" s="10"/>
      <c r="N330" s="10"/>
      <c r="O330" s="10"/>
      <c r="P330" s="10"/>
      <c r="Q330" s="10"/>
    </row>
    <row r="331" spans="6:17">
      <c r="F331" s="10"/>
      <c r="G331" s="10"/>
      <c r="H331" s="5"/>
      <c r="I331" s="10"/>
      <c r="J331" s="10"/>
      <c r="K331" s="10"/>
      <c r="L331" s="10"/>
      <c r="M331" s="10"/>
      <c r="N331" s="10"/>
      <c r="O331" s="10"/>
      <c r="P331" s="10"/>
      <c r="Q331" s="10"/>
    </row>
    <row r="332" spans="6:17">
      <c r="F332" s="10"/>
      <c r="G332" s="10"/>
      <c r="H332" s="5"/>
      <c r="I332" s="10"/>
      <c r="J332" s="10"/>
      <c r="K332" s="10"/>
      <c r="L332" s="10"/>
      <c r="M332" s="10"/>
      <c r="N332" s="10"/>
      <c r="O332" s="10"/>
      <c r="P332" s="10"/>
      <c r="Q332" s="10"/>
    </row>
    <row r="333" spans="6:17">
      <c r="F333" s="10"/>
      <c r="G333" s="10"/>
      <c r="H333" s="5"/>
      <c r="I333" s="10"/>
      <c r="J333" s="10"/>
      <c r="K333" s="10"/>
      <c r="L333" s="10"/>
      <c r="M333" s="10"/>
      <c r="N333" s="10"/>
      <c r="O333" s="10"/>
      <c r="P333" s="10"/>
      <c r="Q333" s="10"/>
    </row>
    <row r="334" spans="6:17">
      <c r="F334" s="10"/>
      <c r="G334" s="10"/>
      <c r="H334" s="5"/>
      <c r="I334" s="10"/>
      <c r="J334" s="10"/>
      <c r="K334" s="10"/>
      <c r="L334" s="10"/>
      <c r="M334" s="10"/>
      <c r="N334" s="10"/>
      <c r="O334" s="10"/>
      <c r="P334" s="10"/>
      <c r="Q334" s="10"/>
    </row>
    <row r="335" spans="6:17">
      <c r="F335" s="10"/>
      <c r="G335" s="10"/>
      <c r="H335" s="5"/>
      <c r="I335" s="10"/>
      <c r="J335" s="10"/>
      <c r="K335" s="10"/>
      <c r="L335" s="10"/>
      <c r="M335" s="10"/>
      <c r="N335" s="10"/>
      <c r="O335" s="10"/>
      <c r="P335" s="10"/>
      <c r="Q335" s="10"/>
    </row>
    <row r="336" spans="6:17">
      <c r="F336" s="10"/>
      <c r="G336" s="10"/>
      <c r="H336" s="5"/>
      <c r="I336" s="10"/>
      <c r="J336" s="10"/>
      <c r="K336" s="10"/>
      <c r="L336" s="10"/>
      <c r="M336" s="10"/>
      <c r="N336" s="10"/>
      <c r="O336" s="10"/>
      <c r="P336" s="10"/>
      <c r="Q336" s="10"/>
    </row>
    <row r="337" spans="6:17">
      <c r="F337" s="10"/>
      <c r="G337" s="10"/>
      <c r="H337" s="5"/>
      <c r="I337" s="10"/>
      <c r="J337" s="10"/>
      <c r="K337" s="10"/>
      <c r="L337" s="10"/>
      <c r="M337" s="10"/>
      <c r="N337" s="10"/>
      <c r="O337" s="10"/>
      <c r="P337" s="10"/>
      <c r="Q337" s="10"/>
    </row>
    <row r="338" spans="6:17">
      <c r="F338" s="10"/>
      <c r="G338" s="10"/>
      <c r="H338" s="5"/>
      <c r="I338" s="10"/>
      <c r="J338" s="10"/>
      <c r="K338" s="10"/>
      <c r="L338" s="10"/>
      <c r="M338" s="10"/>
      <c r="N338" s="10"/>
      <c r="O338" s="10"/>
      <c r="P338" s="10"/>
      <c r="Q338" s="10"/>
    </row>
    <row r="339" spans="6:17">
      <c r="F339" s="10"/>
      <c r="G339" s="10"/>
      <c r="H339" s="5"/>
      <c r="I339" s="10"/>
      <c r="J339" s="10"/>
      <c r="K339" s="10"/>
      <c r="L339" s="10"/>
      <c r="M339" s="10"/>
      <c r="N339" s="10"/>
      <c r="O339" s="10"/>
      <c r="P339" s="10"/>
      <c r="Q339" s="10"/>
    </row>
    <row r="340" spans="6:17">
      <c r="F340" s="10"/>
      <c r="G340" s="10"/>
      <c r="H340" s="5"/>
      <c r="I340" s="10"/>
      <c r="J340" s="10"/>
      <c r="K340" s="10"/>
      <c r="L340" s="10"/>
      <c r="M340" s="10"/>
      <c r="N340" s="10"/>
      <c r="O340" s="10"/>
      <c r="P340" s="10"/>
      <c r="Q340" s="10"/>
    </row>
    <row r="341" spans="6:17">
      <c r="F341" s="10"/>
      <c r="G341" s="10"/>
      <c r="H341" s="5"/>
      <c r="I341" s="10"/>
      <c r="J341" s="10"/>
      <c r="K341" s="10"/>
      <c r="L341" s="10"/>
      <c r="M341" s="10"/>
      <c r="N341" s="10"/>
      <c r="O341" s="10"/>
      <c r="P341" s="10"/>
      <c r="Q341" s="10"/>
    </row>
    <row r="342" spans="6:17">
      <c r="F342" s="10"/>
      <c r="G342" s="10"/>
      <c r="H342" s="5"/>
      <c r="I342" s="10"/>
      <c r="J342" s="10"/>
      <c r="K342" s="10"/>
      <c r="L342" s="10"/>
      <c r="M342" s="10"/>
      <c r="N342" s="10"/>
      <c r="O342" s="10"/>
      <c r="P342" s="10"/>
      <c r="Q342" s="10"/>
    </row>
    <row r="343" spans="6:17">
      <c r="F343" s="10"/>
      <c r="G343" s="10"/>
      <c r="H343" s="5"/>
      <c r="I343" s="10"/>
      <c r="J343" s="10"/>
      <c r="K343" s="10"/>
      <c r="L343" s="10"/>
      <c r="M343" s="10"/>
      <c r="N343" s="10"/>
      <c r="O343" s="10"/>
      <c r="P343" s="10"/>
      <c r="Q34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0"/>
  <sheetViews>
    <sheetView workbookViewId="0">
      <pane xSplit="4" ySplit="10" topLeftCell="E11" activePane="bottomRight" state="frozen"/>
      <selection activeCell="P52" sqref="P52"/>
      <selection pane="topRight" activeCell="P52" sqref="P52"/>
      <selection pane="bottomLeft" activeCell="P52" sqref="P52"/>
      <selection pane="bottomRight" activeCell="D45" sqref="D45"/>
    </sheetView>
  </sheetViews>
  <sheetFormatPr defaultRowHeight="12.75"/>
  <cols>
    <col min="1" max="1" width="4.5703125" style="825" customWidth="1"/>
    <col min="2" max="2" width="6.7109375" style="826" bestFit="1" customWidth="1"/>
    <col min="3" max="3" width="3.7109375" style="826" bestFit="1" customWidth="1"/>
    <col min="4" max="4" width="56.28515625" style="825" bestFit="1" customWidth="1"/>
    <col min="5" max="5" width="14.140625" style="825" bestFit="1" customWidth="1"/>
    <col min="6" max="6" width="15.5703125" style="825" bestFit="1" customWidth="1"/>
    <col min="7" max="8" width="13.7109375" style="825" customWidth="1"/>
    <col min="9" max="9" width="11.85546875" style="825" bestFit="1" customWidth="1"/>
    <col min="10" max="10" width="13.140625" style="825" bestFit="1" customWidth="1"/>
    <col min="11" max="11" width="12.28515625" style="825" bestFit="1" customWidth="1"/>
    <col min="12" max="16384" width="9.140625" style="825"/>
  </cols>
  <sheetData>
    <row r="1" spans="1:72" ht="13.5" thickBot="1"/>
    <row r="2" spans="1:72" ht="19.5" thickBot="1">
      <c r="A2" s="827" t="s">
        <v>517</v>
      </c>
      <c r="I2" s="828" t="s">
        <v>1010</v>
      </c>
      <c r="J2" s="829"/>
    </row>
    <row r="3" spans="1:72" ht="18.75">
      <c r="A3" s="827" t="s">
        <v>516</v>
      </c>
    </row>
    <row r="4" spans="1:72" ht="19.5" thickBot="1">
      <c r="A4" s="827" t="s">
        <v>513</v>
      </c>
      <c r="I4" s="830" t="s">
        <v>515</v>
      </c>
      <c r="J4" s="830" t="s">
        <v>514</v>
      </c>
    </row>
    <row r="5" spans="1:72" ht="18.75">
      <c r="A5" s="827" t="s">
        <v>512</v>
      </c>
      <c r="I5" s="831" t="s">
        <v>511</v>
      </c>
      <c r="J5" s="831" t="s">
        <v>511</v>
      </c>
    </row>
    <row r="6" spans="1:72" ht="15.75" thickBot="1">
      <c r="I6" s="832">
        <v>0</v>
      </c>
      <c r="J6" s="832">
        <f>1-I6</f>
        <v>1</v>
      </c>
    </row>
    <row r="7" spans="1:72" ht="15">
      <c r="I7" s="831" t="s">
        <v>510</v>
      </c>
      <c r="J7" s="831" t="s">
        <v>510</v>
      </c>
    </row>
    <row r="8" spans="1:72" ht="15.75" thickBot="1">
      <c r="I8" s="833">
        <f>1-J8</f>
        <v>4.5697161037118628E-2</v>
      </c>
      <c r="J8" s="834">
        <f>+'Production Factor'!$J$43</f>
        <v>0.95430283896288137</v>
      </c>
    </row>
    <row r="9" spans="1:72">
      <c r="E9" s="826" t="s">
        <v>509</v>
      </c>
      <c r="F9" s="826" t="s">
        <v>1009</v>
      </c>
      <c r="G9" s="826" t="s">
        <v>508</v>
      </c>
      <c r="H9" s="826" t="s">
        <v>508</v>
      </c>
      <c r="I9" s="826" t="s">
        <v>507</v>
      </c>
    </row>
    <row r="10" spans="1:72">
      <c r="A10" s="825" t="s">
        <v>506</v>
      </c>
      <c r="B10" s="826" t="s">
        <v>505</v>
      </c>
      <c r="C10" s="826" t="s">
        <v>504</v>
      </c>
      <c r="D10" s="825" t="s">
        <v>503</v>
      </c>
      <c r="E10" s="826" t="s">
        <v>502</v>
      </c>
      <c r="F10" s="826" t="s">
        <v>501</v>
      </c>
      <c r="G10" s="826" t="s">
        <v>746</v>
      </c>
      <c r="H10" s="826" t="s">
        <v>747</v>
      </c>
      <c r="I10" s="826" t="s">
        <v>1019</v>
      </c>
    </row>
    <row r="11" spans="1:72">
      <c r="A11" s="826">
        <v>1</v>
      </c>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row>
    <row r="12" spans="1:72">
      <c r="A12" s="826">
        <f>+A11+1</f>
        <v>2</v>
      </c>
      <c r="D12" s="836" t="s">
        <v>1011</v>
      </c>
      <c r="E12" s="835"/>
      <c r="F12" s="835"/>
      <c r="G12" s="835"/>
      <c r="H12" s="835"/>
      <c r="I12" s="835"/>
      <c r="J12" s="835"/>
      <c r="K12" s="837"/>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row>
    <row r="13" spans="1:72">
      <c r="A13" s="826">
        <f t="shared" ref="A13:A27" si="0">+A12+1</f>
        <v>3</v>
      </c>
      <c r="B13" s="838">
        <v>501</v>
      </c>
      <c r="C13" s="838" t="s">
        <v>492</v>
      </c>
      <c r="D13" s="825" t="s">
        <v>740</v>
      </c>
      <c r="E13" s="835">
        <f>+'Restating=&gt;'!D14</f>
        <v>79334191.840000004</v>
      </c>
      <c r="F13" s="835">
        <f>+'PKW RY PC1'!D7*1000</f>
        <v>39258683.972400762</v>
      </c>
      <c r="G13" s="835"/>
      <c r="H13" s="835"/>
      <c r="I13" s="835">
        <f t="shared" ref="I13:I20" si="1">SUM(F13:H13)</f>
        <v>39258683.972400762</v>
      </c>
      <c r="J13" s="835">
        <f t="shared" ref="J13:J20" si="2">IF(C13="v",I13*$J$8,I13*$J$6)</f>
        <v>37464673.568808615</v>
      </c>
      <c r="K13" s="837"/>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row>
    <row r="14" spans="1:72">
      <c r="A14" s="826">
        <f>+A13+1</f>
        <v>4</v>
      </c>
      <c r="B14" s="838">
        <v>547</v>
      </c>
      <c r="C14" s="838" t="s">
        <v>492</v>
      </c>
      <c r="D14" s="825" t="s">
        <v>741</v>
      </c>
      <c r="E14" s="835">
        <f>+'Restating=&gt;'!D15</f>
        <v>125903300.81000002</v>
      </c>
      <c r="F14" s="835">
        <f>+'PKW RY PC1'!D8*1000</f>
        <v>150065499.56497508</v>
      </c>
      <c r="G14" s="835"/>
      <c r="H14" s="835"/>
      <c r="I14" s="835">
        <f t="shared" si="1"/>
        <v>150065499.56497508</v>
      </c>
      <c r="J14" s="835">
        <f t="shared" si="2"/>
        <v>143207932.26523876</v>
      </c>
      <c r="K14" s="837"/>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row>
    <row r="15" spans="1:72">
      <c r="A15" s="826">
        <f t="shared" si="0"/>
        <v>5</v>
      </c>
      <c r="B15" s="838">
        <v>555</v>
      </c>
      <c r="C15" s="838" t="s">
        <v>492</v>
      </c>
      <c r="D15" s="825" t="s">
        <v>1012</v>
      </c>
      <c r="E15" s="835">
        <f>+'Restating=&gt;'!D16</f>
        <v>588866958.71446157</v>
      </c>
      <c r="F15" s="835">
        <f>SUM('PKW RY PC1'!D9:D12)*1000</f>
        <v>454203708.18611747</v>
      </c>
      <c r="G15" s="835"/>
      <c r="H15" s="835"/>
      <c r="I15" s="835">
        <f t="shared" si="1"/>
        <v>454203708.18611747</v>
      </c>
      <c r="J15" s="835">
        <f t="shared" si="2"/>
        <v>433447888.18948001</v>
      </c>
      <c r="K15" s="837"/>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row>
    <row r="16" spans="1:72">
      <c r="A16" s="826">
        <f t="shared" si="0"/>
        <v>6</v>
      </c>
      <c r="B16" s="838">
        <v>557</v>
      </c>
      <c r="C16" s="838" t="s">
        <v>495</v>
      </c>
      <c r="D16" s="825" t="s">
        <v>1013</v>
      </c>
      <c r="E16" s="835">
        <f>+'Restating=&gt;'!D17-E17</f>
        <v>11072849.4899999</v>
      </c>
      <c r="F16" s="839">
        <f>+'PKW RY PC1'!D16*1000-F17</f>
        <v>9989396.959999999</v>
      </c>
      <c r="G16" s="835">
        <f>-'B&amp;T 557'!D6</f>
        <v>-1833483.02</v>
      </c>
      <c r="H16" s="835">
        <f>-'B&amp;T 557'!C6</f>
        <v>-323117.56</v>
      </c>
      <c r="I16" s="835">
        <f t="shared" si="1"/>
        <v>7832796.3799999999</v>
      </c>
      <c r="J16" s="835">
        <f t="shared" si="2"/>
        <v>7832796.3799999999</v>
      </c>
      <c r="K16" s="837"/>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row>
    <row r="17" spans="1:72">
      <c r="A17" s="826">
        <f t="shared" si="0"/>
        <v>7</v>
      </c>
      <c r="B17" s="838">
        <v>557</v>
      </c>
      <c r="C17" s="838" t="s">
        <v>492</v>
      </c>
      <c r="D17" s="825" t="s">
        <v>1014</v>
      </c>
      <c r="E17" s="835">
        <f>+'[3]Brokerage Fees'!$B$17</f>
        <v>446665.22</v>
      </c>
      <c r="F17" s="835">
        <f>+E17</f>
        <v>446665.22</v>
      </c>
      <c r="G17" s="835"/>
      <c r="H17" s="835"/>
      <c r="I17" s="835">
        <f t="shared" si="1"/>
        <v>446665.22</v>
      </c>
      <c r="J17" s="835">
        <f t="shared" si="2"/>
        <v>426253.88751197996</v>
      </c>
      <c r="K17" s="837"/>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row>
    <row r="18" spans="1:72">
      <c r="A18" s="826">
        <f t="shared" si="0"/>
        <v>8</v>
      </c>
      <c r="B18" s="838">
        <v>565</v>
      </c>
      <c r="C18" s="838" t="s">
        <v>492</v>
      </c>
      <c r="D18" s="825" t="s">
        <v>1015</v>
      </c>
      <c r="E18" s="835">
        <f>+'Restating=&gt;'!D18</f>
        <v>115807777.5999999</v>
      </c>
      <c r="F18" s="835">
        <f>+'PKW RY PC1'!D14*1000</f>
        <v>117713493.80738376</v>
      </c>
      <c r="G18" s="835"/>
      <c r="H18" s="835"/>
      <c r="I18" s="835">
        <f t="shared" si="1"/>
        <v>117713493.80738376</v>
      </c>
      <c r="J18" s="840">
        <f t="shared" si="2"/>
        <v>112334321.32462588</v>
      </c>
      <c r="K18" s="837"/>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row>
    <row r="19" spans="1:72">
      <c r="A19" s="826">
        <f t="shared" si="0"/>
        <v>9</v>
      </c>
      <c r="B19" s="838">
        <v>447</v>
      </c>
      <c r="C19" s="838" t="s">
        <v>492</v>
      </c>
      <c r="D19" s="825" t="s">
        <v>16</v>
      </c>
      <c r="E19" s="835">
        <f>+'Restating=&gt;'!D19</f>
        <v>-155333122.24000001</v>
      </c>
      <c r="F19" s="835">
        <f>+'PKW RY PC1'!D13*1000</f>
        <v>-5731396.5749000004</v>
      </c>
      <c r="G19" s="835"/>
      <c r="H19" s="835"/>
      <c r="I19" s="835">
        <f t="shared" si="1"/>
        <v>-5731396.5749000004</v>
      </c>
      <c r="J19" s="835">
        <f t="shared" si="2"/>
        <v>-5469488.0226492053</v>
      </c>
      <c r="K19" s="837"/>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row>
    <row r="20" spans="1:72">
      <c r="A20" s="826">
        <f t="shared" si="0"/>
        <v>10</v>
      </c>
      <c r="B20" s="838">
        <v>456</v>
      </c>
      <c r="C20" s="838" t="s">
        <v>492</v>
      </c>
      <c r="D20" s="825" t="s">
        <v>1016</v>
      </c>
      <c r="E20" s="835">
        <f>+'Restating=&gt;'!D20</f>
        <v>-69470811.980000019</v>
      </c>
      <c r="F20" s="835">
        <f>+'PKW RY PC1'!D15*1000</f>
        <v>-22440595.249540851</v>
      </c>
      <c r="G20" s="835"/>
      <c r="H20" s="835"/>
      <c r="I20" s="835">
        <f t="shared" si="1"/>
        <v>-22440595.249540851</v>
      </c>
      <c r="J20" s="835">
        <f t="shared" si="2"/>
        <v>-21415123.754653782</v>
      </c>
      <c r="K20" s="837"/>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row>
    <row r="21" spans="1:72">
      <c r="A21" s="826">
        <f t="shared" si="0"/>
        <v>11</v>
      </c>
      <c r="B21" s="838"/>
      <c r="C21" s="838"/>
      <c r="D21" s="841" t="s">
        <v>500</v>
      </c>
      <c r="E21" s="842">
        <f t="shared" ref="E21:J21" si="3">SUM(E13:E20)</f>
        <v>696627809.45446146</v>
      </c>
      <c r="F21" s="842">
        <f t="shared" si="3"/>
        <v>743505455.88643634</v>
      </c>
      <c r="G21" s="842">
        <f t="shared" si="3"/>
        <v>-1833483.02</v>
      </c>
      <c r="H21" s="842">
        <f t="shared" si="3"/>
        <v>-323117.56</v>
      </c>
      <c r="I21" s="842">
        <f t="shared" si="3"/>
        <v>741348855.3064363</v>
      </c>
      <c r="J21" s="842">
        <f t="shared" si="3"/>
        <v>707829253.83836222</v>
      </c>
      <c r="K21" s="837"/>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row>
    <row r="22" spans="1:72">
      <c r="A22" s="826">
        <f t="shared" si="0"/>
        <v>12</v>
      </c>
      <c r="B22" s="838"/>
      <c r="C22" s="838"/>
      <c r="D22" s="843" t="s">
        <v>1017</v>
      </c>
      <c r="E22" s="844">
        <f>+'Restating=&gt;'!D21-E21</f>
        <v>0</v>
      </c>
      <c r="F22" s="844">
        <f>+'PKW RY PC1'!D17*1000-F21</f>
        <v>0</v>
      </c>
      <c r="G22" s="835"/>
      <c r="H22" s="835"/>
      <c r="I22" s="844">
        <f>+F21+G21+H21-I21</f>
        <v>0</v>
      </c>
      <c r="J22" s="835"/>
      <c r="K22" s="837"/>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row>
    <row r="23" spans="1:72">
      <c r="A23" s="826">
        <f t="shared" si="0"/>
        <v>13</v>
      </c>
      <c r="B23" s="838"/>
      <c r="C23" s="838"/>
      <c r="D23" s="836" t="s">
        <v>1018</v>
      </c>
      <c r="E23" s="835"/>
      <c r="F23" s="835"/>
      <c r="G23" s="835"/>
      <c r="H23" s="835"/>
      <c r="I23" s="835"/>
      <c r="J23" s="835"/>
      <c r="K23" s="837"/>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row>
    <row r="24" spans="1:72">
      <c r="A24" s="826">
        <f t="shared" si="0"/>
        <v>14</v>
      </c>
      <c r="B24" s="838" t="s">
        <v>498</v>
      </c>
      <c r="C24" s="838" t="s">
        <v>495</v>
      </c>
      <c r="D24" s="845" t="s">
        <v>499</v>
      </c>
      <c r="E24" s="835">
        <f>+'[1]Allocated (CBR)'!$B$24</f>
        <v>127167992.89</v>
      </c>
      <c r="F24" s="835">
        <f>+RJR!D27</f>
        <v>116281330.74835677</v>
      </c>
      <c r="G24" s="835">
        <f>-'B&amp;T O&amp;M'!D6</f>
        <v>-6141737.9100000001</v>
      </c>
      <c r="H24" s="835">
        <f>-'B&amp;T O&amp;M'!C6</f>
        <v>-1619460.36</v>
      </c>
      <c r="I24" s="835">
        <f>SUM(F24:H24)</f>
        <v>108520132.47835678</v>
      </c>
      <c r="J24" s="835">
        <f>IF(C24="v",I24*$J$8,I24*$J$6)</f>
        <v>108520132.47835678</v>
      </c>
      <c r="K24" s="837"/>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row>
    <row r="25" spans="1:72">
      <c r="A25" s="826">
        <f t="shared" si="0"/>
        <v>15</v>
      </c>
      <c r="B25" s="838" t="s">
        <v>498</v>
      </c>
      <c r="C25" s="838" t="s">
        <v>495</v>
      </c>
      <c r="D25" s="841" t="s">
        <v>497</v>
      </c>
      <c r="E25" s="840">
        <f>+'500KV'!B14</f>
        <v>876514.03</v>
      </c>
      <c r="F25" s="835">
        <f>+E25</f>
        <v>876514.03</v>
      </c>
      <c r="G25" s="835"/>
      <c r="H25" s="835"/>
      <c r="I25" s="835">
        <f>SUM(F25:H25)</f>
        <v>876514.03</v>
      </c>
      <c r="J25" s="835">
        <f>IF(C25="v",I25*$J$8,I25*$J$6)</f>
        <v>876514.03</v>
      </c>
      <c r="K25" s="837"/>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row>
    <row r="26" spans="1:72">
      <c r="A26" s="826">
        <f t="shared" si="0"/>
        <v>16</v>
      </c>
      <c r="B26" s="838" t="s">
        <v>496</v>
      </c>
      <c r="C26" s="838" t="s">
        <v>495</v>
      </c>
      <c r="D26" s="841" t="s">
        <v>494</v>
      </c>
      <c r="E26" s="835">
        <f>+'Act OATT Rev 45610005'!B15</f>
        <v>-7201724.9500000002</v>
      </c>
      <c r="F26" s="840">
        <f>-'Estimate OATT Trans Rev'!D40</f>
        <v>-8666881.7085096519</v>
      </c>
      <c r="G26" s="840"/>
      <c r="H26" s="835"/>
      <c r="I26" s="835">
        <f>SUM(F26:H26)</f>
        <v>-8666881.7085096519</v>
      </c>
      <c r="J26" s="835">
        <f>IF(C26="v",I26*$J$8,I26*$J$6)</f>
        <v>-8666881.7085096519</v>
      </c>
      <c r="K26" s="837"/>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row>
    <row r="27" spans="1:72">
      <c r="A27" s="826">
        <f t="shared" si="0"/>
        <v>17</v>
      </c>
      <c r="B27" s="838" t="s">
        <v>493</v>
      </c>
      <c r="C27" s="838" t="s">
        <v>492</v>
      </c>
      <c r="D27" s="841" t="s">
        <v>491</v>
      </c>
      <c r="E27" s="835"/>
      <c r="F27" s="835">
        <f>+'Centralia Equity Kicker'!H33</f>
        <v>4959912</v>
      </c>
      <c r="G27" s="835"/>
      <c r="H27" s="835"/>
      <c r="I27" s="835">
        <f>SUM(F27:H27)</f>
        <v>4959912</v>
      </c>
      <c r="J27" s="835">
        <f>IF(C27="v",I27*$J$8,I27*$J$6)</f>
        <v>4733258.1026060628</v>
      </c>
      <c r="K27" s="837"/>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row>
    <row r="28" spans="1:72" ht="13.5" thickBot="1">
      <c r="A28" s="826">
        <f t="shared" ref="A28" si="4">+A27+1</f>
        <v>18</v>
      </c>
      <c r="B28" s="838"/>
      <c r="C28" s="838"/>
      <c r="D28" s="841" t="s">
        <v>490</v>
      </c>
      <c r="E28" s="846">
        <f t="shared" ref="E28:J28" si="5">SUM(E21:E27)</f>
        <v>817470591.42446136</v>
      </c>
      <c r="F28" s="846">
        <f t="shared" si="5"/>
        <v>856956330.95628345</v>
      </c>
      <c r="G28" s="846">
        <f t="shared" si="5"/>
        <v>-7975220.9299999997</v>
      </c>
      <c r="H28" s="846">
        <f t="shared" si="5"/>
        <v>-1942577.9200000002</v>
      </c>
      <c r="I28" s="846">
        <f t="shared" si="5"/>
        <v>847038532.10628343</v>
      </c>
      <c r="J28" s="846">
        <f t="shared" si="5"/>
        <v>813292276.7408154</v>
      </c>
      <c r="K28" s="837"/>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row>
    <row r="29" spans="1:72" ht="13.5" thickTop="1">
      <c r="B29" s="838"/>
      <c r="C29" s="838"/>
      <c r="E29" s="837"/>
      <c r="F29" s="837"/>
      <c r="G29" s="837"/>
      <c r="H29" s="837"/>
      <c r="I29" s="837"/>
      <c r="J29" s="837"/>
      <c r="K29" s="837"/>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row>
    <row r="30" spans="1:72">
      <c r="B30" s="838"/>
      <c r="C30" s="838"/>
      <c r="E30" s="835"/>
      <c r="F30" s="835"/>
      <c r="G30" s="835"/>
      <c r="H30" s="835"/>
      <c r="I30" s="835"/>
      <c r="J30" s="835"/>
      <c r="K30" s="837"/>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row>
    <row r="31" spans="1:72">
      <c r="A31" s="837"/>
      <c r="B31" s="837"/>
      <c r="C31" s="837"/>
      <c r="D31" s="837"/>
      <c r="E31" s="837"/>
      <c r="F31" s="837"/>
      <c r="G31" s="837"/>
      <c r="H31" s="837"/>
      <c r="I31" s="837"/>
      <c r="J31" s="837"/>
      <c r="K31" s="837"/>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row>
    <row r="32" spans="1:72">
      <c r="A32" s="837"/>
      <c r="B32" s="837"/>
      <c r="C32" s="837"/>
      <c r="D32" s="837"/>
      <c r="E32" s="837"/>
      <c r="F32" s="837"/>
      <c r="G32" s="837"/>
      <c r="H32" s="837"/>
      <c r="I32" s="837"/>
      <c r="J32" s="837"/>
      <c r="K32" s="837"/>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row>
    <row r="33" spans="1:72">
      <c r="A33" s="837"/>
      <c r="B33" s="837"/>
      <c r="C33" s="837"/>
      <c r="D33" s="837"/>
      <c r="E33" s="837"/>
      <c r="F33" s="837"/>
      <c r="G33" s="837"/>
      <c r="H33" s="837"/>
      <c r="I33" s="837"/>
      <c r="J33" s="837"/>
      <c r="K33" s="837"/>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row>
    <row r="34" spans="1:72">
      <c r="A34" s="837"/>
      <c r="B34" s="837"/>
      <c r="C34" s="837"/>
      <c r="D34" s="837"/>
      <c r="E34" s="837"/>
      <c r="F34" s="837"/>
      <c r="G34" s="837"/>
      <c r="H34" s="837"/>
      <c r="I34" s="837"/>
      <c r="J34" s="837"/>
      <c r="K34" s="837"/>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row>
    <row r="35" spans="1:72">
      <c r="A35" s="837"/>
      <c r="B35" s="837"/>
      <c r="C35" s="837"/>
      <c r="D35" s="837"/>
      <c r="E35" s="837"/>
      <c r="F35" s="837"/>
      <c r="G35" s="837"/>
      <c r="H35" s="837"/>
      <c r="I35" s="837"/>
      <c r="J35" s="837"/>
      <c r="K35" s="837"/>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row>
    <row r="36" spans="1:72">
      <c r="A36" s="837"/>
      <c r="B36" s="837"/>
      <c r="C36" s="837"/>
      <c r="D36" s="837"/>
      <c r="E36" s="837"/>
      <c r="F36" s="837"/>
      <c r="G36" s="837"/>
      <c r="H36" s="837"/>
      <c r="I36" s="837"/>
      <c r="J36" s="837"/>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row>
    <row r="37" spans="1:72">
      <c r="A37" s="837"/>
      <c r="B37" s="837"/>
      <c r="C37" s="837"/>
      <c r="D37" s="837"/>
      <c r="E37" s="837"/>
      <c r="F37" s="837"/>
      <c r="G37" s="837"/>
      <c r="H37" s="837"/>
      <c r="I37" s="837"/>
      <c r="J37" s="837"/>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row>
    <row r="38" spans="1:72">
      <c r="A38" s="837"/>
      <c r="B38" s="837"/>
      <c r="C38" s="837"/>
      <c r="D38" s="837"/>
      <c r="E38" s="837"/>
      <c r="F38" s="837"/>
      <c r="G38" s="837"/>
      <c r="H38" s="837"/>
      <c r="I38" s="837"/>
      <c r="J38" s="837"/>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row>
    <row r="39" spans="1:72">
      <c r="A39" s="837"/>
      <c r="B39" s="837"/>
      <c r="C39" s="837"/>
      <c r="D39" s="837"/>
      <c r="E39" s="837"/>
      <c r="F39" s="837"/>
      <c r="G39" s="837"/>
      <c r="H39" s="837"/>
      <c r="I39" s="837"/>
      <c r="J39" s="837"/>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row>
    <row r="40" spans="1:72">
      <c r="A40" s="837"/>
      <c r="B40" s="837"/>
      <c r="C40" s="837"/>
      <c r="D40" s="837"/>
      <c r="E40" s="837"/>
      <c r="F40" s="837"/>
      <c r="G40" s="837"/>
      <c r="H40" s="837"/>
      <c r="I40" s="837"/>
      <c r="J40" s="837"/>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row>
    <row r="41" spans="1:72">
      <c r="A41" s="837"/>
      <c r="B41" s="837"/>
      <c r="C41" s="837"/>
      <c r="D41" s="837"/>
      <c r="E41" s="837"/>
      <c r="F41" s="837"/>
      <c r="G41" s="837"/>
      <c r="H41" s="837"/>
      <c r="I41" s="837"/>
      <c r="J41" s="837"/>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row>
    <row r="42" spans="1:72">
      <c r="A42" s="837"/>
      <c r="B42" s="837"/>
      <c r="C42" s="837"/>
      <c r="D42" s="837"/>
      <c r="E42" s="837"/>
      <c r="F42" s="837"/>
      <c r="G42" s="837"/>
      <c r="H42" s="837"/>
      <c r="I42" s="837"/>
      <c r="J42" s="837"/>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row>
    <row r="43" spans="1:72">
      <c r="A43" s="837"/>
      <c r="B43" s="837"/>
      <c r="C43" s="837"/>
      <c r="D43" s="837"/>
      <c r="E43" s="837"/>
      <c r="F43" s="837"/>
      <c r="G43" s="837"/>
      <c r="H43" s="837"/>
      <c r="I43" s="837"/>
      <c r="J43" s="837"/>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row>
    <row r="44" spans="1:72">
      <c r="A44" s="837"/>
      <c r="B44" s="837"/>
      <c r="C44" s="837"/>
      <c r="D44" s="837"/>
      <c r="E44" s="837"/>
      <c r="F44" s="837"/>
      <c r="G44" s="837"/>
      <c r="H44" s="837"/>
      <c r="I44" s="837"/>
      <c r="J44" s="837"/>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row>
    <row r="45" spans="1:72">
      <c r="A45" s="837"/>
      <c r="B45" s="837"/>
      <c r="C45" s="837"/>
      <c r="D45" s="837"/>
      <c r="E45" s="837"/>
      <c r="F45" s="837"/>
      <c r="G45" s="837"/>
      <c r="H45" s="837"/>
      <c r="I45" s="837"/>
      <c r="J45" s="837"/>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row>
    <row r="46" spans="1:72">
      <c r="A46" s="837"/>
      <c r="B46" s="837"/>
      <c r="C46" s="837"/>
      <c r="D46" s="837"/>
      <c r="E46" s="837"/>
      <c r="F46" s="837"/>
      <c r="G46" s="837"/>
      <c r="H46" s="837"/>
      <c r="I46" s="837"/>
      <c r="J46" s="837"/>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row>
    <row r="47" spans="1:72">
      <c r="A47" s="837"/>
      <c r="B47" s="837"/>
      <c r="C47" s="837"/>
      <c r="D47" s="837"/>
      <c r="E47" s="837"/>
      <c r="F47" s="837"/>
      <c r="G47" s="837"/>
      <c r="H47" s="837"/>
      <c r="I47" s="837"/>
      <c r="J47" s="837"/>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row>
    <row r="48" spans="1:72">
      <c r="A48" s="837"/>
      <c r="B48" s="837"/>
      <c r="C48" s="837"/>
      <c r="D48" s="837"/>
      <c r="E48" s="837"/>
      <c r="F48" s="837"/>
      <c r="G48" s="837"/>
      <c r="H48" s="837"/>
      <c r="I48" s="837"/>
      <c r="J48" s="837"/>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row>
    <row r="49" spans="1:72">
      <c r="A49" s="837"/>
      <c r="B49" s="837"/>
      <c r="C49" s="837"/>
      <c r="D49" s="837"/>
      <c r="E49" s="837"/>
      <c r="F49" s="837"/>
      <c r="G49" s="837"/>
      <c r="H49" s="837"/>
      <c r="I49" s="837"/>
      <c r="J49" s="837"/>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row>
    <row r="50" spans="1:72">
      <c r="A50" s="837"/>
      <c r="B50" s="837"/>
      <c r="C50" s="837"/>
      <c r="D50" s="837"/>
      <c r="E50" s="837"/>
      <c r="F50" s="837"/>
      <c r="G50" s="837"/>
      <c r="H50" s="837"/>
      <c r="I50" s="837"/>
      <c r="J50" s="837"/>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row>
    <row r="51" spans="1:72">
      <c r="A51" s="837"/>
      <c r="B51" s="837"/>
      <c r="C51" s="837"/>
      <c r="D51" s="837"/>
      <c r="E51" s="837"/>
      <c r="F51" s="837"/>
      <c r="G51" s="837"/>
      <c r="H51" s="837"/>
      <c r="I51" s="837"/>
      <c r="J51" s="837"/>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row>
    <row r="52" spans="1:72">
      <c r="A52" s="837"/>
      <c r="B52" s="837"/>
      <c r="C52" s="837"/>
      <c r="D52" s="837"/>
      <c r="E52" s="837"/>
      <c r="F52" s="837"/>
      <c r="G52" s="837"/>
      <c r="H52" s="837"/>
      <c r="I52" s="837"/>
      <c r="J52" s="837"/>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row>
    <row r="53" spans="1:72">
      <c r="A53" s="837"/>
      <c r="B53" s="837"/>
      <c r="C53" s="837"/>
      <c r="D53" s="837"/>
      <c r="E53" s="837"/>
      <c r="F53" s="837"/>
      <c r="G53" s="837"/>
      <c r="H53" s="837"/>
      <c r="I53" s="837"/>
      <c r="J53" s="837"/>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row>
    <row r="54" spans="1:72">
      <c r="A54" s="837"/>
      <c r="B54" s="837"/>
      <c r="C54" s="837"/>
      <c r="D54" s="837"/>
      <c r="E54" s="837"/>
      <c r="F54" s="837"/>
      <c r="G54" s="837"/>
      <c r="H54" s="837"/>
      <c r="I54" s="837"/>
      <c r="J54" s="837"/>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row>
    <row r="55" spans="1:72">
      <c r="A55" s="837"/>
      <c r="B55" s="837"/>
      <c r="C55" s="837"/>
      <c r="D55" s="837"/>
      <c r="E55" s="837"/>
      <c r="F55" s="837"/>
      <c r="G55" s="837"/>
      <c r="H55" s="837"/>
      <c r="I55" s="837"/>
      <c r="J55" s="837"/>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row>
    <row r="56" spans="1:72">
      <c r="A56" s="837"/>
      <c r="B56" s="837"/>
      <c r="C56" s="837"/>
      <c r="D56" s="837"/>
      <c r="E56" s="837"/>
      <c r="F56" s="837"/>
      <c r="G56" s="837"/>
      <c r="H56" s="837"/>
      <c r="I56" s="837"/>
      <c r="J56" s="837"/>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row>
    <row r="57" spans="1:72">
      <c r="A57" s="837"/>
      <c r="B57" s="837"/>
      <c r="C57" s="837"/>
      <c r="D57" s="837"/>
      <c r="E57" s="837"/>
      <c r="F57" s="837"/>
      <c r="G57" s="837"/>
      <c r="H57" s="837"/>
      <c r="I57" s="837"/>
      <c r="J57" s="837"/>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row>
    <row r="58" spans="1:72">
      <c r="A58" s="837"/>
      <c r="B58" s="837"/>
      <c r="C58" s="837"/>
      <c r="D58" s="837"/>
      <c r="E58" s="837"/>
      <c r="F58" s="837"/>
      <c r="G58" s="837"/>
      <c r="H58" s="837"/>
      <c r="I58" s="837"/>
      <c r="J58" s="837"/>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row>
    <row r="59" spans="1:72">
      <c r="A59" s="837"/>
      <c r="B59" s="837"/>
      <c r="C59" s="837"/>
      <c r="D59" s="837"/>
      <c r="E59" s="837"/>
      <c r="F59" s="837"/>
      <c r="G59" s="837"/>
      <c r="H59" s="837"/>
      <c r="I59" s="837"/>
      <c r="J59" s="837"/>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row>
    <row r="60" spans="1:72">
      <c r="A60" s="837"/>
      <c r="B60" s="837"/>
      <c r="C60" s="837"/>
      <c r="D60" s="837"/>
      <c r="E60" s="837"/>
      <c r="F60" s="837"/>
      <c r="G60" s="837"/>
      <c r="H60" s="837"/>
      <c r="I60" s="837"/>
      <c r="J60" s="837"/>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row>
    <row r="61" spans="1:72">
      <c r="A61" s="837"/>
      <c r="B61" s="837"/>
      <c r="C61" s="837"/>
      <c r="D61" s="837"/>
      <c r="E61" s="837"/>
      <c r="F61" s="837"/>
      <c r="G61" s="837"/>
      <c r="H61" s="837"/>
      <c r="I61" s="837"/>
      <c r="J61" s="837"/>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row>
    <row r="62" spans="1:72">
      <c r="A62" s="837"/>
      <c r="B62" s="837"/>
      <c r="C62" s="837"/>
      <c r="D62" s="837"/>
      <c r="E62" s="837"/>
      <c r="F62" s="837"/>
      <c r="G62" s="837"/>
      <c r="H62" s="837"/>
      <c r="I62" s="837"/>
      <c r="J62" s="837"/>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row>
    <row r="63" spans="1:72">
      <c r="A63" s="837"/>
      <c r="B63" s="837"/>
      <c r="C63" s="837"/>
      <c r="D63" s="837"/>
      <c r="E63" s="837"/>
      <c r="F63" s="837"/>
      <c r="G63" s="837"/>
      <c r="H63" s="837"/>
      <c r="I63" s="837"/>
      <c r="J63" s="837"/>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row>
    <row r="64" spans="1:72">
      <c r="A64" s="837"/>
      <c r="B64" s="837"/>
      <c r="C64" s="837"/>
      <c r="D64" s="837"/>
      <c r="E64" s="837"/>
      <c r="F64" s="837"/>
      <c r="G64" s="837"/>
      <c r="H64" s="837"/>
      <c r="I64" s="837"/>
      <c r="J64" s="837"/>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row>
    <row r="65" spans="1:10">
      <c r="A65" s="837"/>
      <c r="B65" s="837"/>
      <c r="C65" s="837"/>
      <c r="D65" s="837"/>
      <c r="E65" s="837"/>
      <c r="F65" s="837"/>
      <c r="G65" s="837"/>
      <c r="H65" s="837"/>
      <c r="I65" s="837"/>
      <c r="J65" s="837"/>
    </row>
    <row r="66" spans="1:10">
      <c r="A66" s="837"/>
      <c r="B66" s="837"/>
      <c r="C66" s="837"/>
      <c r="D66" s="837"/>
      <c r="E66" s="837"/>
      <c r="F66" s="837"/>
      <c r="G66" s="837"/>
      <c r="H66" s="837"/>
      <c r="I66" s="837"/>
      <c r="J66" s="837"/>
    </row>
    <row r="67" spans="1:10">
      <c r="A67" s="837"/>
      <c r="B67" s="837"/>
      <c r="C67" s="837"/>
      <c r="D67" s="837"/>
      <c r="E67" s="837"/>
      <c r="F67" s="837"/>
      <c r="G67" s="837"/>
      <c r="H67" s="837"/>
      <c r="I67" s="837"/>
      <c r="J67" s="837"/>
    </row>
    <row r="68" spans="1:10">
      <c r="A68" s="837"/>
      <c r="B68" s="837"/>
      <c r="C68" s="837"/>
      <c r="D68" s="837"/>
      <c r="E68" s="837"/>
      <c r="F68" s="837"/>
      <c r="G68" s="837"/>
      <c r="H68" s="837"/>
      <c r="I68" s="837"/>
      <c r="J68" s="837"/>
    </row>
    <row r="69" spans="1:10">
      <c r="A69" s="837"/>
      <c r="B69" s="837"/>
      <c r="C69" s="837"/>
      <c r="D69" s="837"/>
      <c r="E69" s="837"/>
      <c r="F69" s="837"/>
      <c r="G69" s="837"/>
      <c r="H69" s="837"/>
      <c r="I69" s="837"/>
      <c r="J69" s="837"/>
    </row>
    <row r="70" spans="1:10">
      <c r="A70" s="837"/>
      <c r="B70" s="837"/>
      <c r="C70" s="837"/>
      <c r="D70" s="837"/>
      <c r="E70" s="837"/>
      <c r="F70" s="837"/>
      <c r="G70" s="837"/>
      <c r="H70" s="837"/>
      <c r="I70" s="837"/>
      <c r="J70" s="837"/>
    </row>
  </sheetData>
  <printOptions horizontalCentered="1"/>
  <pageMargins left="0.2" right="0.2"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22" zoomScaleNormal="100" workbookViewId="0">
      <selection activeCell="E45" sqref="E45"/>
    </sheetView>
  </sheetViews>
  <sheetFormatPr defaultRowHeight="15"/>
  <cols>
    <col min="1" max="1" width="9.28515625" style="665" bestFit="1" customWidth="1"/>
    <col min="2" max="2" width="18.7109375" style="665" bestFit="1" customWidth="1"/>
    <col min="3" max="3" width="26.5703125" style="665" bestFit="1" customWidth="1"/>
    <col min="4" max="4" width="21.28515625" style="665" bestFit="1" customWidth="1"/>
    <col min="5" max="5" width="16" style="665" bestFit="1" customWidth="1"/>
    <col min="6" max="6" width="15.42578125" style="665" bestFit="1" customWidth="1"/>
    <col min="7" max="7" width="13.42578125" style="665" bestFit="1" customWidth="1"/>
    <col min="8" max="8" width="13.7109375" style="665" bestFit="1" customWidth="1"/>
    <col min="9" max="9" width="14" style="665" customWidth="1"/>
    <col min="10" max="10" width="22.140625" style="665" bestFit="1" customWidth="1"/>
    <col min="11" max="11" width="5.140625" style="665" bestFit="1" customWidth="1"/>
    <col min="12" max="16384" width="9.140625" style="665"/>
  </cols>
  <sheetData>
    <row r="1" spans="1:10">
      <c r="A1" s="850" t="s">
        <v>517</v>
      </c>
      <c r="B1" s="850"/>
      <c r="C1" s="850"/>
      <c r="D1" s="850"/>
      <c r="E1" s="850"/>
      <c r="F1" s="850"/>
      <c r="G1" s="850"/>
      <c r="H1" s="850"/>
      <c r="I1" s="850"/>
    </row>
    <row r="2" spans="1:10">
      <c r="A2" s="851" t="s">
        <v>833</v>
      </c>
      <c r="B2" s="850"/>
      <c r="C2" s="850"/>
      <c r="D2" s="850"/>
      <c r="E2" s="850"/>
      <c r="F2" s="850"/>
      <c r="G2" s="850"/>
      <c r="H2" s="850"/>
      <c r="I2" s="850"/>
    </row>
    <row r="3" spans="1:10">
      <c r="A3" s="850" t="s">
        <v>832</v>
      </c>
      <c r="B3" s="850"/>
      <c r="C3" s="850"/>
      <c r="D3" s="850"/>
      <c r="E3" s="850"/>
      <c r="F3" s="850"/>
      <c r="G3" s="850"/>
      <c r="H3" s="850"/>
      <c r="I3" s="850"/>
    </row>
    <row r="4" spans="1:10">
      <c r="A4" s="850" t="s">
        <v>831</v>
      </c>
      <c r="B4" s="850"/>
      <c r="C4" s="850"/>
      <c r="D4" s="850"/>
      <c r="E4" s="850"/>
      <c r="F4" s="850"/>
      <c r="G4" s="850"/>
      <c r="H4" s="850"/>
      <c r="I4" s="850"/>
    </row>
    <row r="6" spans="1:10">
      <c r="D6" s="852" t="s">
        <v>830</v>
      </c>
      <c r="E6" s="852"/>
      <c r="F6" s="852"/>
      <c r="G6" s="852"/>
      <c r="H6" s="852"/>
      <c r="J6" s="682"/>
    </row>
    <row r="7" spans="1:10" ht="30">
      <c r="A7" s="683" t="s">
        <v>829</v>
      </c>
      <c r="B7" s="683" t="s">
        <v>828</v>
      </c>
      <c r="C7" s="683" t="s">
        <v>503</v>
      </c>
      <c r="D7" s="682" t="s">
        <v>827</v>
      </c>
      <c r="E7" s="682" t="s">
        <v>826</v>
      </c>
      <c r="F7" s="683" t="s">
        <v>825</v>
      </c>
      <c r="G7" s="683" t="s">
        <v>824</v>
      </c>
      <c r="H7" s="683" t="s">
        <v>823</v>
      </c>
      <c r="I7" s="682"/>
      <c r="J7" s="682" t="s">
        <v>822</v>
      </c>
    </row>
    <row r="8" spans="1:10">
      <c r="A8" s="681"/>
      <c r="B8" s="680" t="s">
        <v>821</v>
      </c>
      <c r="C8" s="679" t="s">
        <v>820</v>
      </c>
      <c r="D8" s="679" t="s">
        <v>819</v>
      </c>
      <c r="E8" s="679" t="s">
        <v>818</v>
      </c>
      <c r="F8" s="679" t="s">
        <v>817</v>
      </c>
      <c r="G8" s="679" t="s">
        <v>816</v>
      </c>
      <c r="H8" s="679" t="s">
        <v>815</v>
      </c>
      <c r="I8" s="678"/>
      <c r="J8" s="679" t="s">
        <v>814</v>
      </c>
    </row>
    <row r="9" spans="1:10">
      <c r="A9" s="681"/>
      <c r="B9" s="680"/>
      <c r="C9" s="679"/>
      <c r="D9" s="679"/>
      <c r="E9" s="679"/>
      <c r="F9" s="679"/>
      <c r="G9" s="679"/>
      <c r="H9" s="679"/>
      <c r="I9" s="678"/>
    </row>
    <row r="10" spans="1:10">
      <c r="A10" s="672">
        <v>1</v>
      </c>
      <c r="B10" s="672">
        <v>7</v>
      </c>
      <c r="C10" s="665" t="s">
        <v>813</v>
      </c>
      <c r="D10" s="673">
        <f>SUM(E10:H10)</f>
        <v>10623030235.689331</v>
      </c>
      <c r="E10" s="673">
        <v>10519663299</v>
      </c>
      <c r="F10" s="673">
        <v>-24716561.447262883</v>
      </c>
      <c r="G10" s="673"/>
      <c r="H10" s="673">
        <v>128083498.13659537</v>
      </c>
      <c r="J10" s="673">
        <f>+'F2018 Sch Level Delivered Load'!BW45</f>
        <v>10674853000</v>
      </c>
    </row>
    <row r="11" spans="1:10">
      <c r="A11" s="672">
        <f t="shared" ref="A11:A43" si="0">+A10+1</f>
        <v>2</v>
      </c>
      <c r="B11" s="672" t="s">
        <v>812</v>
      </c>
      <c r="C11" s="676" t="s">
        <v>811</v>
      </c>
      <c r="D11" s="673">
        <f>SUM(E11:H11)</f>
        <v>2442683</v>
      </c>
      <c r="E11" s="673">
        <v>2023177</v>
      </c>
      <c r="F11" s="673">
        <v>419506</v>
      </c>
      <c r="G11" s="673"/>
      <c r="H11" s="673">
        <v>0</v>
      </c>
      <c r="J11" s="673">
        <f>+'F2018 Sch Level Delivered Load'!BX45</f>
        <v>2309000</v>
      </c>
    </row>
    <row r="12" spans="1:10">
      <c r="A12" s="672">
        <f t="shared" si="0"/>
        <v>3</v>
      </c>
      <c r="B12" s="849" t="s">
        <v>810</v>
      </c>
      <c r="C12" s="849"/>
      <c r="D12" s="673">
        <f>SUM(D10:D11)</f>
        <v>10625472918.689331</v>
      </c>
      <c r="E12" s="673">
        <f>SUM(E10:E11)</f>
        <v>10521686476</v>
      </c>
      <c r="F12" s="673">
        <f>SUM(F10:F11)</f>
        <v>-24297055.447262883</v>
      </c>
      <c r="G12" s="673">
        <f>SUM(G10:G11)</f>
        <v>0</v>
      </c>
      <c r="H12" s="673">
        <f>SUM(H10:H11)</f>
        <v>128083498.13659537</v>
      </c>
      <c r="J12" s="673">
        <f>SUM(J10:J11)</f>
        <v>10677162000</v>
      </c>
    </row>
    <row r="13" spans="1:10">
      <c r="A13" s="672">
        <f t="shared" si="0"/>
        <v>4</v>
      </c>
      <c r="D13" s="673"/>
      <c r="E13" s="673"/>
      <c r="F13" s="673"/>
      <c r="G13" s="673"/>
      <c r="H13" s="673"/>
      <c r="J13" s="673"/>
    </row>
    <row r="14" spans="1:10">
      <c r="A14" s="672">
        <f t="shared" si="0"/>
        <v>5</v>
      </c>
      <c r="B14" s="677" t="s">
        <v>809</v>
      </c>
      <c r="C14" s="665" t="s">
        <v>808</v>
      </c>
      <c r="D14" s="673">
        <f>SUM(E14:H14)</f>
        <v>2700129196.7702866</v>
      </c>
      <c r="E14" s="673">
        <v>2698169560</v>
      </c>
      <c r="F14" s="673">
        <v>-8302835.4912163178</v>
      </c>
      <c r="G14" s="673">
        <v>853998</v>
      </c>
      <c r="H14" s="673">
        <v>9408474.2615028732</v>
      </c>
      <c r="J14" s="673">
        <f>+'F2018 Sch Level Delivered Load'!BY51</f>
        <v>3133296000</v>
      </c>
    </row>
    <row r="15" spans="1:10">
      <c r="A15" s="672">
        <f t="shared" si="0"/>
        <v>6</v>
      </c>
      <c r="B15" s="674" t="s">
        <v>807</v>
      </c>
      <c r="C15" s="676" t="s">
        <v>806</v>
      </c>
      <c r="D15" s="673">
        <f>SUM(E15:H15)</f>
        <v>2987721690.5601029</v>
      </c>
      <c r="E15" s="673">
        <v>2975372786.5</v>
      </c>
      <c r="F15" s="673">
        <v>4178384.441164609</v>
      </c>
      <c r="G15" s="673">
        <v>6794968</v>
      </c>
      <c r="H15" s="673">
        <v>1375551.6189382095</v>
      </c>
      <c r="J15" s="673">
        <f>+'F2018 Sch Level Delivered Load'!BZ51</f>
        <v>3323113000</v>
      </c>
    </row>
    <row r="16" spans="1:10">
      <c r="A16" s="672">
        <f t="shared" si="0"/>
        <v>7</v>
      </c>
      <c r="B16" s="674" t="s">
        <v>805</v>
      </c>
      <c r="C16" s="676" t="s">
        <v>804</v>
      </c>
      <c r="D16" s="673">
        <f>SUM(E16:H16)</f>
        <v>1930452063.9308119</v>
      </c>
      <c r="E16" s="673">
        <v>1883930843</v>
      </c>
      <c r="F16" s="673">
        <v>7193011.2870582342</v>
      </c>
      <c r="G16" s="673">
        <v>44108557</v>
      </c>
      <c r="H16" s="673">
        <v>-4780347.3562464509</v>
      </c>
      <c r="J16" s="673">
        <f>+'F2018 Sch Level Delivered Load'!CA51</f>
        <v>1963416000</v>
      </c>
    </row>
    <row r="17" spans="1:10">
      <c r="A17" s="672">
        <f t="shared" si="0"/>
        <v>8</v>
      </c>
      <c r="B17" s="674" t="s">
        <v>803</v>
      </c>
      <c r="C17" s="676" t="s">
        <v>802</v>
      </c>
      <c r="D17" s="673">
        <f>SUM(E17:H17)</f>
        <v>10849300</v>
      </c>
      <c r="E17" s="673">
        <v>10849300</v>
      </c>
      <c r="F17" s="673">
        <v>0</v>
      </c>
      <c r="G17" s="673">
        <v>0</v>
      </c>
      <c r="H17" s="673">
        <v>0</v>
      </c>
      <c r="J17" s="673">
        <v>0</v>
      </c>
    </row>
    <row r="18" spans="1:10">
      <c r="A18" s="672">
        <f t="shared" si="0"/>
        <v>9</v>
      </c>
      <c r="B18" s="672">
        <v>29</v>
      </c>
      <c r="C18" s="665" t="s">
        <v>799</v>
      </c>
      <c r="D18" s="673">
        <f>SUM(E18:H18)</f>
        <v>16009313.796828577</v>
      </c>
      <c r="E18" s="673">
        <v>16726140</v>
      </c>
      <c r="F18" s="673">
        <v>-250609.84182764241</v>
      </c>
      <c r="G18" s="673">
        <v>0</v>
      </c>
      <c r="H18" s="673">
        <v>-466216.36134378111</v>
      </c>
      <c r="J18" s="673">
        <f>+'F2018 Sch Level Delivered Load'!CB45</f>
        <v>16780000</v>
      </c>
    </row>
    <row r="19" spans="1:10">
      <c r="A19" s="672">
        <f t="shared" si="0"/>
        <v>10</v>
      </c>
      <c r="B19" s="849" t="s">
        <v>801</v>
      </c>
      <c r="C19" s="849"/>
      <c r="D19" s="673">
        <f>SUM(D14:D18)</f>
        <v>7645161565.0580292</v>
      </c>
      <c r="E19" s="673">
        <f>SUM(E14:E18)</f>
        <v>7585048629.5</v>
      </c>
      <c r="F19" s="673">
        <f>SUM(F14:F18)</f>
        <v>2817950.3951788833</v>
      </c>
      <c r="G19" s="673">
        <f>SUM(G14:G18)</f>
        <v>51757523</v>
      </c>
      <c r="H19" s="673">
        <f>SUM(H14:H18)</f>
        <v>5537462.1628508503</v>
      </c>
      <c r="J19" s="673">
        <f>SUM(J14:J18)</f>
        <v>8436605000</v>
      </c>
    </row>
    <row r="20" spans="1:10">
      <c r="A20" s="672">
        <f t="shared" si="0"/>
        <v>11</v>
      </c>
      <c r="D20" s="673"/>
      <c r="E20" s="673"/>
      <c r="F20" s="673"/>
      <c r="G20" s="673"/>
      <c r="H20" s="673"/>
      <c r="J20" s="673"/>
    </row>
    <row r="21" spans="1:10">
      <c r="A21" s="672">
        <f t="shared" si="0"/>
        <v>12</v>
      </c>
      <c r="B21" s="677" t="s">
        <v>800</v>
      </c>
      <c r="C21" s="665" t="s">
        <v>794</v>
      </c>
      <c r="D21" s="673">
        <f>SUM(E21:H21)</f>
        <v>1407978352.242965</v>
      </c>
      <c r="E21" s="673">
        <v>1297857967</v>
      </c>
      <c r="F21" s="673">
        <v>-273450.99646974355</v>
      </c>
      <c r="G21" s="673">
        <v>110833086</v>
      </c>
      <c r="H21" s="673">
        <v>-439249.76056518452</v>
      </c>
      <c r="J21" s="673">
        <f>+'F2018 Sch Level Delivered Load'!CC51</f>
        <v>1483067000</v>
      </c>
    </row>
    <row r="22" spans="1:10">
      <c r="A22" s="672">
        <f t="shared" si="0"/>
        <v>13</v>
      </c>
      <c r="B22" s="672">
        <v>35</v>
      </c>
      <c r="C22" s="665" t="s">
        <v>799</v>
      </c>
      <c r="D22" s="673">
        <f>SUM(E22:H22)</f>
        <v>4443660</v>
      </c>
      <c r="E22" s="673">
        <v>4447380</v>
      </c>
      <c r="F22" s="673">
        <v>-3720</v>
      </c>
      <c r="G22" s="673">
        <v>0</v>
      </c>
      <c r="H22" s="673">
        <v>0</v>
      </c>
      <c r="J22" s="673">
        <f>+'F2018 Sch Level Delivered Load'!CD45</f>
        <v>5243000</v>
      </c>
    </row>
    <row r="23" spans="1:10">
      <c r="A23" s="672">
        <f t="shared" si="0"/>
        <v>14</v>
      </c>
      <c r="B23" s="672">
        <v>43</v>
      </c>
      <c r="C23" s="665" t="s">
        <v>798</v>
      </c>
      <c r="D23" s="673">
        <f>SUM(E23:H23)</f>
        <v>122500713.32397975</v>
      </c>
      <c r="E23" s="673">
        <v>120139341</v>
      </c>
      <c r="F23" s="673">
        <v>-441932.86571428552</v>
      </c>
      <c r="G23" s="673">
        <v>0</v>
      </c>
      <c r="H23" s="673">
        <v>2803305.1896940321</v>
      </c>
      <c r="J23" s="673">
        <f>+'F2018 Sch Level Delivered Load'!CE45</f>
        <v>128750000</v>
      </c>
    </row>
    <row r="24" spans="1:10">
      <c r="A24" s="672">
        <f t="shared" si="0"/>
        <v>15</v>
      </c>
      <c r="B24" s="849" t="s">
        <v>797</v>
      </c>
      <c r="C24" s="849"/>
      <c r="D24" s="673">
        <f>SUM(D21:D23)</f>
        <v>1534922725.5669448</v>
      </c>
      <c r="E24" s="673">
        <f>SUM(E21:E23)</f>
        <v>1422444688</v>
      </c>
      <c r="F24" s="673">
        <f>SUM(F21:F23)</f>
        <v>-719103.86218402907</v>
      </c>
      <c r="G24" s="673">
        <f>SUM(G21:G23)</f>
        <v>110833086</v>
      </c>
      <c r="H24" s="673">
        <f>SUM(H21:H23)</f>
        <v>2364055.4291288476</v>
      </c>
      <c r="J24" s="673">
        <f>SUM(J21:J23)</f>
        <v>1617060000</v>
      </c>
    </row>
    <row r="25" spans="1:10">
      <c r="A25" s="672">
        <f t="shared" si="0"/>
        <v>16</v>
      </c>
      <c r="D25" s="673"/>
      <c r="E25" s="673"/>
      <c r="F25" s="673"/>
      <c r="G25" s="673"/>
      <c r="H25" s="673"/>
      <c r="J25" s="673"/>
    </row>
    <row r="26" spans="1:10">
      <c r="A26" s="672">
        <f t="shared" si="0"/>
        <v>17</v>
      </c>
      <c r="B26" s="672">
        <v>40</v>
      </c>
      <c r="C26" s="665" t="s">
        <v>796</v>
      </c>
      <c r="D26" s="673">
        <f>SUM(E26:H26)</f>
        <v>2.6309862732887268E-8</v>
      </c>
      <c r="E26" s="673">
        <v>518545449</v>
      </c>
      <c r="F26" s="673">
        <v>-18911070.058978755</v>
      </c>
      <c r="G26" s="673">
        <v>-498811144.95520836</v>
      </c>
      <c r="H26" s="673">
        <v>-823233.98581287614</v>
      </c>
      <c r="J26" s="673">
        <f>+'F2018 Sch Level Delivered Load'!CF51</f>
        <v>0</v>
      </c>
    </row>
    <row r="27" spans="1:10">
      <c r="A27" s="672">
        <f t="shared" si="0"/>
        <v>18</v>
      </c>
      <c r="D27" s="673"/>
      <c r="E27" s="673"/>
      <c r="F27" s="673"/>
      <c r="G27" s="673"/>
      <c r="H27" s="673"/>
      <c r="J27" s="673"/>
    </row>
    <row r="28" spans="1:10">
      <c r="A28" s="672">
        <f t="shared" si="0"/>
        <v>19</v>
      </c>
      <c r="B28" s="672">
        <v>46</v>
      </c>
      <c r="C28" s="676" t="s">
        <v>795</v>
      </c>
      <c r="D28" s="673">
        <f>SUM(E28:H28)</f>
        <v>78351492</v>
      </c>
      <c r="E28" s="673">
        <v>77875892</v>
      </c>
      <c r="F28" s="673">
        <v>475600</v>
      </c>
      <c r="G28" s="673">
        <v>0</v>
      </c>
      <c r="H28" s="673">
        <v>0</v>
      </c>
      <c r="J28" s="673">
        <f>+'F2018 Sch Level Delivered Load'!CG45</f>
        <v>72585000</v>
      </c>
    </row>
    <row r="29" spans="1:10">
      <c r="A29" s="672">
        <f t="shared" si="0"/>
        <v>20</v>
      </c>
      <c r="B29" s="672">
        <v>49</v>
      </c>
      <c r="C29" s="665" t="s">
        <v>794</v>
      </c>
      <c r="D29" s="673">
        <f>SUM(E29:H29)</f>
        <v>542259321.40199995</v>
      </c>
      <c r="E29" s="673">
        <v>539795730</v>
      </c>
      <c r="F29" s="673">
        <v>2463591.4019999988</v>
      </c>
      <c r="G29" s="673">
        <v>0</v>
      </c>
      <c r="H29" s="673">
        <v>0</v>
      </c>
      <c r="J29" s="673">
        <f>+'F2018 Sch Level Delivered Load'!CH45</f>
        <v>603824000</v>
      </c>
    </row>
    <row r="30" spans="1:10">
      <c r="A30" s="672">
        <f t="shared" si="0"/>
        <v>21</v>
      </c>
      <c r="B30" s="849" t="s">
        <v>793</v>
      </c>
      <c r="C30" s="849"/>
      <c r="D30" s="673">
        <f>SUM(D28:D29)</f>
        <v>620610813.40199995</v>
      </c>
      <c r="E30" s="673">
        <f>SUM(E28:E29)</f>
        <v>617671622</v>
      </c>
      <c r="F30" s="673">
        <f>SUM(F28:F29)</f>
        <v>2939191.4019999988</v>
      </c>
      <c r="G30" s="673">
        <f>SUM(G28:G29)</f>
        <v>0</v>
      </c>
      <c r="H30" s="673">
        <f>SUM(H28:H29)</f>
        <v>0</v>
      </c>
      <c r="J30" s="673">
        <f>SUM(J28:J29)</f>
        <v>676409000</v>
      </c>
    </row>
    <row r="31" spans="1:10">
      <c r="A31" s="672">
        <f t="shared" si="0"/>
        <v>22</v>
      </c>
      <c r="D31" s="673"/>
      <c r="E31" s="673"/>
      <c r="F31" s="673"/>
      <c r="G31" s="673"/>
      <c r="H31" s="673"/>
      <c r="J31" s="673"/>
    </row>
    <row r="32" spans="1:10">
      <c r="A32" s="672">
        <f t="shared" si="0"/>
        <v>23</v>
      </c>
      <c r="B32" s="672" t="s">
        <v>792</v>
      </c>
      <c r="C32" s="665" t="s">
        <v>791</v>
      </c>
      <c r="D32" s="673">
        <f>SUM(E32:H32)</f>
        <v>69969105.295999989</v>
      </c>
      <c r="E32" s="673">
        <v>70204592.217999995</v>
      </c>
      <c r="F32" s="673">
        <v>-235486.92200000011</v>
      </c>
      <c r="G32" s="673">
        <v>0</v>
      </c>
      <c r="H32" s="673">
        <v>0</v>
      </c>
      <c r="J32" s="673">
        <f>+'F2018 Sch Level Delivered Load'!CI45</f>
        <v>70841000</v>
      </c>
    </row>
    <row r="33" spans="1:11">
      <c r="A33" s="672">
        <f t="shared" si="0"/>
        <v>24</v>
      </c>
      <c r="D33" s="673"/>
      <c r="E33" s="673"/>
      <c r="F33" s="673"/>
      <c r="G33" s="673"/>
      <c r="H33" s="673"/>
      <c r="J33" s="673"/>
    </row>
    <row r="34" spans="1:11">
      <c r="A34" s="672">
        <f t="shared" si="0"/>
        <v>25</v>
      </c>
      <c r="B34" s="675" t="s">
        <v>790</v>
      </c>
      <c r="C34" s="665" t="s">
        <v>789</v>
      </c>
      <c r="D34" s="673">
        <f>SUM(E34:H34)</f>
        <v>2364947542.1700001</v>
      </c>
      <c r="E34" s="673">
        <v>2027109354</v>
      </c>
      <c r="F34" s="673">
        <v>1617652.1700000241</v>
      </c>
      <c r="G34" s="673">
        <v>336220536</v>
      </c>
      <c r="H34" s="673">
        <v>0</v>
      </c>
      <c r="J34" s="673">
        <f>+'F2018 Sch Level Delivered Load'!CK45</f>
        <v>2458393000</v>
      </c>
    </row>
    <row r="35" spans="1:11">
      <c r="A35" s="672">
        <f t="shared" si="0"/>
        <v>26</v>
      </c>
      <c r="D35" s="673"/>
      <c r="E35" s="673"/>
      <c r="F35" s="673"/>
      <c r="G35" s="673"/>
      <c r="H35" s="673"/>
      <c r="J35" s="673"/>
    </row>
    <row r="36" spans="1:11">
      <c r="A36" s="672">
        <f t="shared" si="0"/>
        <v>27</v>
      </c>
      <c r="B36" s="849" t="s">
        <v>788</v>
      </c>
      <c r="C36" s="849"/>
      <c r="D36" s="673">
        <f>SUM(D34,D32,D30,D26,D24,D19,D12)</f>
        <v>22861084670.182304</v>
      </c>
      <c r="E36" s="673">
        <f>SUM(E34,E32,E30,E26,E24,E19,E12)</f>
        <v>22762710810.718002</v>
      </c>
      <c r="F36" s="673">
        <f>SUM(F34,F32,F30,F26,F24,F19,F12)</f>
        <v>-36787922.323246762</v>
      </c>
      <c r="G36" s="673">
        <f>SUM(G34,G32,G30,G26,G24,G19,G12)</f>
        <v>4.4791638851165771E-2</v>
      </c>
      <c r="H36" s="673">
        <f>SUM(H34,H32,H30,H26,H24,H19,H12)</f>
        <v>135161781.74276218</v>
      </c>
      <c r="J36" s="673">
        <f>SUM(J34,J32,J30,J26,J24,J19,J12)</f>
        <v>23936470000</v>
      </c>
    </row>
    <row r="37" spans="1:11">
      <c r="A37" s="672">
        <f t="shared" si="0"/>
        <v>28</v>
      </c>
      <c r="D37" s="673"/>
      <c r="E37" s="673"/>
      <c r="F37" s="673"/>
      <c r="G37" s="673"/>
      <c r="H37" s="673"/>
      <c r="J37" s="673"/>
    </row>
    <row r="38" spans="1:11">
      <c r="A38" s="672">
        <f t="shared" si="0"/>
        <v>29</v>
      </c>
      <c r="B38" s="674" t="s">
        <v>787</v>
      </c>
      <c r="C38" s="665" t="s">
        <v>786</v>
      </c>
      <c r="D38" s="673">
        <f>SUM(E38:H38)</f>
        <v>7170066.2345252717</v>
      </c>
      <c r="E38" s="673">
        <v>7130880</v>
      </c>
      <c r="F38" s="673">
        <v>-46730</v>
      </c>
      <c r="G38" s="673">
        <v>0</v>
      </c>
      <c r="H38" s="673">
        <v>85916.234525271488</v>
      </c>
      <c r="J38" s="673">
        <f>+'F2018 Sch Level Delivered Load'!CJ45</f>
        <v>7039000</v>
      </c>
    </row>
    <row r="39" spans="1:11">
      <c r="A39" s="672">
        <f t="shared" si="0"/>
        <v>30</v>
      </c>
      <c r="D39" s="673"/>
      <c r="E39" s="673"/>
      <c r="F39" s="673"/>
      <c r="G39" s="673"/>
      <c r="H39" s="673"/>
      <c r="J39" s="673"/>
    </row>
    <row r="40" spans="1:11">
      <c r="A40" s="672">
        <f t="shared" si="0"/>
        <v>31</v>
      </c>
      <c r="B40" s="849" t="s">
        <v>785</v>
      </c>
      <c r="C40" s="849"/>
      <c r="D40" s="673">
        <f>SUM(D36,D38)</f>
        <v>22868254736.416828</v>
      </c>
      <c r="E40" s="673">
        <f>SUM(E36,E38)</f>
        <v>22769841690.718002</v>
      </c>
      <c r="F40" s="673">
        <f>SUM(F36,F38)</f>
        <v>-36834652.323246762</v>
      </c>
      <c r="G40" s="673">
        <f>SUM(G36,G38)</f>
        <v>4.4791638851165771E-2</v>
      </c>
      <c r="H40" s="673">
        <f>SUM(H36,H38)</f>
        <v>135247697.97728744</v>
      </c>
      <c r="J40" s="673">
        <f>SUM(J36,J38)</f>
        <v>23943509000</v>
      </c>
    </row>
    <row r="41" spans="1:11" ht="15.75" thickBot="1">
      <c r="A41" s="672">
        <f t="shared" si="0"/>
        <v>32</v>
      </c>
    </row>
    <row r="42" spans="1:11" ht="15.75" thickBot="1">
      <c r="A42" s="668">
        <f t="shared" si="0"/>
        <v>33</v>
      </c>
      <c r="B42" s="848" t="s">
        <v>784</v>
      </c>
      <c r="C42" s="848"/>
      <c r="D42" s="671">
        <f>+D40-D34</f>
        <v>20503307194.246826</v>
      </c>
      <c r="E42" s="667"/>
      <c r="F42" s="667"/>
      <c r="G42" s="667"/>
      <c r="H42" s="667"/>
      <c r="I42" s="671"/>
      <c r="J42" s="670">
        <f>+J40-J34</f>
        <v>21485116000</v>
      </c>
      <c r="K42" s="669">
        <f>+'Electric - Load'!P70*1000-J42</f>
        <v>0</v>
      </c>
    </row>
    <row r="43" spans="1:11" ht="15.75" thickBot="1">
      <c r="A43" s="668">
        <f t="shared" si="0"/>
        <v>34</v>
      </c>
      <c r="B43" s="667" t="s">
        <v>783</v>
      </c>
      <c r="C43" s="667"/>
      <c r="D43" s="667"/>
      <c r="E43" s="667"/>
      <c r="F43" s="667"/>
      <c r="G43" s="667"/>
      <c r="H43" s="667"/>
      <c r="I43" s="667"/>
      <c r="J43" s="666">
        <f>+D42/J42</f>
        <v>0.95430283896288137</v>
      </c>
    </row>
  </sheetData>
  <mergeCells count="12">
    <mergeCell ref="A1:I1"/>
    <mergeCell ref="A2:I2"/>
    <mergeCell ref="A3:I3"/>
    <mergeCell ref="A4:I4"/>
    <mergeCell ref="D6:H6"/>
    <mergeCell ref="B42:C42"/>
    <mergeCell ref="B12:C12"/>
    <mergeCell ref="B19:C19"/>
    <mergeCell ref="B24:C24"/>
    <mergeCell ref="B30:C30"/>
    <mergeCell ref="B36:C36"/>
    <mergeCell ref="B40:C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40" workbookViewId="0">
      <selection activeCell="A37" sqref="A37"/>
    </sheetView>
  </sheetViews>
  <sheetFormatPr defaultRowHeight="15"/>
  <cols>
    <col min="1" max="1" width="51.85546875" style="335" bestFit="1" customWidth="1"/>
    <col min="2" max="2" width="14.28515625" style="335" bestFit="1" customWidth="1"/>
    <col min="3" max="3" width="12.5703125" style="335" bestFit="1" customWidth="1"/>
    <col min="4" max="4" width="13.28515625" style="335" bestFit="1" customWidth="1"/>
    <col min="5" max="5" width="14.28515625" style="335" bestFit="1" customWidth="1"/>
    <col min="6" max="16384" width="9.140625" style="335"/>
  </cols>
  <sheetData>
    <row r="1" spans="1:10">
      <c r="A1" s="502" t="s">
        <v>578</v>
      </c>
    </row>
    <row r="2" spans="1:10">
      <c r="A2" s="502" t="s">
        <v>577</v>
      </c>
    </row>
    <row r="3" spans="1:10">
      <c r="A3" s="502" t="s">
        <v>576</v>
      </c>
    </row>
    <row r="4" spans="1:10">
      <c r="A4" s="502"/>
    </row>
    <row r="5" spans="1:10">
      <c r="A5" s="335" t="s">
        <v>575</v>
      </c>
      <c r="B5" s="335" t="s">
        <v>574</v>
      </c>
      <c r="C5" s="335" t="s">
        <v>573</v>
      </c>
      <c r="D5" s="335" t="s">
        <v>572</v>
      </c>
      <c r="E5" s="335" t="s">
        <v>571</v>
      </c>
    </row>
    <row r="6" spans="1:10">
      <c r="A6" s="335" t="s">
        <v>570</v>
      </c>
      <c r="B6" s="454">
        <v>19835651.18</v>
      </c>
      <c r="C6" s="454">
        <v>323117.56</v>
      </c>
      <c r="D6" s="454">
        <v>1833483.02</v>
      </c>
      <c r="E6" s="454">
        <v>17679050.600000001</v>
      </c>
      <c r="F6" s="454"/>
      <c r="G6" s="454"/>
      <c r="H6" s="454"/>
      <c r="I6" s="454"/>
      <c r="J6" s="454"/>
    </row>
    <row r="7" spans="1:10">
      <c r="A7" s="335" t="s">
        <v>569</v>
      </c>
      <c r="B7" s="454">
        <v>38834.230000000003</v>
      </c>
      <c r="C7" s="454">
        <v>0</v>
      </c>
      <c r="D7" s="454">
        <v>0</v>
      </c>
      <c r="E7" s="454">
        <v>38834.230000000003</v>
      </c>
      <c r="F7" s="454"/>
      <c r="G7" s="454"/>
      <c r="H7" s="454"/>
      <c r="I7" s="454"/>
      <c r="J7" s="454"/>
    </row>
    <row r="8" spans="1:10">
      <c r="A8" s="335" t="s">
        <v>568</v>
      </c>
      <c r="B8" s="454">
        <v>446665.22</v>
      </c>
      <c r="C8" s="454">
        <v>0</v>
      </c>
      <c r="D8" s="454">
        <v>0</v>
      </c>
      <c r="E8" s="454">
        <v>446665.22</v>
      </c>
      <c r="F8" s="454"/>
      <c r="G8" s="454"/>
      <c r="H8" s="454"/>
      <c r="I8" s="454"/>
      <c r="J8" s="454"/>
    </row>
    <row r="9" spans="1:10">
      <c r="A9" s="335" t="s">
        <v>567</v>
      </c>
      <c r="B9" s="454">
        <v>1331.38</v>
      </c>
      <c r="C9" s="454">
        <v>0</v>
      </c>
      <c r="D9" s="454">
        <v>0</v>
      </c>
      <c r="E9" s="454">
        <v>1331.38</v>
      </c>
      <c r="F9" s="454"/>
      <c r="G9" s="454"/>
      <c r="H9" s="454"/>
      <c r="I9" s="454"/>
      <c r="J9" s="454"/>
    </row>
    <row r="10" spans="1:10">
      <c r="A10" s="335" t="s">
        <v>566</v>
      </c>
      <c r="B10" s="454">
        <v>7549.62</v>
      </c>
      <c r="C10" s="454">
        <v>0</v>
      </c>
      <c r="D10" s="454">
        <v>0</v>
      </c>
      <c r="E10" s="454">
        <v>7549.62</v>
      </c>
      <c r="F10" s="454"/>
      <c r="G10" s="454"/>
      <c r="H10" s="454"/>
      <c r="I10" s="454"/>
      <c r="J10" s="454"/>
    </row>
    <row r="11" spans="1:10">
      <c r="A11" s="335" t="s">
        <v>565</v>
      </c>
      <c r="B11" s="454">
        <v>638.37</v>
      </c>
      <c r="C11" s="454">
        <v>31.19</v>
      </c>
      <c r="D11" s="454">
        <v>118.53</v>
      </c>
      <c r="E11" s="454">
        <v>488.65</v>
      </c>
      <c r="F11" s="454"/>
      <c r="G11" s="454"/>
      <c r="H11" s="454"/>
      <c r="I11" s="454"/>
      <c r="J11" s="454"/>
    </row>
    <row r="12" spans="1:10">
      <c r="A12" s="335" t="s">
        <v>564</v>
      </c>
      <c r="B12" s="454">
        <v>464.2</v>
      </c>
      <c r="C12" s="454">
        <v>22.73</v>
      </c>
      <c r="D12" s="454">
        <v>83.31</v>
      </c>
      <c r="E12" s="454">
        <v>358.16</v>
      </c>
      <c r="F12" s="454"/>
      <c r="G12" s="454"/>
      <c r="H12" s="454"/>
      <c r="I12" s="454"/>
      <c r="J12" s="454"/>
    </row>
    <row r="13" spans="1:10">
      <c r="A13" s="335" t="s">
        <v>563</v>
      </c>
      <c r="B13" s="454">
        <v>843.57</v>
      </c>
      <c r="C13" s="454">
        <v>41.86</v>
      </c>
      <c r="D13" s="454">
        <v>151.08000000000001</v>
      </c>
      <c r="E13" s="454">
        <v>650.63</v>
      </c>
      <c r="F13" s="454"/>
      <c r="G13" s="454"/>
      <c r="H13" s="454"/>
      <c r="I13" s="454"/>
      <c r="J13" s="454"/>
    </row>
    <row r="14" spans="1:10">
      <c r="A14" s="335" t="s">
        <v>562</v>
      </c>
      <c r="B14" s="454">
        <v>13492.98</v>
      </c>
      <c r="C14" s="454">
        <v>579.91</v>
      </c>
      <c r="D14" s="454">
        <v>2142.9</v>
      </c>
      <c r="E14" s="454">
        <v>10770.17</v>
      </c>
      <c r="F14" s="454"/>
      <c r="G14" s="454"/>
      <c r="H14" s="454"/>
      <c r="I14" s="454"/>
      <c r="J14" s="454"/>
    </row>
    <row r="15" spans="1:10">
      <c r="A15" s="335" t="s">
        <v>561</v>
      </c>
      <c r="B15" s="454">
        <v>863.19</v>
      </c>
      <c r="C15" s="454">
        <v>37.619999999999997</v>
      </c>
      <c r="D15" s="454">
        <v>166.76</v>
      </c>
      <c r="E15" s="454">
        <v>658.81</v>
      </c>
      <c r="F15" s="454"/>
      <c r="G15" s="454"/>
      <c r="H15" s="454"/>
      <c r="I15" s="454"/>
      <c r="J15" s="454"/>
    </row>
    <row r="16" spans="1:10">
      <c r="A16" s="335" t="s">
        <v>560</v>
      </c>
      <c r="B16" s="454">
        <v>48.85</v>
      </c>
      <c r="C16" s="454">
        <v>2.62</v>
      </c>
      <c r="D16" s="454">
        <v>8.8699999999999992</v>
      </c>
      <c r="E16" s="454">
        <v>37.36</v>
      </c>
      <c r="F16" s="454"/>
      <c r="G16" s="454"/>
      <c r="H16" s="454"/>
      <c r="I16" s="454"/>
      <c r="J16" s="454"/>
    </row>
    <row r="17" spans="1:10">
      <c r="A17" s="335" t="s">
        <v>559</v>
      </c>
      <c r="B17" s="454">
        <v>0</v>
      </c>
      <c r="C17" s="454">
        <v>0</v>
      </c>
      <c r="D17" s="454">
        <v>0</v>
      </c>
      <c r="E17" s="454">
        <v>0</v>
      </c>
      <c r="F17" s="454"/>
      <c r="G17" s="454"/>
      <c r="H17" s="454"/>
      <c r="I17" s="454"/>
      <c r="J17" s="454"/>
    </row>
    <row r="18" spans="1:10">
      <c r="A18" s="335" t="s">
        <v>558</v>
      </c>
      <c r="B18" s="454">
        <v>0</v>
      </c>
      <c r="C18" s="454">
        <v>0</v>
      </c>
      <c r="D18" s="454">
        <v>0</v>
      </c>
      <c r="E18" s="454">
        <v>0</v>
      </c>
      <c r="F18" s="454"/>
      <c r="G18" s="454"/>
      <c r="H18" s="454"/>
      <c r="I18" s="454"/>
      <c r="J18" s="454"/>
    </row>
    <row r="19" spans="1:10">
      <c r="A19" s="335" t="s">
        <v>557</v>
      </c>
      <c r="B19" s="454">
        <v>0</v>
      </c>
      <c r="C19" s="454">
        <v>0</v>
      </c>
      <c r="D19" s="454">
        <v>0</v>
      </c>
      <c r="E19" s="454">
        <v>0</v>
      </c>
      <c r="F19" s="454"/>
      <c r="G19" s="454"/>
      <c r="H19" s="454"/>
      <c r="I19" s="454"/>
      <c r="J19" s="454"/>
    </row>
    <row r="20" spans="1:10">
      <c r="A20" s="335" t="s">
        <v>556</v>
      </c>
      <c r="B20" s="454">
        <v>0</v>
      </c>
      <c r="C20" s="454">
        <v>0</v>
      </c>
      <c r="D20" s="454">
        <v>0</v>
      </c>
      <c r="E20" s="454">
        <v>0</v>
      </c>
      <c r="F20" s="454"/>
      <c r="G20" s="454"/>
      <c r="H20" s="454"/>
      <c r="I20" s="454"/>
      <c r="J20" s="454"/>
    </row>
    <row r="21" spans="1:10">
      <c r="A21" s="335" t="s">
        <v>555</v>
      </c>
      <c r="B21" s="454">
        <v>222614.04</v>
      </c>
      <c r="C21" s="454">
        <v>11324.4</v>
      </c>
      <c r="D21" s="454">
        <v>42056.24</v>
      </c>
      <c r="E21" s="454">
        <v>169233.4</v>
      </c>
      <c r="F21" s="454"/>
      <c r="G21" s="454"/>
      <c r="H21" s="454"/>
      <c r="I21" s="454"/>
      <c r="J21" s="454"/>
    </row>
    <row r="22" spans="1:10">
      <c r="A22" s="335" t="s">
        <v>554</v>
      </c>
      <c r="B22" s="454">
        <v>1385</v>
      </c>
      <c r="C22" s="454">
        <v>0</v>
      </c>
      <c r="D22" s="454">
        <v>0</v>
      </c>
      <c r="E22" s="454">
        <v>1385</v>
      </c>
      <c r="F22" s="454"/>
      <c r="G22" s="454"/>
      <c r="H22" s="454"/>
      <c r="I22" s="454"/>
      <c r="J22" s="454"/>
    </row>
    <row r="23" spans="1:10">
      <c r="A23" s="335" t="s">
        <v>553</v>
      </c>
      <c r="B23" s="454">
        <v>272445.65000000002</v>
      </c>
      <c r="C23" s="454">
        <v>0</v>
      </c>
      <c r="D23" s="454">
        <v>0</v>
      </c>
      <c r="E23" s="454">
        <v>272445.65000000002</v>
      </c>
      <c r="F23" s="454"/>
      <c r="G23" s="454"/>
      <c r="H23" s="454"/>
      <c r="I23" s="454"/>
      <c r="J23" s="454"/>
    </row>
    <row r="24" spans="1:10">
      <c r="A24" s="335" t="s">
        <v>552</v>
      </c>
      <c r="B24" s="454">
        <v>4478.37</v>
      </c>
      <c r="C24" s="454">
        <v>0</v>
      </c>
      <c r="D24" s="454">
        <v>0</v>
      </c>
      <c r="E24" s="454">
        <v>4478.37</v>
      </c>
      <c r="F24" s="454"/>
      <c r="G24" s="454"/>
      <c r="H24" s="454"/>
      <c r="I24" s="454"/>
      <c r="J24" s="454"/>
    </row>
    <row r="25" spans="1:10">
      <c r="A25" s="335" t="s">
        <v>551</v>
      </c>
      <c r="B25" s="454">
        <v>1430</v>
      </c>
      <c r="C25" s="454">
        <v>0</v>
      </c>
      <c r="D25" s="454">
        <v>0</v>
      </c>
      <c r="E25" s="454">
        <v>1430</v>
      </c>
      <c r="F25" s="454"/>
      <c r="G25" s="454"/>
      <c r="H25" s="454"/>
      <c r="I25" s="454"/>
      <c r="J25" s="454"/>
    </row>
    <row r="26" spans="1:10">
      <c r="A26" s="335" t="s">
        <v>20</v>
      </c>
      <c r="B26" s="454">
        <v>0</v>
      </c>
      <c r="C26" s="454">
        <v>0</v>
      </c>
      <c r="D26" s="454">
        <v>0</v>
      </c>
      <c r="E26" s="454">
        <v>0</v>
      </c>
      <c r="F26" s="454"/>
      <c r="G26" s="454"/>
      <c r="H26" s="454"/>
      <c r="I26" s="454"/>
      <c r="J26" s="454"/>
    </row>
    <row r="27" spans="1:10">
      <c r="A27" s="335" t="s">
        <v>21</v>
      </c>
      <c r="B27" s="454">
        <v>0</v>
      </c>
      <c r="C27" s="454">
        <v>0</v>
      </c>
      <c r="D27" s="454">
        <v>0</v>
      </c>
      <c r="E27" s="454">
        <v>0</v>
      </c>
      <c r="F27" s="454"/>
      <c r="G27" s="454"/>
      <c r="H27" s="454"/>
      <c r="I27" s="454"/>
      <c r="J27" s="454"/>
    </row>
    <row r="28" spans="1:10">
      <c r="A28" s="335" t="s">
        <v>22</v>
      </c>
      <c r="B28" s="454">
        <v>0</v>
      </c>
      <c r="C28" s="454">
        <v>0</v>
      </c>
      <c r="D28" s="454">
        <v>0</v>
      </c>
      <c r="E28" s="454">
        <v>0</v>
      </c>
      <c r="F28" s="454"/>
      <c r="G28" s="454"/>
      <c r="H28" s="454"/>
      <c r="I28" s="454"/>
      <c r="J28" s="454"/>
    </row>
    <row r="29" spans="1:10">
      <c r="A29" s="335" t="s">
        <v>23</v>
      </c>
      <c r="B29" s="454">
        <v>2299165.2999999998</v>
      </c>
      <c r="C29" s="454">
        <v>0</v>
      </c>
      <c r="D29" s="454">
        <v>0</v>
      </c>
      <c r="E29" s="454">
        <v>2299165.2999999998</v>
      </c>
      <c r="F29" s="454"/>
      <c r="G29" s="454"/>
      <c r="H29" s="454"/>
      <c r="I29" s="454"/>
      <c r="J29" s="454"/>
    </row>
    <row r="30" spans="1:10">
      <c r="A30" s="335" t="s">
        <v>24</v>
      </c>
      <c r="B30" s="454">
        <v>2115079.58</v>
      </c>
      <c r="C30" s="454">
        <v>0</v>
      </c>
      <c r="D30" s="454">
        <v>0</v>
      </c>
      <c r="E30" s="454">
        <v>2115079.58</v>
      </c>
      <c r="F30" s="454"/>
      <c r="G30" s="454"/>
      <c r="H30" s="454"/>
      <c r="I30" s="454"/>
      <c r="J30" s="454"/>
    </row>
    <row r="31" spans="1:10">
      <c r="A31" s="335" t="s">
        <v>25</v>
      </c>
      <c r="B31" s="454">
        <v>285927.48</v>
      </c>
      <c r="C31" s="454">
        <v>0</v>
      </c>
      <c r="D31" s="454">
        <v>0</v>
      </c>
      <c r="E31" s="454">
        <v>285927.48</v>
      </c>
      <c r="F31" s="454"/>
      <c r="G31" s="454"/>
      <c r="H31" s="454"/>
      <c r="I31" s="454"/>
      <c r="J31" s="454"/>
    </row>
    <row r="32" spans="1:10">
      <c r="A32" s="335" t="s">
        <v>550</v>
      </c>
      <c r="B32" s="454">
        <v>17872.75</v>
      </c>
      <c r="C32" s="454">
        <v>796.74</v>
      </c>
      <c r="D32" s="454">
        <v>2982.04</v>
      </c>
      <c r="E32" s="454">
        <v>14093.97</v>
      </c>
      <c r="F32" s="454"/>
      <c r="G32" s="454"/>
      <c r="H32" s="454"/>
      <c r="I32" s="454"/>
      <c r="J32" s="454"/>
    </row>
    <row r="33" spans="1:10">
      <c r="A33" s="335" t="s">
        <v>549</v>
      </c>
      <c r="B33" s="454">
        <v>691603.13</v>
      </c>
      <c r="C33" s="454">
        <v>29906.39</v>
      </c>
      <c r="D33" s="454">
        <v>116488.13</v>
      </c>
      <c r="E33" s="454">
        <v>545208.61</v>
      </c>
      <c r="F33" s="454"/>
      <c r="G33" s="454"/>
      <c r="H33" s="454"/>
      <c r="I33" s="454"/>
      <c r="J33" s="454"/>
    </row>
    <row r="34" spans="1:10">
      <c r="A34" s="335" t="s">
        <v>548</v>
      </c>
      <c r="B34" s="454">
        <v>706326.54</v>
      </c>
      <c r="C34" s="454">
        <v>31756.18</v>
      </c>
      <c r="D34" s="454">
        <v>122301.71</v>
      </c>
      <c r="E34" s="454">
        <v>552268.65</v>
      </c>
      <c r="F34" s="454"/>
      <c r="G34" s="454"/>
      <c r="H34" s="454"/>
      <c r="I34" s="454"/>
      <c r="J34" s="454"/>
    </row>
    <row r="35" spans="1:10">
      <c r="A35" s="335" t="s">
        <v>547</v>
      </c>
      <c r="B35" s="454">
        <v>1916.17</v>
      </c>
      <c r="C35" s="454">
        <v>102.67</v>
      </c>
      <c r="D35" s="454">
        <v>348</v>
      </c>
      <c r="E35" s="454">
        <v>1465.5</v>
      </c>
      <c r="F35" s="454"/>
      <c r="G35" s="454"/>
      <c r="H35" s="454"/>
      <c r="I35" s="454"/>
      <c r="J35" s="454"/>
    </row>
    <row r="36" spans="1:10">
      <c r="A36" s="335" t="s">
        <v>546</v>
      </c>
      <c r="B36" s="454">
        <v>524481.32999999996</v>
      </c>
      <c r="C36" s="454">
        <v>0</v>
      </c>
      <c r="D36" s="454">
        <v>0</v>
      </c>
      <c r="E36" s="454">
        <v>524481.32999999996</v>
      </c>
      <c r="F36" s="454"/>
      <c r="G36" s="454"/>
      <c r="H36" s="454"/>
      <c r="I36" s="454"/>
      <c r="J36" s="454"/>
    </row>
    <row r="37" spans="1:10">
      <c r="A37" s="335" t="s">
        <v>545</v>
      </c>
      <c r="B37" s="454">
        <v>165.07</v>
      </c>
      <c r="C37" s="454">
        <v>6.93</v>
      </c>
      <c r="D37" s="454">
        <v>35.119999999999997</v>
      </c>
      <c r="E37" s="454">
        <v>123.02</v>
      </c>
      <c r="F37" s="454"/>
      <c r="G37" s="454"/>
      <c r="H37" s="454"/>
      <c r="I37" s="454"/>
      <c r="J37" s="454"/>
    </row>
    <row r="38" spans="1:10">
      <c r="A38" s="335" t="s">
        <v>544</v>
      </c>
      <c r="B38" s="454">
        <v>6500.36</v>
      </c>
      <c r="C38" s="454">
        <v>68.44</v>
      </c>
      <c r="D38" s="454">
        <v>248.11</v>
      </c>
      <c r="E38" s="454">
        <v>6183.81</v>
      </c>
      <c r="F38" s="454"/>
      <c r="G38" s="454"/>
      <c r="H38" s="454"/>
      <c r="I38" s="454"/>
      <c r="J38" s="454"/>
    </row>
    <row r="39" spans="1:10">
      <c r="A39" s="335" t="s">
        <v>543</v>
      </c>
      <c r="B39" s="454">
        <v>1150.53</v>
      </c>
      <c r="C39" s="454">
        <v>57.32</v>
      </c>
      <c r="D39" s="454">
        <v>222.12</v>
      </c>
      <c r="E39" s="454">
        <v>871.09</v>
      </c>
      <c r="F39" s="454"/>
      <c r="G39" s="454"/>
      <c r="H39" s="454"/>
      <c r="I39" s="454"/>
      <c r="J39" s="454"/>
    </row>
    <row r="40" spans="1:10">
      <c r="A40" s="335" t="s">
        <v>542</v>
      </c>
      <c r="B40" s="454">
        <v>593279.04</v>
      </c>
      <c r="C40" s="454">
        <v>190.18</v>
      </c>
      <c r="D40" s="454">
        <v>697.57</v>
      </c>
      <c r="E40" s="454">
        <v>592391.29</v>
      </c>
      <c r="F40" s="454"/>
      <c r="G40" s="454"/>
      <c r="H40" s="454"/>
      <c r="I40" s="454"/>
      <c r="J40" s="454"/>
    </row>
    <row r="41" spans="1:10">
      <c r="A41" s="335" t="s">
        <v>541</v>
      </c>
      <c r="B41" s="454">
        <v>330.89</v>
      </c>
      <c r="C41" s="454">
        <v>18.03</v>
      </c>
      <c r="D41" s="454">
        <v>61.13</v>
      </c>
      <c r="E41" s="454">
        <v>251.73</v>
      </c>
      <c r="F41" s="454"/>
      <c r="G41" s="454"/>
      <c r="H41" s="454"/>
      <c r="I41" s="454"/>
      <c r="J41" s="454"/>
    </row>
    <row r="42" spans="1:10">
      <c r="A42" s="335" t="s">
        <v>540</v>
      </c>
      <c r="B42" s="454">
        <v>50637.97</v>
      </c>
      <c r="C42" s="454">
        <v>2146.42</v>
      </c>
      <c r="D42" s="454">
        <v>8159.71</v>
      </c>
      <c r="E42" s="454">
        <v>40331.839999999997</v>
      </c>
      <c r="F42" s="454"/>
      <c r="G42" s="454"/>
      <c r="H42" s="454"/>
      <c r="I42" s="454"/>
      <c r="J42" s="454"/>
    </row>
    <row r="43" spans="1:10">
      <c r="A43" s="335" t="s">
        <v>539</v>
      </c>
      <c r="B43" s="454">
        <v>5428.75</v>
      </c>
      <c r="C43" s="454">
        <v>286.94</v>
      </c>
      <c r="D43" s="454">
        <v>1013.93</v>
      </c>
      <c r="E43" s="454">
        <v>4127.88</v>
      </c>
      <c r="F43" s="454"/>
      <c r="G43" s="454"/>
      <c r="H43" s="454"/>
      <c r="I43" s="454"/>
      <c r="J43" s="454"/>
    </row>
    <row r="44" spans="1:10">
      <c r="A44" s="335" t="s">
        <v>538</v>
      </c>
      <c r="B44" s="454">
        <v>166.49</v>
      </c>
      <c r="C44" s="454">
        <v>6.93</v>
      </c>
      <c r="D44" s="454">
        <v>35.119999999999997</v>
      </c>
      <c r="E44" s="454">
        <v>124.44</v>
      </c>
      <c r="F44" s="454"/>
      <c r="G44" s="454"/>
      <c r="H44" s="454"/>
      <c r="I44" s="454"/>
      <c r="J44" s="454"/>
    </row>
    <row r="45" spans="1:10">
      <c r="A45" s="335" t="s">
        <v>537</v>
      </c>
      <c r="B45" s="454">
        <v>7392.7</v>
      </c>
      <c r="C45" s="454">
        <v>0</v>
      </c>
      <c r="D45" s="454">
        <v>0</v>
      </c>
      <c r="E45" s="454">
        <v>7392.7</v>
      </c>
      <c r="F45" s="454"/>
      <c r="G45" s="454"/>
      <c r="H45" s="454"/>
      <c r="I45" s="454"/>
      <c r="J45" s="454"/>
    </row>
    <row r="46" spans="1:10">
      <c r="A46" s="335" t="s">
        <v>536</v>
      </c>
      <c r="B46" s="454">
        <v>1459363.53</v>
      </c>
      <c r="C46" s="454">
        <v>0</v>
      </c>
      <c r="D46" s="454">
        <v>0</v>
      </c>
      <c r="E46" s="454">
        <v>1459363.53</v>
      </c>
      <c r="F46" s="454"/>
      <c r="G46" s="454"/>
      <c r="H46" s="454"/>
      <c r="I46" s="454"/>
      <c r="J46" s="454"/>
    </row>
    <row r="47" spans="1:10">
      <c r="A47" s="335" t="s">
        <v>535</v>
      </c>
      <c r="B47" s="454">
        <v>-166409.96</v>
      </c>
      <c r="C47" s="454">
        <v>-166409.96</v>
      </c>
      <c r="D47" s="454">
        <v>0</v>
      </c>
      <c r="E47" s="454">
        <v>0</v>
      </c>
      <c r="F47" s="454"/>
      <c r="G47" s="454"/>
      <c r="H47" s="454"/>
      <c r="I47" s="454"/>
      <c r="J47" s="454"/>
    </row>
    <row r="48" spans="1:10">
      <c r="A48" s="335" t="s">
        <v>534</v>
      </c>
      <c r="B48" s="454">
        <v>8171.76</v>
      </c>
      <c r="C48" s="454">
        <v>372.83</v>
      </c>
      <c r="D48" s="454">
        <v>1644.36</v>
      </c>
      <c r="E48" s="454">
        <v>6154.57</v>
      </c>
      <c r="F48" s="454"/>
      <c r="G48" s="454"/>
      <c r="H48" s="454"/>
      <c r="I48" s="454"/>
      <c r="J48" s="454"/>
    </row>
    <row r="49" spans="1:10">
      <c r="A49" s="335" t="s">
        <v>533</v>
      </c>
      <c r="B49" s="454">
        <v>32796.58</v>
      </c>
      <c r="C49" s="454">
        <v>1674.08</v>
      </c>
      <c r="D49" s="454">
        <v>6182.9</v>
      </c>
      <c r="E49" s="454">
        <v>24939.599999999999</v>
      </c>
      <c r="F49" s="454"/>
      <c r="G49" s="454"/>
      <c r="H49" s="454"/>
      <c r="I49" s="454"/>
      <c r="J49" s="454"/>
    </row>
    <row r="50" spans="1:10">
      <c r="A50" s="335" t="s">
        <v>532</v>
      </c>
      <c r="B50" s="454">
        <v>40493.26</v>
      </c>
      <c r="C50" s="454">
        <v>2069.8200000000002</v>
      </c>
      <c r="D50" s="454">
        <v>7636.89</v>
      </c>
      <c r="E50" s="454">
        <v>30786.55</v>
      </c>
      <c r="F50" s="454"/>
      <c r="G50" s="454"/>
      <c r="H50" s="454"/>
      <c r="I50" s="454"/>
      <c r="J50" s="454"/>
    </row>
    <row r="51" spans="1:10">
      <c r="A51" s="335" t="s">
        <v>531</v>
      </c>
      <c r="B51" s="454">
        <v>53500</v>
      </c>
      <c r="C51" s="454">
        <v>0</v>
      </c>
      <c r="D51" s="454">
        <v>0</v>
      </c>
      <c r="E51" s="454">
        <v>53500</v>
      </c>
      <c r="F51" s="454"/>
      <c r="G51" s="454"/>
      <c r="H51" s="454"/>
      <c r="I51" s="454"/>
      <c r="J51" s="454"/>
    </row>
    <row r="52" spans="1:10">
      <c r="A52" s="335" t="s">
        <v>530</v>
      </c>
      <c r="B52" s="454">
        <v>281151.59000000003</v>
      </c>
      <c r="C52" s="454">
        <v>13729.75</v>
      </c>
      <c r="D52" s="454">
        <v>51002.75</v>
      </c>
      <c r="E52" s="454">
        <v>216419.09</v>
      </c>
      <c r="F52" s="454"/>
      <c r="G52" s="454"/>
      <c r="H52" s="454"/>
      <c r="I52" s="454"/>
      <c r="J52" s="454"/>
    </row>
    <row r="53" spans="1:10">
      <c r="A53" s="335" t="s">
        <v>529</v>
      </c>
      <c r="B53" s="454">
        <v>48065.64</v>
      </c>
      <c r="C53" s="454">
        <v>1043.58</v>
      </c>
      <c r="D53" s="454">
        <v>3537.19</v>
      </c>
      <c r="E53" s="454">
        <v>43484.87</v>
      </c>
      <c r="F53" s="454"/>
      <c r="G53" s="454"/>
      <c r="H53" s="454"/>
      <c r="I53" s="454"/>
      <c r="J53" s="454"/>
    </row>
    <row r="54" spans="1:10">
      <c r="A54" s="335" t="s">
        <v>528</v>
      </c>
      <c r="B54" s="454">
        <v>3183849.03</v>
      </c>
      <c r="C54" s="454">
        <v>125739.13</v>
      </c>
      <c r="D54" s="454">
        <v>468303.06</v>
      </c>
      <c r="E54" s="454">
        <v>2589806.84</v>
      </c>
      <c r="F54" s="454"/>
      <c r="G54" s="454"/>
      <c r="H54" s="454"/>
      <c r="I54" s="454"/>
      <c r="J54" s="454"/>
    </row>
    <row r="55" spans="1:10">
      <c r="A55" s="335" t="s">
        <v>527</v>
      </c>
      <c r="B55" s="454">
        <v>590788.92000000004</v>
      </c>
      <c r="C55" s="454">
        <v>27276.93</v>
      </c>
      <c r="D55" s="454">
        <v>102480.6</v>
      </c>
      <c r="E55" s="454">
        <v>461031.39</v>
      </c>
      <c r="F55" s="454"/>
      <c r="G55" s="454"/>
      <c r="H55" s="454"/>
      <c r="I55" s="454"/>
      <c r="J55" s="454"/>
    </row>
    <row r="56" spans="1:10">
      <c r="A56" s="335" t="s">
        <v>526</v>
      </c>
      <c r="B56" s="454">
        <v>1001625.28</v>
      </c>
      <c r="C56" s="454">
        <v>46959.21</v>
      </c>
      <c r="D56" s="454">
        <v>170848.22</v>
      </c>
      <c r="E56" s="454">
        <v>783817.85</v>
      </c>
      <c r="F56" s="454"/>
      <c r="G56" s="454"/>
      <c r="H56" s="454"/>
      <c r="I56" s="454"/>
      <c r="J56" s="454"/>
    </row>
    <row r="57" spans="1:10">
      <c r="A57" s="335" t="s">
        <v>525</v>
      </c>
      <c r="B57" s="454">
        <v>587607.65</v>
      </c>
      <c r="C57" s="454">
        <v>28388.22</v>
      </c>
      <c r="D57" s="454">
        <v>106551.49</v>
      </c>
      <c r="E57" s="454">
        <v>452667.94</v>
      </c>
      <c r="F57" s="454"/>
      <c r="G57" s="454"/>
      <c r="H57" s="454"/>
      <c r="I57" s="454"/>
      <c r="J57" s="454"/>
    </row>
    <row r="58" spans="1:10">
      <c r="A58" s="335" t="s">
        <v>524</v>
      </c>
      <c r="B58" s="454">
        <v>131745.95000000001</v>
      </c>
      <c r="C58" s="454">
        <v>6815.58</v>
      </c>
      <c r="D58" s="454">
        <v>24817.84</v>
      </c>
      <c r="E58" s="454">
        <v>100112.53</v>
      </c>
      <c r="F58" s="454"/>
      <c r="G58" s="454"/>
      <c r="H58" s="454"/>
      <c r="I58" s="454"/>
      <c r="J58" s="454"/>
    </row>
    <row r="59" spans="1:10">
      <c r="A59" s="335" t="s">
        <v>523</v>
      </c>
      <c r="B59" s="454">
        <v>1268020.27</v>
      </c>
      <c r="C59" s="454">
        <v>51896.65</v>
      </c>
      <c r="D59" s="454">
        <v>196929.78</v>
      </c>
      <c r="E59" s="454">
        <v>1019193.84</v>
      </c>
      <c r="F59" s="454"/>
      <c r="G59" s="454"/>
      <c r="H59" s="454"/>
      <c r="I59" s="454"/>
      <c r="J59" s="454"/>
    </row>
    <row r="60" spans="1:10">
      <c r="A60" s="335" t="s">
        <v>522</v>
      </c>
      <c r="B60" s="454">
        <v>135464.51</v>
      </c>
      <c r="C60" s="454">
        <v>5439.74</v>
      </c>
      <c r="D60" s="454">
        <v>20628.43</v>
      </c>
      <c r="E60" s="454">
        <v>109396.34</v>
      </c>
      <c r="F60" s="454"/>
      <c r="G60" s="454"/>
      <c r="H60" s="454"/>
      <c r="I60" s="454"/>
      <c r="J60" s="454"/>
    </row>
    <row r="61" spans="1:10">
      <c r="A61" s="335" t="s">
        <v>521</v>
      </c>
      <c r="B61" s="454">
        <v>26963.01</v>
      </c>
      <c r="C61" s="454">
        <v>1368.84</v>
      </c>
      <c r="D61" s="454">
        <v>5093.99</v>
      </c>
      <c r="E61" s="454">
        <v>20500.18</v>
      </c>
      <c r="F61" s="454"/>
      <c r="G61" s="454"/>
      <c r="H61" s="454"/>
      <c r="I61" s="454"/>
      <c r="J61" s="454"/>
    </row>
    <row r="62" spans="1:10">
      <c r="A62" s="335" t="s">
        <v>520</v>
      </c>
      <c r="B62" s="454">
        <v>1156703.05</v>
      </c>
      <c r="C62" s="454">
        <v>54073.36</v>
      </c>
      <c r="D62" s="454">
        <v>202071.43</v>
      </c>
      <c r="E62" s="454">
        <v>900558.26</v>
      </c>
      <c r="F62" s="454"/>
      <c r="G62" s="454"/>
      <c r="H62" s="454"/>
      <c r="I62" s="454"/>
      <c r="J62" s="454"/>
    </row>
    <row r="63" spans="1:10">
      <c r="A63" s="335" t="s">
        <v>519</v>
      </c>
      <c r="B63" s="454">
        <v>243891.42</v>
      </c>
      <c r="C63" s="454">
        <v>11381.6</v>
      </c>
      <c r="D63" s="454">
        <v>42267.48</v>
      </c>
      <c r="E63" s="454">
        <v>190242.34</v>
      </c>
      <c r="F63" s="454"/>
      <c r="G63" s="454"/>
      <c r="H63" s="454"/>
      <c r="I63" s="454"/>
      <c r="J63" s="454"/>
    </row>
    <row r="64" spans="1:10">
      <c r="A64" s="335" t="s">
        <v>518</v>
      </c>
      <c r="B64" s="454">
        <v>1431350.94</v>
      </c>
      <c r="C64" s="454">
        <v>33914.699999999997</v>
      </c>
      <c r="D64" s="454">
        <v>126166.23</v>
      </c>
      <c r="E64" s="454">
        <v>1271270.01</v>
      </c>
      <c r="F64" s="454"/>
      <c r="G64" s="454"/>
      <c r="H64" s="454"/>
      <c r="I64" s="454"/>
      <c r="J64" s="454"/>
    </row>
    <row r="65" spans="2:10">
      <c r="B65" s="454"/>
      <c r="C65" s="454"/>
      <c r="D65" s="454"/>
      <c r="E65" s="454"/>
      <c r="F65" s="454"/>
      <c r="G65" s="454"/>
      <c r="H65" s="454"/>
      <c r="I65" s="454"/>
      <c r="J65" s="454"/>
    </row>
    <row r="66" spans="2:10">
      <c r="B66" s="454"/>
      <c r="C66" s="454"/>
      <c r="D66" s="454"/>
      <c r="E66" s="454"/>
      <c r="F66" s="454"/>
      <c r="G66" s="454"/>
      <c r="H66" s="454"/>
      <c r="I66" s="454"/>
      <c r="J66" s="4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6" workbookViewId="0">
      <selection activeCell="C6" sqref="C6"/>
    </sheetView>
  </sheetViews>
  <sheetFormatPr defaultRowHeight="15"/>
  <cols>
    <col min="1" max="1" width="30.42578125" style="335" bestFit="1" customWidth="1"/>
    <col min="2" max="2" width="15.28515625" style="335" bestFit="1" customWidth="1"/>
    <col min="3" max="4" width="13.28515625" style="335" bestFit="1" customWidth="1"/>
    <col min="5" max="5" width="15.28515625" style="335" bestFit="1" customWidth="1"/>
    <col min="6" max="16384" width="9.140625" style="335"/>
  </cols>
  <sheetData>
    <row r="1" spans="1:5">
      <c r="A1" s="335" t="s">
        <v>578</v>
      </c>
    </row>
    <row r="2" spans="1:5">
      <c r="A2" s="335" t="s">
        <v>613</v>
      </c>
    </row>
    <row r="3" spans="1:5">
      <c r="A3" s="335" t="s">
        <v>576</v>
      </c>
    </row>
    <row r="5" spans="1:5">
      <c r="A5" s="335" t="s">
        <v>575</v>
      </c>
      <c r="B5" s="335" t="s">
        <v>574</v>
      </c>
      <c r="C5" s="335" t="s">
        <v>573</v>
      </c>
      <c r="D5" s="335" t="s">
        <v>572</v>
      </c>
      <c r="E5" s="335" t="s">
        <v>571</v>
      </c>
    </row>
    <row r="6" spans="1:5">
      <c r="A6" s="335" t="s">
        <v>570</v>
      </c>
      <c r="B6" s="522">
        <v>134930404.47</v>
      </c>
      <c r="C6" s="522">
        <v>1619460.36</v>
      </c>
      <c r="D6" s="522">
        <v>6141737.9100000001</v>
      </c>
      <c r="E6" s="522">
        <v>127169206.2</v>
      </c>
    </row>
    <row r="7" spans="1:5">
      <c r="A7" s="335" t="s">
        <v>612</v>
      </c>
      <c r="B7" s="522">
        <v>23995727.510000002</v>
      </c>
      <c r="C7" s="522">
        <v>15013.04</v>
      </c>
      <c r="D7" s="522">
        <v>55954.7</v>
      </c>
      <c r="E7" s="522">
        <v>23924759.77</v>
      </c>
    </row>
    <row r="8" spans="1:5">
      <c r="A8" s="335" t="s">
        <v>611</v>
      </c>
      <c r="B8" s="522">
        <v>1739617.28</v>
      </c>
      <c r="C8" s="522">
        <v>7342.76</v>
      </c>
      <c r="D8" s="522">
        <v>26814.59</v>
      </c>
      <c r="E8" s="522">
        <v>1705459.93</v>
      </c>
    </row>
    <row r="9" spans="1:5">
      <c r="A9" s="335" t="s">
        <v>610</v>
      </c>
      <c r="B9" s="522">
        <v>9076179.1699999999</v>
      </c>
      <c r="C9" s="522">
        <v>75.239999999999995</v>
      </c>
      <c r="D9" s="522">
        <v>255.01</v>
      </c>
      <c r="E9" s="522">
        <v>9075848.9199999999</v>
      </c>
    </row>
    <row r="10" spans="1:5">
      <c r="A10" s="335" t="s">
        <v>609</v>
      </c>
      <c r="B10" s="522">
        <v>1790938.53</v>
      </c>
      <c r="C10" s="522">
        <v>0</v>
      </c>
      <c r="D10" s="522">
        <v>0</v>
      </c>
      <c r="E10" s="522">
        <v>1790938.53</v>
      </c>
    </row>
    <row r="11" spans="1:5">
      <c r="A11" s="335" t="s">
        <v>608</v>
      </c>
      <c r="B11" s="522">
        <v>11317878.970000001</v>
      </c>
      <c r="C11" s="522">
        <v>7595.04</v>
      </c>
      <c r="D11" s="522">
        <v>28885.1</v>
      </c>
      <c r="E11" s="522">
        <v>11281398.83</v>
      </c>
    </row>
    <row r="12" spans="1:5">
      <c r="A12" s="335" t="s">
        <v>607</v>
      </c>
      <c r="B12" s="522">
        <v>71113.56</v>
      </c>
      <c r="C12" s="522">
        <v>0</v>
      </c>
      <c r="D12" s="522">
        <v>0</v>
      </c>
      <c r="E12" s="522">
        <v>71113.56</v>
      </c>
    </row>
    <row r="13" spans="1:5">
      <c r="A13" s="335" t="s">
        <v>606</v>
      </c>
      <c r="B13" s="522">
        <v>30386948.16</v>
      </c>
      <c r="C13" s="522">
        <v>67334.92</v>
      </c>
      <c r="D13" s="522">
        <v>244332.47</v>
      </c>
      <c r="E13" s="522">
        <v>30075280.77</v>
      </c>
    </row>
    <row r="14" spans="1:5">
      <c r="A14" s="335" t="s">
        <v>605</v>
      </c>
      <c r="B14" s="522">
        <v>1708414.89</v>
      </c>
      <c r="C14" s="522">
        <v>0</v>
      </c>
      <c r="D14" s="522">
        <v>0</v>
      </c>
      <c r="E14" s="522">
        <v>1708414.89</v>
      </c>
    </row>
    <row r="15" spans="1:5">
      <c r="A15" s="335" t="s">
        <v>604</v>
      </c>
      <c r="B15" s="522">
        <v>1814748.97</v>
      </c>
      <c r="C15" s="522">
        <v>6019.14</v>
      </c>
      <c r="D15" s="522">
        <v>22290.66</v>
      </c>
      <c r="E15" s="522">
        <v>1786439.17</v>
      </c>
    </row>
    <row r="16" spans="1:5">
      <c r="A16" s="335" t="s">
        <v>603</v>
      </c>
      <c r="B16" s="522">
        <v>13921282.09</v>
      </c>
      <c r="C16" s="522">
        <v>28193.64</v>
      </c>
      <c r="D16" s="522">
        <v>100825.57</v>
      </c>
      <c r="E16" s="522">
        <v>13792262.880000001</v>
      </c>
    </row>
    <row r="17" spans="1:5">
      <c r="A17" s="335" t="s">
        <v>602</v>
      </c>
      <c r="B17" s="522">
        <v>9283576</v>
      </c>
      <c r="C17" s="522">
        <v>28312.81</v>
      </c>
      <c r="D17" s="522">
        <v>103862.55</v>
      </c>
      <c r="E17" s="522">
        <v>9151400.6400000006</v>
      </c>
    </row>
    <row r="18" spans="1:5">
      <c r="A18" s="335" t="s">
        <v>601</v>
      </c>
      <c r="B18" s="522">
        <v>3658926.21</v>
      </c>
      <c r="C18" s="522">
        <v>4809.33</v>
      </c>
      <c r="D18" s="522">
        <v>17353.689999999999</v>
      </c>
      <c r="E18" s="522">
        <v>3636763.19</v>
      </c>
    </row>
    <row r="19" spans="1:5">
      <c r="A19" s="335" t="s">
        <v>600</v>
      </c>
      <c r="B19" s="522">
        <v>10477505.48</v>
      </c>
      <c r="C19" s="522">
        <v>393352.37</v>
      </c>
      <c r="D19" s="522">
        <v>1462974.76</v>
      </c>
      <c r="E19" s="522">
        <v>8621178.3499999996</v>
      </c>
    </row>
    <row r="20" spans="1:5">
      <c r="A20" s="335" t="s">
        <v>599</v>
      </c>
      <c r="B20" s="522">
        <v>2799478.91</v>
      </c>
      <c r="C20" s="522">
        <v>128428.96</v>
      </c>
      <c r="D20" s="522">
        <v>479047.34</v>
      </c>
      <c r="E20" s="522">
        <v>2192002.61</v>
      </c>
    </row>
    <row r="21" spans="1:5">
      <c r="A21" s="335" t="s">
        <v>598</v>
      </c>
      <c r="B21" s="522">
        <v>4269799.72</v>
      </c>
      <c r="C21" s="522">
        <v>142390.43</v>
      </c>
      <c r="D21" s="522">
        <v>524389.42000000004</v>
      </c>
      <c r="E21" s="522">
        <v>3603019.87</v>
      </c>
    </row>
    <row r="22" spans="1:5">
      <c r="A22" s="335" t="s">
        <v>597</v>
      </c>
      <c r="B22" s="522">
        <v>311182.37</v>
      </c>
      <c r="C22" s="522">
        <v>15987.58</v>
      </c>
      <c r="D22" s="522">
        <v>60315.55</v>
      </c>
      <c r="E22" s="522">
        <v>234879.24</v>
      </c>
    </row>
    <row r="23" spans="1:5">
      <c r="A23" s="335" t="s">
        <v>596</v>
      </c>
      <c r="B23" s="522">
        <v>3097044.48</v>
      </c>
      <c r="C23" s="522">
        <v>106545.4</v>
      </c>
      <c r="D23" s="522">
        <v>399222.45</v>
      </c>
      <c r="E23" s="522">
        <v>2591276.63</v>
      </c>
    </row>
    <row r="24" spans="1:5">
      <c r="A24" s="335" t="s">
        <v>595</v>
      </c>
      <c r="B24" s="522">
        <v>7511821.6699999999</v>
      </c>
      <c r="C24" s="522">
        <v>208963.06</v>
      </c>
      <c r="D24" s="522">
        <v>772348.79</v>
      </c>
      <c r="E24" s="522">
        <v>6530509.8200000003</v>
      </c>
    </row>
    <row r="25" spans="1:5">
      <c r="A25" s="335" t="s">
        <v>594</v>
      </c>
      <c r="B25" s="522">
        <v>386875.44</v>
      </c>
      <c r="C25" s="522">
        <v>12335.93</v>
      </c>
      <c r="D25" s="522">
        <v>45936.800000000003</v>
      </c>
      <c r="E25" s="522">
        <v>328602.71000000002</v>
      </c>
    </row>
    <row r="26" spans="1:5">
      <c r="A26" s="335" t="s">
        <v>593</v>
      </c>
      <c r="B26" s="522">
        <v>376453.38</v>
      </c>
      <c r="C26" s="522">
        <v>10327.07</v>
      </c>
      <c r="D26" s="522">
        <v>37892.269999999997</v>
      </c>
      <c r="E26" s="522">
        <v>328234.03999999998</v>
      </c>
    </row>
    <row r="27" spans="1:5">
      <c r="A27" s="335" t="s">
        <v>592</v>
      </c>
      <c r="B27" s="522">
        <v>637219.91</v>
      </c>
      <c r="C27" s="522">
        <v>24737.88</v>
      </c>
      <c r="D27" s="522">
        <v>92087.49</v>
      </c>
      <c r="E27" s="522">
        <v>520394.54</v>
      </c>
    </row>
    <row r="28" spans="1:5">
      <c r="A28" s="335" t="s">
        <v>591</v>
      </c>
      <c r="B28" s="522">
        <v>1522358.76</v>
      </c>
      <c r="C28" s="522">
        <v>46930.720000000001</v>
      </c>
      <c r="D28" s="522">
        <v>175286.63</v>
      </c>
      <c r="E28" s="522">
        <v>1300141.4099999999</v>
      </c>
    </row>
    <row r="29" spans="1:5">
      <c r="A29" s="335" t="s">
        <v>590</v>
      </c>
      <c r="B29" s="522">
        <v>4588914.18</v>
      </c>
      <c r="C29" s="522">
        <v>114631.46</v>
      </c>
      <c r="D29" s="522">
        <v>421145.59999999998</v>
      </c>
      <c r="E29" s="522">
        <v>4053137.12</v>
      </c>
    </row>
    <row r="30" spans="1:5">
      <c r="A30" s="335" t="s">
        <v>589</v>
      </c>
      <c r="B30" s="522">
        <v>30151644.289999999</v>
      </c>
      <c r="C30" s="522">
        <v>798404.81</v>
      </c>
      <c r="D30" s="522">
        <v>3103419.28</v>
      </c>
      <c r="E30" s="522">
        <v>26249820.199999999</v>
      </c>
    </row>
    <row r="31" spans="1:5">
      <c r="A31" s="335" t="s">
        <v>588</v>
      </c>
      <c r="B31" s="522">
        <v>4242403.63</v>
      </c>
      <c r="C31" s="522">
        <v>204098.69</v>
      </c>
      <c r="D31" s="522">
        <v>879948.18</v>
      </c>
      <c r="E31" s="522">
        <v>3158356.76</v>
      </c>
    </row>
    <row r="32" spans="1:5">
      <c r="A32" s="335" t="s">
        <v>587</v>
      </c>
      <c r="B32" s="522">
        <v>13341568.91</v>
      </c>
      <c r="C32" s="522">
        <v>500730.99</v>
      </c>
      <c r="D32" s="522">
        <v>1879665.86</v>
      </c>
      <c r="E32" s="522">
        <v>10961172.060000001</v>
      </c>
    </row>
    <row r="33" spans="1:5">
      <c r="A33" s="335" t="s">
        <v>586</v>
      </c>
      <c r="B33" s="522">
        <v>5636592.1399999997</v>
      </c>
      <c r="C33" s="522">
        <v>93575.13</v>
      </c>
      <c r="D33" s="522">
        <v>343805.24</v>
      </c>
      <c r="E33" s="522">
        <v>5199211.7699999996</v>
      </c>
    </row>
    <row r="34" spans="1:5">
      <c r="A34" s="335" t="s">
        <v>585</v>
      </c>
      <c r="B34" s="522">
        <v>6931079.6100000003</v>
      </c>
      <c r="C34" s="522">
        <v>0</v>
      </c>
      <c r="D34" s="522">
        <v>0</v>
      </c>
      <c r="E34" s="522">
        <v>6931079.6100000003</v>
      </c>
    </row>
    <row r="35" spans="1:5">
      <c r="A35" s="335" t="s">
        <v>584</v>
      </c>
      <c r="B35" s="522">
        <v>32282111.73</v>
      </c>
      <c r="C35" s="522">
        <v>133621.76999999999</v>
      </c>
      <c r="D35" s="522">
        <v>490105.12</v>
      </c>
      <c r="E35" s="522">
        <v>31658384.84</v>
      </c>
    </row>
    <row r="36" spans="1:5">
      <c r="A36" s="335" t="s">
        <v>583</v>
      </c>
      <c r="B36" s="522">
        <v>776442.31</v>
      </c>
      <c r="C36" s="522">
        <v>25709.279999999999</v>
      </c>
      <c r="D36" s="522">
        <v>94690.02</v>
      </c>
      <c r="E36" s="522">
        <v>656043.01</v>
      </c>
    </row>
    <row r="37" spans="1:5">
      <c r="A37" s="335" t="s">
        <v>582</v>
      </c>
      <c r="B37" s="522">
        <v>800336.66</v>
      </c>
      <c r="C37" s="522">
        <v>9332.0300000000007</v>
      </c>
      <c r="D37" s="522">
        <v>36190.800000000003</v>
      </c>
      <c r="E37" s="522">
        <v>754813.83</v>
      </c>
    </row>
    <row r="38" spans="1:5">
      <c r="A38" s="335" t="s">
        <v>581</v>
      </c>
      <c r="B38" s="522">
        <v>29800683.34</v>
      </c>
      <c r="C38" s="522">
        <v>85405.95</v>
      </c>
      <c r="D38" s="522">
        <v>310475.64</v>
      </c>
      <c r="E38" s="522">
        <v>29404801.75</v>
      </c>
    </row>
    <row r="39" spans="1:5">
      <c r="A39" s="335" t="s">
        <v>580</v>
      </c>
      <c r="B39" s="522">
        <v>904649.42</v>
      </c>
      <c r="C39" s="522">
        <v>13174.51</v>
      </c>
      <c r="D39" s="522">
        <v>48748.66</v>
      </c>
      <c r="E39" s="522">
        <v>842726.25</v>
      </c>
    </row>
    <row r="40" spans="1:5">
      <c r="A40" s="335" t="s">
        <v>579</v>
      </c>
      <c r="B40" s="522">
        <v>124645.63</v>
      </c>
      <c r="C40" s="522">
        <v>2770.39</v>
      </c>
      <c r="D40" s="522">
        <v>12602.79</v>
      </c>
      <c r="E40" s="522">
        <v>109272.45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5" zoomScaleNormal="85" workbookViewId="0">
      <pane xSplit="1" ySplit="2" topLeftCell="B3" activePane="bottomRight" state="frozen"/>
      <selection activeCell="P52" sqref="P52"/>
      <selection pane="topRight" activeCell="P52" sqref="P52"/>
      <selection pane="bottomLeft" activeCell="P52" sqref="P52"/>
      <selection pane="bottomRight" activeCell="D10" sqref="D10"/>
    </sheetView>
  </sheetViews>
  <sheetFormatPr defaultColWidth="9.28515625" defaultRowHeight="15"/>
  <cols>
    <col min="1" max="1" width="9.28515625" style="334"/>
    <col min="2" max="12" width="17.28515625" style="334" bestFit="1" customWidth="1"/>
    <col min="13" max="13" width="12.85546875" style="334" bestFit="1" customWidth="1"/>
    <col min="14" max="14" width="9.28515625" style="334"/>
    <col min="15" max="15" width="20.28515625" style="334" bestFit="1" customWidth="1"/>
    <col min="16" max="16384" width="9.28515625" style="334"/>
  </cols>
  <sheetData>
    <row r="1" spans="1:15" ht="18">
      <c r="A1" s="326" t="s">
        <v>629</v>
      </c>
      <c r="B1" s="453"/>
      <c r="C1" s="453"/>
      <c r="D1" s="453"/>
      <c r="E1" s="453"/>
      <c r="F1" s="453"/>
      <c r="G1" s="453"/>
      <c r="H1" s="453"/>
      <c r="I1" s="453"/>
      <c r="J1" s="453"/>
      <c r="K1" s="453"/>
      <c r="L1" s="453"/>
      <c r="M1" s="453"/>
      <c r="N1" s="453"/>
      <c r="O1" s="453"/>
    </row>
    <row r="2" spans="1:15">
      <c r="A2" s="435" t="s">
        <v>628</v>
      </c>
      <c r="B2" s="435" t="s">
        <v>627</v>
      </c>
      <c r="C2" s="435" t="s">
        <v>626</v>
      </c>
      <c r="D2" s="435" t="s">
        <v>625</v>
      </c>
      <c r="E2" s="435" t="s">
        <v>624</v>
      </c>
      <c r="F2" s="435" t="s">
        <v>623</v>
      </c>
      <c r="G2" s="435" t="s">
        <v>622</v>
      </c>
      <c r="H2" s="435" t="s">
        <v>621</v>
      </c>
      <c r="I2" s="435" t="s">
        <v>620</v>
      </c>
      <c r="J2" s="435" t="s">
        <v>619</v>
      </c>
      <c r="K2" s="435" t="s">
        <v>618</v>
      </c>
      <c r="L2" s="435" t="s">
        <v>617</v>
      </c>
      <c r="M2" s="327">
        <v>41998</v>
      </c>
      <c r="N2" s="453"/>
      <c r="O2" s="435" t="s">
        <v>616</v>
      </c>
    </row>
    <row r="3" spans="1:15">
      <c r="A3" s="453" t="s">
        <v>254</v>
      </c>
      <c r="B3" s="329">
        <f>180*31*24</f>
        <v>133920</v>
      </c>
      <c r="C3" s="329">
        <f>280*31*24</f>
        <v>208320</v>
      </c>
      <c r="D3" s="329">
        <f t="shared" ref="D3:L3" si="0">380*31*24</f>
        <v>282720</v>
      </c>
      <c r="E3" s="329">
        <f t="shared" si="0"/>
        <v>282720</v>
      </c>
      <c r="F3" s="329">
        <f t="shared" si="0"/>
        <v>282720</v>
      </c>
      <c r="G3" s="329">
        <f t="shared" si="0"/>
        <v>282720</v>
      </c>
      <c r="H3" s="329">
        <f t="shared" si="0"/>
        <v>282720</v>
      </c>
      <c r="I3" s="329">
        <f t="shared" si="0"/>
        <v>282720</v>
      </c>
      <c r="J3" s="329">
        <f t="shared" si="0"/>
        <v>282720</v>
      </c>
      <c r="K3" s="329">
        <f t="shared" si="0"/>
        <v>282720</v>
      </c>
      <c r="L3" s="329">
        <f t="shared" si="0"/>
        <v>282720</v>
      </c>
      <c r="M3" s="329">
        <f>300*31*24</f>
        <v>223200</v>
      </c>
      <c r="N3" s="329"/>
      <c r="O3" s="453"/>
    </row>
    <row r="4" spans="1:15">
      <c r="A4" s="453" t="s">
        <v>243</v>
      </c>
      <c r="B4" s="329">
        <f>180*31*24</f>
        <v>133920</v>
      </c>
      <c r="C4" s="329">
        <f>280*31*24</f>
        <v>208320</v>
      </c>
      <c r="D4" s="329">
        <f t="shared" ref="D4:K4" si="1">380*31*24</f>
        <v>282720</v>
      </c>
      <c r="E4" s="329">
        <f t="shared" si="1"/>
        <v>282720</v>
      </c>
      <c r="F4" s="329">
        <f t="shared" si="1"/>
        <v>282720</v>
      </c>
      <c r="G4" s="329">
        <f t="shared" si="1"/>
        <v>282720</v>
      </c>
      <c r="H4" s="329">
        <f t="shared" si="1"/>
        <v>282720</v>
      </c>
      <c r="I4" s="329">
        <f t="shared" si="1"/>
        <v>282720</v>
      </c>
      <c r="J4" s="329">
        <f t="shared" si="1"/>
        <v>282720</v>
      </c>
      <c r="K4" s="329">
        <f t="shared" si="1"/>
        <v>282720</v>
      </c>
      <c r="L4" s="329">
        <f>300*31*24</f>
        <v>223200</v>
      </c>
      <c r="M4" s="329"/>
      <c r="N4" s="329"/>
      <c r="O4" s="453"/>
    </row>
    <row r="5" spans="1:15">
      <c r="A5" s="453" t="s">
        <v>244</v>
      </c>
      <c r="B5" s="329">
        <f>180*28*24</f>
        <v>120960</v>
      </c>
      <c r="C5" s="329">
        <f>280*29*24</f>
        <v>194880</v>
      </c>
      <c r="D5" s="329">
        <f>380*28*24</f>
        <v>255360</v>
      </c>
      <c r="E5" s="329">
        <f>380*28*24</f>
        <v>255360</v>
      </c>
      <c r="F5" s="329">
        <f>380*28*24</f>
        <v>255360</v>
      </c>
      <c r="G5" s="329">
        <f>380*29*24</f>
        <v>264480</v>
      </c>
      <c r="H5" s="329">
        <f>380*28*24</f>
        <v>255360</v>
      </c>
      <c r="I5" s="329">
        <f>380*28*24</f>
        <v>255360</v>
      </c>
      <c r="J5" s="329">
        <f>380*28*24</f>
        <v>255360</v>
      </c>
      <c r="K5" s="329">
        <f>380*29*24</f>
        <v>264480</v>
      </c>
      <c r="L5" s="329">
        <f>300*28*24</f>
        <v>201600</v>
      </c>
      <c r="M5" s="329"/>
      <c r="N5" s="329"/>
      <c r="O5" s="453"/>
    </row>
    <row r="6" spans="1:15">
      <c r="A6" s="453" t="s">
        <v>245</v>
      </c>
      <c r="B6" s="329">
        <f>180*31*24</f>
        <v>133920</v>
      </c>
      <c r="C6" s="329">
        <f>280*31*24</f>
        <v>208320</v>
      </c>
      <c r="D6" s="329">
        <f t="shared" ref="D6:K6" si="2">380*31*24</f>
        <v>282720</v>
      </c>
      <c r="E6" s="329">
        <f t="shared" si="2"/>
        <v>282720</v>
      </c>
      <c r="F6" s="329">
        <f t="shared" si="2"/>
        <v>282720</v>
      </c>
      <c r="G6" s="329">
        <f t="shared" si="2"/>
        <v>282720</v>
      </c>
      <c r="H6" s="329">
        <f t="shared" si="2"/>
        <v>282720</v>
      </c>
      <c r="I6" s="329">
        <f t="shared" si="2"/>
        <v>282720</v>
      </c>
      <c r="J6" s="329">
        <f t="shared" si="2"/>
        <v>282720</v>
      </c>
      <c r="K6" s="329">
        <f t="shared" si="2"/>
        <v>282720</v>
      </c>
      <c r="L6" s="329">
        <f>300*31*24</f>
        <v>223200</v>
      </c>
      <c r="M6" s="329"/>
      <c r="N6" s="329"/>
      <c r="O6" s="453"/>
    </row>
    <row r="7" spans="1:15">
      <c r="A7" s="453" t="s">
        <v>246</v>
      </c>
      <c r="B7" s="329">
        <f>180*30*24</f>
        <v>129600</v>
      </c>
      <c r="C7" s="329">
        <f>280*30*24</f>
        <v>201600</v>
      </c>
      <c r="D7" s="329">
        <f t="shared" ref="D7:K7" si="3">380*30*24</f>
        <v>273600</v>
      </c>
      <c r="E7" s="329">
        <f t="shared" si="3"/>
        <v>273600</v>
      </c>
      <c r="F7" s="329">
        <f t="shared" si="3"/>
        <v>273600</v>
      </c>
      <c r="G7" s="329">
        <f t="shared" si="3"/>
        <v>273600</v>
      </c>
      <c r="H7" s="329">
        <f t="shared" si="3"/>
        <v>273600</v>
      </c>
      <c r="I7" s="329">
        <f t="shared" si="3"/>
        <v>273600</v>
      </c>
      <c r="J7" s="329">
        <f t="shared" si="3"/>
        <v>273600</v>
      </c>
      <c r="K7" s="329">
        <f t="shared" si="3"/>
        <v>273600</v>
      </c>
      <c r="L7" s="329">
        <f>300*30*24</f>
        <v>216000</v>
      </c>
      <c r="M7" s="329"/>
      <c r="N7" s="329"/>
      <c r="O7" s="453"/>
    </row>
    <row r="8" spans="1:15">
      <c r="A8" s="453" t="s">
        <v>247</v>
      </c>
      <c r="B8" s="329">
        <f>180*31*24</f>
        <v>133920</v>
      </c>
      <c r="C8" s="329">
        <f>280*31*24</f>
        <v>208320</v>
      </c>
      <c r="D8" s="329">
        <f t="shared" ref="D8:K8" si="4">380*31*24</f>
        <v>282720</v>
      </c>
      <c r="E8" s="329">
        <f t="shared" si="4"/>
        <v>282720</v>
      </c>
      <c r="F8" s="329">
        <f t="shared" si="4"/>
        <v>282720</v>
      </c>
      <c r="G8" s="329">
        <f t="shared" si="4"/>
        <v>282720</v>
      </c>
      <c r="H8" s="329">
        <f t="shared" si="4"/>
        <v>282720</v>
      </c>
      <c r="I8" s="329">
        <f t="shared" si="4"/>
        <v>282720</v>
      </c>
      <c r="J8" s="329">
        <f t="shared" si="4"/>
        <v>282720</v>
      </c>
      <c r="K8" s="329">
        <f t="shared" si="4"/>
        <v>282720</v>
      </c>
      <c r="L8" s="329">
        <f>300*31*24</f>
        <v>223200</v>
      </c>
      <c r="M8" s="329"/>
      <c r="N8" s="329"/>
      <c r="O8" s="453"/>
    </row>
    <row r="9" spans="1:15">
      <c r="A9" s="453" t="s">
        <v>248</v>
      </c>
      <c r="B9" s="329">
        <f>180*30*24</f>
        <v>129600</v>
      </c>
      <c r="C9" s="329">
        <f>280*30*24</f>
        <v>201600</v>
      </c>
      <c r="D9" s="329">
        <f t="shared" ref="D9:K9" si="5">380*30*24</f>
        <v>273600</v>
      </c>
      <c r="E9" s="329">
        <f t="shared" si="5"/>
        <v>273600</v>
      </c>
      <c r="F9" s="329">
        <f t="shared" si="5"/>
        <v>273600</v>
      </c>
      <c r="G9" s="329">
        <f t="shared" si="5"/>
        <v>273600</v>
      </c>
      <c r="H9" s="329">
        <f t="shared" si="5"/>
        <v>273600</v>
      </c>
      <c r="I9" s="329">
        <f t="shared" si="5"/>
        <v>273600</v>
      </c>
      <c r="J9" s="329">
        <f t="shared" si="5"/>
        <v>273600</v>
      </c>
      <c r="K9" s="329">
        <f t="shared" si="5"/>
        <v>273600</v>
      </c>
      <c r="L9" s="329">
        <f>300*30*24</f>
        <v>216000</v>
      </c>
      <c r="M9" s="329"/>
      <c r="N9" s="329"/>
      <c r="O9" s="453"/>
    </row>
    <row r="10" spans="1:15">
      <c r="A10" s="453" t="s">
        <v>249</v>
      </c>
      <c r="B10" s="329">
        <f>180*31*24</f>
        <v>133920</v>
      </c>
      <c r="C10" s="329">
        <f>280*31*24</f>
        <v>208320</v>
      </c>
      <c r="D10" s="329">
        <f t="shared" ref="D10:K11" si="6">380*31*24</f>
        <v>282720</v>
      </c>
      <c r="E10" s="329">
        <f t="shared" si="6"/>
        <v>282720</v>
      </c>
      <c r="F10" s="329">
        <f t="shared" si="6"/>
        <v>282720</v>
      </c>
      <c r="G10" s="329">
        <f t="shared" si="6"/>
        <v>282720</v>
      </c>
      <c r="H10" s="329">
        <f t="shared" si="6"/>
        <v>282720</v>
      </c>
      <c r="I10" s="329">
        <f t="shared" si="6"/>
        <v>282720</v>
      </c>
      <c r="J10" s="329">
        <f t="shared" si="6"/>
        <v>282720</v>
      </c>
      <c r="K10" s="329">
        <f t="shared" si="6"/>
        <v>282720</v>
      </c>
      <c r="L10" s="329">
        <f>300*31*24</f>
        <v>223200</v>
      </c>
      <c r="M10" s="329"/>
      <c r="N10" s="329"/>
      <c r="O10" s="453"/>
    </row>
    <row r="11" spans="1:15">
      <c r="A11" s="453" t="s">
        <v>250</v>
      </c>
      <c r="B11" s="329">
        <f>180*31*24</f>
        <v>133920</v>
      </c>
      <c r="C11" s="329">
        <f>280*31*24</f>
        <v>208320</v>
      </c>
      <c r="D11" s="329">
        <f t="shared" si="6"/>
        <v>282720</v>
      </c>
      <c r="E11" s="329">
        <f t="shared" si="6"/>
        <v>282720</v>
      </c>
      <c r="F11" s="329">
        <f t="shared" si="6"/>
        <v>282720</v>
      </c>
      <c r="G11" s="329">
        <f t="shared" si="6"/>
        <v>282720</v>
      </c>
      <c r="H11" s="329">
        <f t="shared" si="6"/>
        <v>282720</v>
      </c>
      <c r="I11" s="329">
        <f t="shared" si="6"/>
        <v>282720</v>
      </c>
      <c r="J11" s="329">
        <f t="shared" si="6"/>
        <v>282720</v>
      </c>
      <c r="K11" s="329">
        <f t="shared" si="6"/>
        <v>282720</v>
      </c>
      <c r="L11" s="329">
        <f>300*31*24</f>
        <v>223200</v>
      </c>
      <c r="M11" s="329"/>
      <c r="N11" s="329"/>
      <c r="O11" s="453"/>
    </row>
    <row r="12" spans="1:15">
      <c r="A12" s="453" t="s">
        <v>251</v>
      </c>
      <c r="B12" s="329">
        <f>180*30*24</f>
        <v>129600</v>
      </c>
      <c r="C12" s="329">
        <f>280*30*24</f>
        <v>201600</v>
      </c>
      <c r="D12" s="329">
        <f t="shared" ref="D12:K12" si="7">380*30*24</f>
        <v>273600</v>
      </c>
      <c r="E12" s="329">
        <f t="shared" si="7"/>
        <v>273600</v>
      </c>
      <c r="F12" s="329">
        <f t="shared" si="7"/>
        <v>273600</v>
      </c>
      <c r="G12" s="329">
        <f t="shared" si="7"/>
        <v>273600</v>
      </c>
      <c r="H12" s="329">
        <f t="shared" si="7"/>
        <v>273600</v>
      </c>
      <c r="I12" s="329">
        <f t="shared" si="7"/>
        <v>273600</v>
      </c>
      <c r="J12" s="329">
        <f t="shared" si="7"/>
        <v>273600</v>
      </c>
      <c r="K12" s="329">
        <f t="shared" si="7"/>
        <v>273600</v>
      </c>
      <c r="L12" s="329">
        <f>300*30*24</f>
        <v>216000</v>
      </c>
      <c r="M12" s="329"/>
      <c r="N12" s="329"/>
      <c r="O12" s="453"/>
    </row>
    <row r="13" spans="1:15">
      <c r="A13" s="453" t="s">
        <v>252</v>
      </c>
      <c r="B13" s="329">
        <f>180*31*24</f>
        <v>133920</v>
      </c>
      <c r="C13" s="329">
        <f>280*31*24</f>
        <v>208320</v>
      </c>
      <c r="D13" s="329">
        <f t="shared" ref="D13:K13" si="8">380*31*24</f>
        <v>282720</v>
      </c>
      <c r="E13" s="329">
        <f t="shared" si="8"/>
        <v>282720</v>
      </c>
      <c r="F13" s="329">
        <f t="shared" si="8"/>
        <v>282720</v>
      </c>
      <c r="G13" s="329">
        <f t="shared" si="8"/>
        <v>282720</v>
      </c>
      <c r="H13" s="329">
        <f t="shared" si="8"/>
        <v>282720</v>
      </c>
      <c r="I13" s="329">
        <f t="shared" si="8"/>
        <v>282720</v>
      </c>
      <c r="J13" s="329">
        <f t="shared" si="8"/>
        <v>282720</v>
      </c>
      <c r="K13" s="329">
        <f t="shared" si="8"/>
        <v>282720</v>
      </c>
      <c r="L13" s="329">
        <f>300*31*24</f>
        <v>223200</v>
      </c>
      <c r="M13" s="329"/>
      <c r="N13" s="329"/>
      <c r="O13" s="453"/>
    </row>
    <row r="14" spans="1:15">
      <c r="A14" s="453" t="s">
        <v>253</v>
      </c>
      <c r="B14" s="329">
        <f>180*30*24</f>
        <v>129600</v>
      </c>
      <c r="C14" s="329">
        <f>280*30*24</f>
        <v>201600</v>
      </c>
      <c r="D14" s="329">
        <f t="shared" ref="D14:K14" si="9">380*30*24</f>
        <v>273600</v>
      </c>
      <c r="E14" s="329">
        <f t="shared" si="9"/>
        <v>273600</v>
      </c>
      <c r="F14" s="329">
        <f t="shared" si="9"/>
        <v>273600</v>
      </c>
      <c r="G14" s="329">
        <f t="shared" si="9"/>
        <v>273600</v>
      </c>
      <c r="H14" s="329">
        <f t="shared" si="9"/>
        <v>273600</v>
      </c>
      <c r="I14" s="329">
        <f t="shared" si="9"/>
        <v>273600</v>
      </c>
      <c r="J14" s="329">
        <f t="shared" si="9"/>
        <v>273600</v>
      </c>
      <c r="K14" s="329">
        <f t="shared" si="9"/>
        <v>273600</v>
      </c>
      <c r="L14" s="329">
        <f>300*30*24</f>
        <v>216000</v>
      </c>
      <c r="M14" s="329"/>
      <c r="N14" s="329"/>
      <c r="O14" s="453"/>
    </row>
    <row r="15" spans="1:15" ht="15.75" thickBot="1">
      <c r="A15" s="453"/>
      <c r="B15" s="328">
        <f t="shared" ref="B15:M15" si="10">SUM(B3:B14)</f>
        <v>1576800</v>
      </c>
      <c r="C15" s="328">
        <f t="shared" si="10"/>
        <v>2459520</v>
      </c>
      <c r="D15" s="328">
        <f t="shared" si="10"/>
        <v>3328800</v>
      </c>
      <c r="E15" s="328">
        <f t="shared" si="10"/>
        <v>3328800</v>
      </c>
      <c r="F15" s="328">
        <f t="shared" si="10"/>
        <v>3328800</v>
      </c>
      <c r="G15" s="328">
        <f t="shared" si="10"/>
        <v>3337920</v>
      </c>
      <c r="H15" s="328">
        <f t="shared" si="10"/>
        <v>3328800</v>
      </c>
      <c r="I15" s="328">
        <f t="shared" si="10"/>
        <v>3328800</v>
      </c>
      <c r="J15" s="328">
        <f t="shared" si="10"/>
        <v>3328800</v>
      </c>
      <c r="K15" s="328">
        <f t="shared" si="10"/>
        <v>3337920</v>
      </c>
      <c r="L15" s="328">
        <f t="shared" si="10"/>
        <v>2687520</v>
      </c>
      <c r="M15" s="328">
        <f t="shared" si="10"/>
        <v>223200</v>
      </c>
      <c r="N15" s="453"/>
      <c r="O15" s="369">
        <f>SUM(B15:M15)</f>
        <v>33595680</v>
      </c>
    </row>
    <row r="16" spans="1:15" ht="15.75" thickTop="1">
      <c r="A16" s="453" t="s">
        <v>363</v>
      </c>
      <c r="B16" s="329">
        <f>+B15/(365*24)</f>
        <v>180</v>
      </c>
      <c r="C16" s="329">
        <f>+C15/(366*24)</f>
        <v>280</v>
      </c>
      <c r="D16" s="329">
        <f>+D15/(365*24)</f>
        <v>380</v>
      </c>
      <c r="E16" s="329">
        <f>+E15/(365*24)</f>
        <v>380</v>
      </c>
      <c r="F16" s="329">
        <f>+F15/(365*24)</f>
        <v>380</v>
      </c>
      <c r="G16" s="329">
        <f>+G15/(366*24)</f>
        <v>380</v>
      </c>
      <c r="H16" s="329">
        <f>+H15/(365*24)</f>
        <v>380</v>
      </c>
      <c r="I16" s="329">
        <f>+I15/(365*24)</f>
        <v>380</v>
      </c>
      <c r="J16" s="329">
        <f>+J15/(365*24)</f>
        <v>380</v>
      </c>
      <c r="K16" s="329">
        <f>+K15/(366*24)</f>
        <v>380</v>
      </c>
      <c r="L16" s="329">
        <f>+L15/(365*24)</f>
        <v>306.79452054794518</v>
      </c>
      <c r="M16" s="453"/>
      <c r="N16" s="453"/>
      <c r="O16" s="453"/>
    </row>
    <row r="17" spans="1:15">
      <c r="A17" s="453"/>
      <c r="B17" s="453"/>
      <c r="C17" s="453"/>
      <c r="D17" s="453"/>
      <c r="E17" s="453"/>
      <c r="F17" s="453"/>
      <c r="G17" s="453"/>
      <c r="H17" s="453"/>
      <c r="I17" s="453"/>
      <c r="J17" s="453"/>
      <c r="K17" s="453"/>
      <c r="L17" s="453"/>
      <c r="M17" s="453"/>
      <c r="N17" s="453"/>
      <c r="O17" s="453"/>
    </row>
    <row r="18" spans="1:15">
      <c r="A18" s="435" t="s">
        <v>615</v>
      </c>
      <c r="B18" s="453"/>
      <c r="C18" s="453"/>
      <c r="D18" s="453"/>
      <c r="E18" s="453"/>
      <c r="F18" s="453"/>
      <c r="G18" s="453"/>
      <c r="H18" s="453"/>
      <c r="I18" s="453"/>
      <c r="J18" s="453"/>
      <c r="K18" s="453"/>
      <c r="L18" s="453"/>
      <c r="M18" s="453"/>
      <c r="N18" s="453"/>
      <c r="O18" s="453"/>
    </row>
    <row r="19" spans="1:15">
      <c r="A19" s="453" t="s">
        <v>254</v>
      </c>
      <c r="B19" s="331">
        <f t="shared" ref="B19:M19" si="11">+B3*1.49</f>
        <v>199540.8</v>
      </c>
      <c r="C19" s="331">
        <f t="shared" si="11"/>
        <v>310396.79999999999</v>
      </c>
      <c r="D19" s="331">
        <f t="shared" si="11"/>
        <v>421252.8</v>
      </c>
      <c r="E19" s="331">
        <f t="shared" si="11"/>
        <v>421252.8</v>
      </c>
      <c r="F19" s="331">
        <f t="shared" si="11"/>
        <v>421252.8</v>
      </c>
      <c r="G19" s="331">
        <f t="shared" si="11"/>
        <v>421252.8</v>
      </c>
      <c r="H19" s="847">
        <f t="shared" si="11"/>
        <v>421252.8</v>
      </c>
      <c r="I19" s="331">
        <f t="shared" si="11"/>
        <v>421252.8</v>
      </c>
      <c r="J19" s="331">
        <f t="shared" si="11"/>
        <v>421252.8</v>
      </c>
      <c r="K19" s="331">
        <f t="shared" si="11"/>
        <v>421252.8</v>
      </c>
      <c r="L19" s="331">
        <f t="shared" si="11"/>
        <v>421252.8</v>
      </c>
      <c r="M19" s="331">
        <f t="shared" si="11"/>
        <v>332568</v>
      </c>
    </row>
    <row r="20" spans="1:15">
      <c r="A20" s="453" t="s">
        <v>243</v>
      </c>
      <c r="B20" s="331">
        <f t="shared" ref="B20:L20" si="12">+B4*1.49</f>
        <v>199540.8</v>
      </c>
      <c r="C20" s="331">
        <f t="shared" si="12"/>
        <v>310396.79999999999</v>
      </c>
      <c r="D20" s="331">
        <f t="shared" si="12"/>
        <v>421252.8</v>
      </c>
      <c r="E20" s="331">
        <f t="shared" si="12"/>
        <v>421252.8</v>
      </c>
      <c r="F20" s="331">
        <f t="shared" si="12"/>
        <v>421252.8</v>
      </c>
      <c r="G20" s="331">
        <f t="shared" si="12"/>
        <v>421252.8</v>
      </c>
      <c r="H20" s="847">
        <f t="shared" si="12"/>
        <v>421252.8</v>
      </c>
      <c r="I20" s="331">
        <f t="shared" si="12"/>
        <v>421252.8</v>
      </c>
      <c r="J20" s="331">
        <f t="shared" si="12"/>
        <v>421252.8</v>
      </c>
      <c r="K20" s="331">
        <f t="shared" si="12"/>
        <v>421252.8</v>
      </c>
      <c r="L20" s="331">
        <f t="shared" si="12"/>
        <v>332568</v>
      </c>
      <c r="M20" s="331"/>
    </row>
    <row r="21" spans="1:15">
      <c r="A21" s="453" t="s">
        <v>244</v>
      </c>
      <c r="B21" s="331">
        <f t="shared" ref="B21:L21" si="13">+B5*1.49</f>
        <v>180230.39999999999</v>
      </c>
      <c r="C21" s="331">
        <f t="shared" si="13"/>
        <v>290371.20000000001</v>
      </c>
      <c r="D21" s="331">
        <f t="shared" si="13"/>
        <v>380486.40000000002</v>
      </c>
      <c r="E21" s="331">
        <f t="shared" si="13"/>
        <v>380486.40000000002</v>
      </c>
      <c r="F21" s="331">
        <f t="shared" si="13"/>
        <v>380486.40000000002</v>
      </c>
      <c r="G21" s="331">
        <f t="shared" si="13"/>
        <v>394075.2</v>
      </c>
      <c r="H21" s="847">
        <f t="shared" si="13"/>
        <v>380486.40000000002</v>
      </c>
      <c r="I21" s="331">
        <f t="shared" si="13"/>
        <v>380486.40000000002</v>
      </c>
      <c r="J21" s="331">
        <f t="shared" si="13"/>
        <v>380486.40000000002</v>
      </c>
      <c r="K21" s="331">
        <f t="shared" si="13"/>
        <v>394075.2</v>
      </c>
      <c r="L21" s="331">
        <f t="shared" si="13"/>
        <v>300384</v>
      </c>
      <c r="M21" s="331"/>
    </row>
    <row r="22" spans="1:15">
      <c r="A22" s="453" t="s">
        <v>245</v>
      </c>
      <c r="B22" s="331">
        <f t="shared" ref="B22:L22" si="14">+B6*1.49</f>
        <v>199540.8</v>
      </c>
      <c r="C22" s="331">
        <f t="shared" si="14"/>
        <v>310396.79999999999</v>
      </c>
      <c r="D22" s="331">
        <f t="shared" si="14"/>
        <v>421252.8</v>
      </c>
      <c r="E22" s="331">
        <f t="shared" si="14"/>
        <v>421252.8</v>
      </c>
      <c r="F22" s="331">
        <f t="shared" si="14"/>
        <v>421252.8</v>
      </c>
      <c r="G22" s="331">
        <f t="shared" si="14"/>
        <v>421252.8</v>
      </c>
      <c r="H22" s="847">
        <f t="shared" si="14"/>
        <v>421252.8</v>
      </c>
      <c r="I22" s="331">
        <f t="shared" si="14"/>
        <v>421252.8</v>
      </c>
      <c r="J22" s="331">
        <f t="shared" si="14"/>
        <v>421252.8</v>
      </c>
      <c r="K22" s="331">
        <f t="shared" si="14"/>
        <v>421252.8</v>
      </c>
      <c r="L22" s="331">
        <f t="shared" si="14"/>
        <v>332568</v>
      </c>
      <c r="M22" s="331"/>
    </row>
    <row r="23" spans="1:15">
      <c r="A23" s="453" t="s">
        <v>246</v>
      </c>
      <c r="B23" s="331">
        <f t="shared" ref="B23:L23" si="15">+B7*1.49</f>
        <v>193104</v>
      </c>
      <c r="C23" s="331">
        <f t="shared" si="15"/>
        <v>300384</v>
      </c>
      <c r="D23" s="331">
        <f t="shared" si="15"/>
        <v>407664</v>
      </c>
      <c r="E23" s="331">
        <f t="shared" si="15"/>
        <v>407664</v>
      </c>
      <c r="F23" s="331">
        <f t="shared" si="15"/>
        <v>407664</v>
      </c>
      <c r="G23" s="331">
        <f t="shared" si="15"/>
        <v>407664</v>
      </c>
      <c r="H23" s="847">
        <f t="shared" si="15"/>
        <v>407664</v>
      </c>
      <c r="I23" s="331">
        <f t="shared" si="15"/>
        <v>407664</v>
      </c>
      <c r="J23" s="331">
        <f t="shared" si="15"/>
        <v>407664</v>
      </c>
      <c r="K23" s="331">
        <f t="shared" si="15"/>
        <v>407664</v>
      </c>
      <c r="L23" s="331">
        <f t="shared" si="15"/>
        <v>321840</v>
      </c>
      <c r="M23" s="331"/>
    </row>
    <row r="24" spans="1:15">
      <c r="A24" s="453" t="s">
        <v>247</v>
      </c>
      <c r="B24" s="331">
        <f t="shared" ref="B24:L24" si="16">+B8*1.49</f>
        <v>199540.8</v>
      </c>
      <c r="C24" s="331">
        <f t="shared" si="16"/>
        <v>310396.79999999999</v>
      </c>
      <c r="D24" s="331">
        <f t="shared" si="16"/>
        <v>421252.8</v>
      </c>
      <c r="E24" s="331">
        <f t="shared" si="16"/>
        <v>421252.8</v>
      </c>
      <c r="F24" s="331">
        <f t="shared" si="16"/>
        <v>421252.8</v>
      </c>
      <c r="G24" s="847">
        <f t="shared" si="16"/>
        <v>421252.8</v>
      </c>
      <c r="H24" s="331">
        <f t="shared" si="16"/>
        <v>421252.8</v>
      </c>
      <c r="I24" s="331">
        <f t="shared" si="16"/>
        <v>421252.8</v>
      </c>
      <c r="J24" s="331">
        <f t="shared" si="16"/>
        <v>421252.8</v>
      </c>
      <c r="K24" s="331">
        <f t="shared" si="16"/>
        <v>421252.8</v>
      </c>
      <c r="L24" s="331">
        <f t="shared" si="16"/>
        <v>332568</v>
      </c>
      <c r="M24" s="331"/>
    </row>
    <row r="25" spans="1:15">
      <c r="A25" s="453" t="s">
        <v>248</v>
      </c>
      <c r="B25" s="331">
        <f t="shared" ref="B25:L25" si="17">+B9*1.49</f>
        <v>193104</v>
      </c>
      <c r="C25" s="331">
        <f t="shared" si="17"/>
        <v>300384</v>
      </c>
      <c r="D25" s="331">
        <f t="shared" si="17"/>
        <v>407664</v>
      </c>
      <c r="E25" s="331">
        <f t="shared" si="17"/>
        <v>407664</v>
      </c>
      <c r="F25" s="331">
        <f t="shared" si="17"/>
        <v>407664</v>
      </c>
      <c r="G25" s="847">
        <f t="shared" si="17"/>
        <v>407664</v>
      </c>
      <c r="H25" s="331">
        <f t="shared" si="17"/>
        <v>407664</v>
      </c>
      <c r="I25" s="331">
        <f t="shared" si="17"/>
        <v>407664</v>
      </c>
      <c r="J25" s="331">
        <f t="shared" si="17"/>
        <v>407664</v>
      </c>
      <c r="K25" s="331">
        <f t="shared" si="17"/>
        <v>407664</v>
      </c>
      <c r="L25" s="331">
        <f t="shared" si="17"/>
        <v>321840</v>
      </c>
      <c r="M25" s="331"/>
    </row>
    <row r="26" spans="1:15">
      <c r="A26" s="453" t="s">
        <v>249</v>
      </c>
      <c r="B26" s="331">
        <f t="shared" ref="B26:L26" si="18">+B10*1.49</f>
        <v>199540.8</v>
      </c>
      <c r="C26" s="331">
        <f t="shared" si="18"/>
        <v>310396.79999999999</v>
      </c>
      <c r="D26" s="331">
        <f t="shared" si="18"/>
        <v>421252.8</v>
      </c>
      <c r="E26" s="331">
        <f t="shared" si="18"/>
        <v>421252.8</v>
      </c>
      <c r="F26" s="331">
        <f t="shared" si="18"/>
        <v>421252.8</v>
      </c>
      <c r="G26" s="847">
        <f t="shared" si="18"/>
        <v>421252.8</v>
      </c>
      <c r="H26" s="331">
        <f t="shared" si="18"/>
        <v>421252.8</v>
      </c>
      <c r="I26" s="331">
        <f t="shared" si="18"/>
        <v>421252.8</v>
      </c>
      <c r="J26" s="331">
        <f t="shared" si="18"/>
        <v>421252.8</v>
      </c>
      <c r="K26" s="331">
        <f t="shared" si="18"/>
        <v>421252.8</v>
      </c>
      <c r="L26" s="331">
        <f t="shared" si="18"/>
        <v>332568</v>
      </c>
      <c r="M26" s="331"/>
    </row>
    <row r="27" spans="1:15">
      <c r="A27" s="453" t="s">
        <v>250</v>
      </c>
      <c r="B27" s="331">
        <f t="shared" ref="B27:L27" si="19">+B11*1.49</f>
        <v>199540.8</v>
      </c>
      <c r="C27" s="331">
        <f t="shared" si="19"/>
        <v>310396.79999999999</v>
      </c>
      <c r="D27" s="331">
        <f t="shared" si="19"/>
        <v>421252.8</v>
      </c>
      <c r="E27" s="331">
        <f t="shared" si="19"/>
        <v>421252.8</v>
      </c>
      <c r="F27" s="331">
        <f t="shared" si="19"/>
        <v>421252.8</v>
      </c>
      <c r="G27" s="847">
        <f t="shared" si="19"/>
        <v>421252.8</v>
      </c>
      <c r="H27" s="331">
        <f t="shared" si="19"/>
        <v>421252.8</v>
      </c>
      <c r="I27" s="331">
        <f t="shared" si="19"/>
        <v>421252.8</v>
      </c>
      <c r="J27" s="331">
        <f t="shared" si="19"/>
        <v>421252.8</v>
      </c>
      <c r="K27" s="331">
        <f t="shared" si="19"/>
        <v>421252.8</v>
      </c>
      <c r="L27" s="331">
        <f t="shared" si="19"/>
        <v>332568</v>
      </c>
      <c r="M27" s="331"/>
    </row>
    <row r="28" spans="1:15">
      <c r="A28" s="453" t="s">
        <v>251</v>
      </c>
      <c r="B28" s="331">
        <f t="shared" ref="B28:L28" si="20">+B12*1.49</f>
        <v>193104</v>
      </c>
      <c r="C28" s="331">
        <f t="shared" si="20"/>
        <v>300384</v>
      </c>
      <c r="D28" s="331">
        <f t="shared" si="20"/>
        <v>407664</v>
      </c>
      <c r="E28" s="331">
        <f t="shared" si="20"/>
        <v>407664</v>
      </c>
      <c r="F28" s="331">
        <f t="shared" si="20"/>
        <v>407664</v>
      </c>
      <c r="G28" s="847">
        <f t="shared" si="20"/>
        <v>407664</v>
      </c>
      <c r="H28" s="331">
        <f t="shared" si="20"/>
        <v>407664</v>
      </c>
      <c r="I28" s="331">
        <f t="shared" si="20"/>
        <v>407664</v>
      </c>
      <c r="J28" s="331">
        <f t="shared" si="20"/>
        <v>407664</v>
      </c>
      <c r="K28" s="331">
        <f t="shared" si="20"/>
        <v>407664</v>
      </c>
      <c r="L28" s="331">
        <f t="shared" si="20"/>
        <v>321840</v>
      </c>
      <c r="M28" s="331"/>
    </row>
    <row r="29" spans="1:15">
      <c r="A29" s="453" t="s">
        <v>252</v>
      </c>
      <c r="B29" s="331">
        <f t="shared" ref="B29:L29" si="21">+B13*1.49</f>
        <v>199540.8</v>
      </c>
      <c r="C29" s="331">
        <f t="shared" si="21"/>
        <v>310396.79999999999</v>
      </c>
      <c r="D29" s="331">
        <f t="shared" si="21"/>
        <v>421252.8</v>
      </c>
      <c r="E29" s="331">
        <f t="shared" si="21"/>
        <v>421252.8</v>
      </c>
      <c r="F29" s="331">
        <f t="shared" si="21"/>
        <v>421252.8</v>
      </c>
      <c r="G29" s="847">
        <f t="shared" si="21"/>
        <v>421252.8</v>
      </c>
      <c r="H29" s="331">
        <f t="shared" si="21"/>
        <v>421252.8</v>
      </c>
      <c r="I29" s="331">
        <f t="shared" si="21"/>
        <v>421252.8</v>
      </c>
      <c r="J29" s="331">
        <f t="shared" si="21"/>
        <v>421252.8</v>
      </c>
      <c r="K29" s="331">
        <f t="shared" si="21"/>
        <v>421252.8</v>
      </c>
      <c r="L29" s="331">
        <f t="shared" si="21"/>
        <v>332568</v>
      </c>
      <c r="M29" s="331"/>
    </row>
    <row r="30" spans="1:15">
      <c r="A30" s="453" t="s">
        <v>253</v>
      </c>
      <c r="B30" s="331">
        <f t="shared" ref="B30:L30" si="22">+B14*1.49</f>
        <v>193104</v>
      </c>
      <c r="C30" s="331">
        <f t="shared" si="22"/>
        <v>300384</v>
      </c>
      <c r="D30" s="331">
        <f t="shared" si="22"/>
        <v>407664</v>
      </c>
      <c r="E30" s="331">
        <f t="shared" si="22"/>
        <v>407664</v>
      </c>
      <c r="F30" s="331">
        <f t="shared" si="22"/>
        <v>407664</v>
      </c>
      <c r="G30" s="847">
        <f t="shared" si="22"/>
        <v>407664</v>
      </c>
      <c r="H30" s="331">
        <f t="shared" si="22"/>
        <v>407664</v>
      </c>
      <c r="I30" s="331">
        <f t="shared" si="22"/>
        <v>407664</v>
      </c>
      <c r="J30" s="331">
        <f t="shared" si="22"/>
        <v>407664</v>
      </c>
      <c r="K30" s="331">
        <f t="shared" si="22"/>
        <v>407664</v>
      </c>
      <c r="L30" s="331">
        <f t="shared" si="22"/>
        <v>321840</v>
      </c>
      <c r="M30" s="331"/>
    </row>
    <row r="31" spans="1:15" ht="15.75" thickBot="1">
      <c r="A31" s="453"/>
      <c r="B31" s="330">
        <f t="shared" ref="B31:M31" si="23">SUM(B19:B30)</f>
        <v>2349432</v>
      </c>
      <c r="C31" s="330">
        <f t="shared" si="23"/>
        <v>3664684.8</v>
      </c>
      <c r="D31" s="330">
        <f t="shared" si="23"/>
        <v>4959912</v>
      </c>
      <c r="E31" s="330">
        <f t="shared" si="23"/>
        <v>4959912</v>
      </c>
      <c r="F31" s="330">
        <f t="shared" si="23"/>
        <v>4959912</v>
      </c>
      <c r="G31" s="330">
        <f t="shared" si="23"/>
        <v>4973500.8</v>
      </c>
      <c r="H31" s="330">
        <f t="shared" si="23"/>
        <v>4959912</v>
      </c>
      <c r="I31" s="330">
        <f t="shared" si="23"/>
        <v>4959912</v>
      </c>
      <c r="J31" s="330">
        <f t="shared" si="23"/>
        <v>4959912</v>
      </c>
      <c r="K31" s="330">
        <f t="shared" si="23"/>
        <v>4973500.8</v>
      </c>
      <c r="L31" s="330">
        <f t="shared" si="23"/>
        <v>4004404.8</v>
      </c>
      <c r="M31" s="330">
        <f t="shared" si="23"/>
        <v>332568</v>
      </c>
    </row>
    <row r="32" spans="1:15" ht="15.75" thickTop="1">
      <c r="A32" s="453"/>
      <c r="B32" s="453"/>
      <c r="C32" s="453"/>
      <c r="D32" s="453"/>
      <c r="E32" s="453"/>
      <c r="F32" s="453"/>
      <c r="G32" s="453"/>
      <c r="H32" s="453"/>
      <c r="I32" s="453"/>
      <c r="J32" s="453"/>
      <c r="K32" s="453"/>
      <c r="L32" s="453"/>
      <c r="M32" s="453"/>
    </row>
    <row r="33" spans="1:13">
      <c r="A33" s="453" t="s">
        <v>614</v>
      </c>
      <c r="B33" s="453"/>
      <c r="C33" s="453"/>
      <c r="D33" s="453"/>
      <c r="E33" s="331"/>
      <c r="F33" s="453"/>
      <c r="G33" s="453"/>
      <c r="H33" s="332">
        <f>SUM(G24:G30,H19:H23)</f>
        <v>4959912</v>
      </c>
      <c r="I33" s="453"/>
      <c r="J33" s="453"/>
      <c r="K33" s="453"/>
      <c r="L33" s="453"/>
      <c r="M33" s="453"/>
    </row>
    <row r="34" spans="1:13">
      <c r="A34" s="453"/>
      <c r="B34" s="453"/>
      <c r="C34" s="453"/>
      <c r="D34" s="453"/>
      <c r="E34" s="333"/>
      <c r="F34" s="453"/>
      <c r="G34" s="453"/>
      <c r="H34" s="453"/>
      <c r="I34" s="453"/>
      <c r="J34" s="453"/>
      <c r="K34" s="453"/>
      <c r="L34" s="453"/>
      <c r="M34" s="453"/>
    </row>
    <row r="35" spans="1:13">
      <c r="A35" s="453"/>
      <c r="B35" s="453"/>
      <c r="C35" s="453"/>
      <c r="D35" s="453"/>
      <c r="E35" s="453"/>
      <c r="F35" s="453"/>
      <c r="G35" s="453"/>
      <c r="H35" s="453"/>
      <c r="I35" s="453"/>
      <c r="J35" s="453"/>
      <c r="K35" s="453"/>
      <c r="L35" s="453"/>
      <c r="M35" s="453"/>
    </row>
    <row r="36" spans="1:13">
      <c r="A36" s="453"/>
      <c r="B36" s="453"/>
      <c r="C36" s="453"/>
      <c r="D36" s="453"/>
      <c r="E36" s="453"/>
      <c r="F36" s="453"/>
      <c r="G36" s="453"/>
      <c r="H36" s="453"/>
      <c r="I36" s="453"/>
      <c r="J36" s="453"/>
      <c r="K36" s="453"/>
      <c r="L36" s="453"/>
      <c r="M36" s="453"/>
    </row>
    <row r="37" spans="1:13">
      <c r="A37" s="453"/>
      <c r="B37" s="453"/>
      <c r="C37" s="453"/>
      <c r="D37" s="453"/>
      <c r="E37" s="453"/>
      <c r="F37" s="453"/>
      <c r="G37" s="453"/>
      <c r="H37" s="453"/>
      <c r="I37" s="453"/>
      <c r="J37" s="453"/>
      <c r="K37" s="453"/>
      <c r="L37" s="453"/>
      <c r="M37" s="453"/>
    </row>
    <row r="38" spans="1:13">
      <c r="A38" s="453"/>
      <c r="B38" s="453"/>
      <c r="C38" s="453"/>
      <c r="D38" s="453"/>
      <c r="E38" s="453"/>
      <c r="F38" s="453"/>
      <c r="G38" s="453"/>
      <c r="H38" s="453"/>
      <c r="I38" s="453"/>
      <c r="J38" s="453"/>
      <c r="K38" s="453"/>
      <c r="L38" s="453"/>
      <c r="M38" s="453"/>
    </row>
  </sheetData>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workbookViewId="0">
      <selection activeCell="F35" sqref="F35"/>
    </sheetView>
  </sheetViews>
  <sheetFormatPr defaultRowHeight="12.75"/>
  <cols>
    <col min="1" max="2" width="9.140625" style="579"/>
    <col min="3" max="3" width="14" style="579" bestFit="1" customWidth="1"/>
    <col min="4" max="4" width="15.140625" style="578" customWidth="1"/>
    <col min="5" max="5" width="12.28515625" style="579" bestFit="1" customWidth="1"/>
    <col min="6" max="16" width="11.28515625" style="579" bestFit="1" customWidth="1"/>
    <col min="17" max="18" width="9.140625" style="579"/>
    <col min="19" max="19" width="14.28515625" style="579" customWidth="1"/>
    <col min="20" max="28" width="12.28515625" style="579" bestFit="1" customWidth="1"/>
    <col min="29" max="29" width="14" style="579" bestFit="1" customWidth="1"/>
    <col min="30" max="31" width="12.28515625" style="579" bestFit="1" customWidth="1"/>
    <col min="32" max="32" width="14" style="579" bestFit="1" customWidth="1"/>
    <col min="33" max="16384" width="9.140625" style="579"/>
  </cols>
  <sheetData>
    <row r="1" spans="2:32">
      <c r="B1" s="578" t="s">
        <v>685</v>
      </c>
    </row>
    <row r="2" spans="2:32">
      <c r="H2" s="580"/>
    </row>
    <row r="5" spans="2:32">
      <c r="B5" s="578" t="s">
        <v>637</v>
      </c>
    </row>
    <row r="6" spans="2:32" ht="38.25">
      <c r="B6" s="579" t="s">
        <v>633</v>
      </c>
      <c r="C6" s="579" t="s">
        <v>632</v>
      </c>
      <c r="D6" s="581" t="s">
        <v>686</v>
      </c>
      <c r="E6" s="579" t="s">
        <v>243</v>
      </c>
      <c r="F6" s="579" t="s">
        <v>244</v>
      </c>
      <c r="G6" s="579" t="s">
        <v>245</v>
      </c>
      <c r="H6" s="579" t="s">
        <v>246</v>
      </c>
      <c r="I6" s="579" t="s">
        <v>247</v>
      </c>
      <c r="J6" s="579" t="s">
        <v>248</v>
      </c>
      <c r="K6" s="579" t="s">
        <v>249</v>
      </c>
      <c r="L6" s="579" t="s">
        <v>250</v>
      </c>
      <c r="M6" s="579" t="s">
        <v>631</v>
      </c>
      <c r="N6" s="582" t="s">
        <v>252</v>
      </c>
      <c r="O6" s="582" t="s">
        <v>253</v>
      </c>
      <c r="P6" s="582" t="s">
        <v>254</v>
      </c>
    </row>
    <row r="7" spans="2:32">
      <c r="B7" s="583">
        <v>2016</v>
      </c>
      <c r="C7" s="584">
        <f>SUM(E7:P7)</f>
        <v>2906791.3889755737</v>
      </c>
      <c r="D7" s="591">
        <f>SUM(E7:P7)</f>
        <v>2906791.3889755737</v>
      </c>
      <c r="E7" s="589">
        <v>446633.94653440866</v>
      </c>
      <c r="F7" s="589">
        <v>421151.14540229889</v>
      </c>
      <c r="G7" s="589">
        <v>454306.6186496187</v>
      </c>
      <c r="H7" s="589">
        <v>426620.37383333337</v>
      </c>
      <c r="I7" s="589">
        <v>460393.43525591405</v>
      </c>
      <c r="J7" s="589">
        <v>38287.147600000011</v>
      </c>
      <c r="K7" s="589">
        <v>139869.83720000001</v>
      </c>
      <c r="L7" s="589">
        <v>439756.03060000006</v>
      </c>
      <c r="M7" s="589">
        <v>12710.599499999998</v>
      </c>
      <c r="N7" s="589">
        <v>6252.5999999999995</v>
      </c>
      <c r="O7" s="589">
        <v>10047.384299999996</v>
      </c>
      <c r="P7" s="589">
        <v>50762.270099999987</v>
      </c>
      <c r="T7" s="584"/>
      <c r="U7" s="584"/>
      <c r="V7" s="584"/>
      <c r="W7" s="584"/>
      <c r="X7" s="584"/>
      <c r="Y7" s="584"/>
      <c r="Z7" s="584"/>
      <c r="AA7" s="584"/>
      <c r="AB7" s="584"/>
      <c r="AC7" s="584"/>
      <c r="AD7" s="584"/>
      <c r="AE7" s="584"/>
      <c r="AF7" s="584"/>
    </row>
    <row r="8" spans="2:32">
      <c r="B8" s="583">
        <v>2017</v>
      </c>
      <c r="C8" s="584">
        <f>SUM(E8:P8)</f>
        <v>609367.10699999996</v>
      </c>
      <c r="D8" s="591">
        <f>SUM(E8:P8)</f>
        <v>609367.10699999996</v>
      </c>
      <c r="E8" s="589">
        <v>11035.087800000001</v>
      </c>
      <c r="F8" s="589">
        <v>19480.657699999992</v>
      </c>
      <c r="G8" s="589">
        <v>52918.530200000016</v>
      </c>
      <c r="H8" s="589">
        <v>80125.550400000007</v>
      </c>
      <c r="I8" s="589">
        <v>81630.439199999964</v>
      </c>
      <c r="J8" s="589">
        <v>48308.759900000012</v>
      </c>
      <c r="K8" s="589">
        <v>57163.723200000015</v>
      </c>
      <c r="L8" s="589">
        <v>20595.765299999999</v>
      </c>
      <c r="M8" s="589">
        <v>151234.99060000002</v>
      </c>
      <c r="N8" s="589">
        <v>8528.6167999999998</v>
      </c>
      <c r="O8" s="589">
        <v>6252.5999999999995</v>
      </c>
      <c r="P8" s="589">
        <v>72092.385899999994</v>
      </c>
      <c r="T8" s="584"/>
      <c r="U8" s="584"/>
      <c r="V8" s="584"/>
      <c r="W8" s="584"/>
      <c r="X8" s="584"/>
      <c r="Y8" s="584"/>
      <c r="Z8" s="584"/>
      <c r="AA8" s="584"/>
      <c r="AB8" s="584"/>
      <c r="AC8" s="584"/>
      <c r="AD8" s="584"/>
      <c r="AE8" s="584"/>
      <c r="AF8" s="584"/>
    </row>
    <row r="9" spans="2:32">
      <c r="B9" s="583">
        <v>2018</v>
      </c>
      <c r="C9" s="584">
        <f>SUM(E9:P9)</f>
        <v>746746.6078809523</v>
      </c>
      <c r="D9" s="591">
        <f>SUM(E9:P9)</f>
        <v>746746.6078809523</v>
      </c>
      <c r="E9" s="589">
        <v>19716.023266666667</v>
      </c>
      <c r="F9" s="589">
        <v>55198.701300000015</v>
      </c>
      <c r="G9" s="589">
        <v>8569.4087999999992</v>
      </c>
      <c r="H9" s="589">
        <v>6324.1724999999997</v>
      </c>
      <c r="I9" s="589">
        <v>6538.8899999999994</v>
      </c>
      <c r="J9" s="589">
        <v>6302.7009999999991</v>
      </c>
      <c r="K9" s="589">
        <v>10629.276899999999</v>
      </c>
      <c r="L9" s="589">
        <v>598492.07101428567</v>
      </c>
      <c r="M9" s="589">
        <v>7171.5908999999983</v>
      </c>
      <c r="N9" s="589">
        <v>9607.2141000000011</v>
      </c>
      <c r="O9" s="589">
        <v>11943.9581</v>
      </c>
      <c r="P9" s="589">
        <v>6252.5999999999995</v>
      </c>
      <c r="T9" s="584"/>
      <c r="U9" s="584"/>
      <c r="V9" s="584"/>
      <c r="W9" s="584"/>
      <c r="X9" s="584"/>
      <c r="Y9" s="584"/>
      <c r="Z9" s="584"/>
      <c r="AA9" s="584"/>
      <c r="AB9" s="584"/>
      <c r="AC9" s="584"/>
      <c r="AD9" s="584"/>
      <c r="AE9" s="584"/>
      <c r="AF9" s="584"/>
    </row>
    <row r="10" spans="2:32">
      <c r="B10" s="579" t="s">
        <v>630</v>
      </c>
      <c r="C10" s="584">
        <f>AVERAGE(C7:C9)</f>
        <v>1420968.3679521754</v>
      </c>
      <c r="D10" s="591">
        <f>AVERAGE(D8:D9)</f>
        <v>678056.85744047607</v>
      </c>
      <c r="E10" s="592"/>
      <c r="F10" s="592"/>
      <c r="G10" s="592"/>
      <c r="H10" s="592"/>
      <c r="I10" s="592"/>
      <c r="J10" s="592"/>
      <c r="K10" s="592"/>
      <c r="L10" s="592"/>
      <c r="M10" s="592"/>
      <c r="N10" s="592"/>
      <c r="O10" s="592"/>
      <c r="P10" s="592"/>
      <c r="T10" s="584"/>
      <c r="U10" s="584"/>
      <c r="V10" s="584"/>
      <c r="W10" s="584"/>
      <c r="X10" s="584"/>
      <c r="Y10" s="584"/>
      <c r="Z10" s="584"/>
      <c r="AA10" s="584"/>
      <c r="AB10" s="584"/>
      <c r="AC10" s="584"/>
      <c r="AD10" s="584"/>
      <c r="AE10" s="584"/>
      <c r="AF10" s="584"/>
    </row>
    <row r="11" spans="2:32">
      <c r="B11" s="586"/>
      <c r="C11" s="582"/>
      <c r="D11" s="587"/>
      <c r="E11" s="582"/>
      <c r="F11" s="582"/>
      <c r="G11" s="582"/>
      <c r="H11" s="582"/>
      <c r="I11" s="582"/>
      <c r="J11" s="582"/>
      <c r="K11" s="582"/>
      <c r="L11" s="582"/>
      <c r="M11" s="582"/>
      <c r="N11" s="582"/>
      <c r="O11" s="582"/>
      <c r="P11" s="582"/>
      <c r="T11" s="584"/>
      <c r="U11" s="584"/>
      <c r="V11" s="584"/>
      <c r="W11" s="584"/>
      <c r="X11" s="584"/>
      <c r="Y11" s="584"/>
      <c r="Z11" s="584"/>
      <c r="AA11" s="584"/>
      <c r="AB11" s="584"/>
      <c r="AC11" s="584"/>
      <c r="AD11" s="584"/>
      <c r="AE11" s="584"/>
      <c r="AF11" s="584"/>
    </row>
    <row r="12" spans="2:32">
      <c r="B12" s="588" t="s">
        <v>636</v>
      </c>
      <c r="C12" s="770" t="s">
        <v>922</v>
      </c>
      <c r="E12" s="582"/>
      <c r="F12" s="582"/>
      <c r="G12" s="582"/>
      <c r="H12" s="582"/>
      <c r="I12" s="582"/>
      <c r="J12" s="582"/>
      <c r="K12" s="582"/>
      <c r="L12" s="582"/>
      <c r="M12" s="582"/>
      <c r="N12" s="582"/>
      <c r="O12" s="582"/>
      <c r="P12" s="582"/>
      <c r="T12" s="582"/>
      <c r="U12" s="582"/>
      <c r="V12" s="582"/>
      <c r="W12" s="582"/>
      <c r="X12" s="582"/>
      <c r="Y12" s="582"/>
      <c r="Z12" s="582"/>
      <c r="AA12" s="582"/>
      <c r="AB12" s="582"/>
      <c r="AC12" s="582"/>
      <c r="AD12" s="582"/>
      <c r="AE12" s="582"/>
      <c r="AF12" s="582"/>
    </row>
    <row r="13" spans="2:32">
      <c r="C13" s="582"/>
      <c r="D13" s="587"/>
      <c r="E13" s="582"/>
      <c r="F13" s="582"/>
      <c r="G13" s="582"/>
      <c r="H13" s="582"/>
      <c r="I13" s="582"/>
      <c r="J13" s="582"/>
      <c r="K13" s="582"/>
      <c r="L13" s="582"/>
      <c r="M13" s="582"/>
      <c r="N13" s="582"/>
      <c r="O13" s="582"/>
      <c r="P13" s="582"/>
      <c r="T13" s="582"/>
      <c r="U13" s="582"/>
      <c r="V13" s="582"/>
      <c r="W13" s="582"/>
      <c r="X13" s="582"/>
      <c r="Y13" s="582"/>
      <c r="Z13" s="582"/>
      <c r="AA13" s="582"/>
      <c r="AB13" s="582"/>
      <c r="AC13" s="582"/>
      <c r="AD13" s="582"/>
      <c r="AE13" s="582"/>
      <c r="AF13" s="582"/>
    </row>
    <row r="14" spans="2:32">
      <c r="C14" s="582"/>
      <c r="D14" s="587"/>
      <c r="E14" s="582"/>
      <c r="F14" s="582"/>
      <c r="G14" s="582"/>
      <c r="H14" s="582"/>
      <c r="I14" s="582"/>
      <c r="J14" s="582"/>
      <c r="K14" s="582"/>
      <c r="L14" s="582"/>
      <c r="M14" s="582"/>
      <c r="N14" s="582"/>
      <c r="O14" s="582"/>
      <c r="P14" s="582"/>
      <c r="T14" s="582"/>
      <c r="U14" s="582"/>
      <c r="V14" s="582"/>
      <c r="W14" s="582"/>
      <c r="X14" s="582"/>
      <c r="Y14" s="582"/>
      <c r="Z14" s="582"/>
      <c r="AA14" s="582"/>
      <c r="AB14" s="582"/>
      <c r="AC14" s="582"/>
      <c r="AD14" s="582"/>
      <c r="AE14" s="582"/>
      <c r="AF14" s="582"/>
    </row>
    <row r="15" spans="2:32">
      <c r="C15" s="582"/>
      <c r="D15" s="587"/>
      <c r="E15" s="582"/>
      <c r="F15" s="582"/>
      <c r="G15" s="582"/>
      <c r="H15" s="582"/>
      <c r="I15" s="582"/>
      <c r="J15" s="582"/>
      <c r="K15" s="582"/>
      <c r="L15" s="582"/>
      <c r="M15" s="582"/>
      <c r="N15" s="582"/>
      <c r="O15" s="582"/>
      <c r="P15" s="582"/>
      <c r="T15" s="582"/>
      <c r="U15" s="582"/>
      <c r="V15" s="582"/>
      <c r="W15" s="582"/>
      <c r="X15" s="582"/>
      <c r="Y15" s="582"/>
      <c r="Z15" s="582"/>
      <c r="AA15" s="582"/>
      <c r="AB15" s="582"/>
      <c r="AC15" s="582"/>
      <c r="AD15" s="582"/>
      <c r="AE15" s="582"/>
      <c r="AF15" s="582"/>
    </row>
    <row r="16" spans="2:32">
      <c r="B16" s="578" t="s">
        <v>635</v>
      </c>
      <c r="C16" s="582"/>
      <c r="D16" s="587"/>
      <c r="E16" s="582"/>
      <c r="F16" s="582"/>
      <c r="G16" s="582"/>
      <c r="H16" s="582"/>
      <c r="I16" s="582"/>
      <c r="J16" s="582"/>
      <c r="K16" s="582"/>
      <c r="L16" s="582"/>
      <c r="M16" s="582"/>
      <c r="N16" s="582"/>
      <c r="O16" s="582"/>
      <c r="P16" s="582"/>
      <c r="T16" s="582"/>
      <c r="U16" s="582"/>
      <c r="V16" s="582"/>
      <c r="X16" s="582"/>
      <c r="Y16" s="582"/>
      <c r="Z16" s="582"/>
      <c r="AA16" s="582"/>
      <c r="AB16" s="582"/>
      <c r="AC16" s="582"/>
      <c r="AD16" s="582"/>
      <c r="AE16" s="582"/>
      <c r="AF16" s="582"/>
    </row>
    <row r="17" spans="2:32" ht="38.25">
      <c r="B17" s="579" t="s">
        <v>633</v>
      </c>
      <c r="C17" s="579" t="s">
        <v>632</v>
      </c>
      <c r="D17" s="593" t="s">
        <v>686</v>
      </c>
      <c r="E17" s="594" t="s">
        <v>243</v>
      </c>
      <c r="F17" s="594" t="s">
        <v>244</v>
      </c>
      <c r="G17" s="594" t="s">
        <v>245</v>
      </c>
      <c r="H17" s="594" t="s">
        <v>246</v>
      </c>
      <c r="I17" s="594" t="s">
        <v>247</v>
      </c>
      <c r="J17" s="594" t="s">
        <v>248</v>
      </c>
      <c r="K17" s="594" t="s">
        <v>249</v>
      </c>
      <c r="L17" s="594" t="s">
        <v>250</v>
      </c>
      <c r="M17" s="594" t="s">
        <v>631</v>
      </c>
      <c r="N17" s="592" t="s">
        <v>252</v>
      </c>
      <c r="O17" s="592" t="s">
        <v>253</v>
      </c>
      <c r="P17" s="592" t="s">
        <v>254</v>
      </c>
      <c r="Q17" s="594"/>
      <c r="R17" s="594"/>
      <c r="S17" s="594"/>
      <c r="T17" s="582"/>
      <c r="U17" s="582"/>
      <c r="V17" s="582"/>
      <c r="W17" s="582"/>
      <c r="X17" s="582"/>
      <c r="Y17" s="582"/>
      <c r="Z17" s="582"/>
      <c r="AA17" s="582"/>
      <c r="AB17" s="582"/>
      <c r="AC17" s="582"/>
      <c r="AD17" s="582"/>
      <c r="AE17" s="582"/>
      <c r="AF17" s="582"/>
    </row>
    <row r="18" spans="2:32">
      <c r="B18" s="583">
        <v>2016</v>
      </c>
      <c r="C18" s="584">
        <f>SUM(E18:P18)</f>
        <v>5669971.8458752697</v>
      </c>
      <c r="D18" s="591">
        <f>SUM(E18:P18)</f>
        <v>5669971.8458752697</v>
      </c>
      <c r="E18" s="589">
        <v>504988.19253333344</v>
      </c>
      <c r="F18" s="589">
        <v>459292.51293333323</v>
      </c>
      <c r="G18" s="589">
        <v>469381.77380000014</v>
      </c>
      <c r="H18" s="589">
        <v>455191.29203333333</v>
      </c>
      <c r="I18" s="589">
        <v>452505.90066666668</v>
      </c>
      <c r="J18" s="589">
        <v>459391.69366666675</v>
      </c>
      <c r="K18" s="589">
        <v>472910.32907419372</v>
      </c>
      <c r="L18" s="589">
        <v>289854.71746774204</v>
      </c>
      <c r="M18" s="589">
        <v>452343.99966666684</v>
      </c>
      <c r="N18" s="589">
        <v>457656.46076666651</v>
      </c>
      <c r="O18" s="589">
        <v>593614.87450000038</v>
      </c>
      <c r="P18" s="589">
        <v>602840.09876666695</v>
      </c>
      <c r="Q18" s="594"/>
      <c r="R18" s="594"/>
      <c r="S18" s="594"/>
      <c r="T18" s="584"/>
      <c r="U18" s="584"/>
      <c r="V18" s="584"/>
      <c r="W18" s="584"/>
      <c r="X18" s="584"/>
      <c r="Y18" s="584"/>
      <c r="Z18" s="584"/>
      <c r="AA18" s="584"/>
      <c r="AB18" s="584"/>
      <c r="AC18" s="584"/>
      <c r="AD18" s="584"/>
      <c r="AE18" s="584"/>
      <c r="AF18" s="584"/>
    </row>
    <row r="19" spans="2:32">
      <c r="B19" s="583">
        <v>2017</v>
      </c>
      <c r="C19" s="584">
        <f>SUM(E19:P19)</f>
        <v>5592344.4462666679</v>
      </c>
      <c r="D19" s="591">
        <f>SUM(E19:P19)</f>
        <v>5592344.4462666679</v>
      </c>
      <c r="E19" s="589">
        <v>465748.56396666699</v>
      </c>
      <c r="F19" s="589">
        <v>464421.59766666673</v>
      </c>
      <c r="G19" s="589">
        <v>452052.54946666677</v>
      </c>
      <c r="H19" s="589">
        <v>453199.07606666669</v>
      </c>
      <c r="I19" s="589">
        <v>450947.77626666677</v>
      </c>
      <c r="J19" s="589">
        <v>460338.15556666686</v>
      </c>
      <c r="K19" s="589">
        <v>456413.47806666681</v>
      </c>
      <c r="L19" s="589">
        <v>453292.13646666677</v>
      </c>
      <c r="M19" s="589">
        <v>454667.57996666688</v>
      </c>
      <c r="N19" s="589">
        <v>450928.83336666663</v>
      </c>
      <c r="O19" s="589">
        <v>493618.08193333365</v>
      </c>
      <c r="P19" s="589">
        <v>536716.6174666672</v>
      </c>
      <c r="Q19" s="594"/>
      <c r="R19" s="594"/>
      <c r="S19" s="594"/>
      <c r="T19" s="584"/>
      <c r="U19" s="584"/>
      <c r="V19" s="584"/>
      <c r="W19" s="584"/>
      <c r="X19" s="584"/>
      <c r="Y19" s="584"/>
      <c r="Z19" s="584"/>
      <c r="AA19" s="584"/>
      <c r="AB19" s="584"/>
      <c r="AC19" s="584"/>
      <c r="AD19" s="584"/>
      <c r="AE19" s="584"/>
      <c r="AF19" s="584"/>
    </row>
    <row r="20" spans="2:32">
      <c r="B20" s="583">
        <v>2018</v>
      </c>
      <c r="C20" s="584">
        <f>SUM(E20:P20)</f>
        <v>6101465.5810655914</v>
      </c>
      <c r="D20" s="591">
        <f>SUM(E20:P20)</f>
        <v>6101465.5810655914</v>
      </c>
      <c r="E20" s="589">
        <v>582947.67319999973</v>
      </c>
      <c r="F20" s="589">
        <v>519304.46226666676</v>
      </c>
      <c r="G20" s="589">
        <v>476274.55360000028</v>
      </c>
      <c r="H20" s="589">
        <v>456136.75353333337</v>
      </c>
      <c r="I20" s="589">
        <v>455647.63046666677</v>
      </c>
      <c r="J20" s="589">
        <v>460622.90736666706</v>
      </c>
      <c r="K20" s="589">
        <v>476181.78886666679</v>
      </c>
      <c r="L20" s="589">
        <v>530041.20109892462</v>
      </c>
      <c r="M20" s="589">
        <v>456609.06846666662</v>
      </c>
      <c r="N20" s="589">
        <v>711714.61396666674</v>
      </c>
      <c r="O20" s="589">
        <v>477709.53286666656</v>
      </c>
      <c r="P20" s="589">
        <v>498275.39536666707</v>
      </c>
      <c r="Q20" s="594"/>
      <c r="R20" s="594"/>
      <c r="S20" s="594"/>
      <c r="T20" s="584"/>
      <c r="U20" s="584"/>
      <c r="V20" s="584"/>
      <c r="W20" s="584"/>
      <c r="X20" s="584"/>
      <c r="Y20" s="584"/>
      <c r="Z20" s="584"/>
      <c r="AA20" s="584"/>
      <c r="AB20" s="584"/>
      <c r="AC20" s="584"/>
      <c r="AD20" s="584"/>
      <c r="AE20" s="584"/>
      <c r="AF20" s="584"/>
    </row>
    <row r="21" spans="2:32">
      <c r="B21" s="579" t="s">
        <v>630</v>
      </c>
      <c r="C21" s="584">
        <f>AVERAGE(C18:C20)</f>
        <v>5787927.291069176</v>
      </c>
      <c r="D21" s="591">
        <f>AVERAGE(D18:D20)</f>
        <v>5787927.291069176</v>
      </c>
      <c r="E21" s="592"/>
      <c r="F21" s="592"/>
      <c r="G21" s="592"/>
      <c r="H21" s="592"/>
      <c r="I21" s="592"/>
      <c r="J21" s="592"/>
      <c r="K21" s="592"/>
      <c r="L21" s="592"/>
      <c r="M21" s="592"/>
      <c r="N21" s="592"/>
      <c r="O21" s="592"/>
      <c r="P21" s="592"/>
      <c r="Q21" s="594"/>
      <c r="R21" s="594"/>
      <c r="S21" s="594"/>
      <c r="T21" s="584"/>
      <c r="U21" s="584"/>
      <c r="V21" s="584"/>
      <c r="W21" s="584"/>
      <c r="X21" s="584"/>
      <c r="Y21" s="584"/>
      <c r="Z21" s="584"/>
      <c r="AA21" s="584"/>
      <c r="AB21" s="584"/>
      <c r="AC21" s="584"/>
      <c r="AD21" s="584"/>
      <c r="AE21" s="584"/>
      <c r="AF21" s="584"/>
    </row>
    <row r="22" spans="2:32">
      <c r="B22" s="586"/>
      <c r="C22" s="582"/>
      <c r="D22" s="595"/>
      <c r="E22" s="592"/>
      <c r="F22" s="592"/>
      <c r="G22" s="592"/>
      <c r="H22" s="592"/>
      <c r="I22" s="592"/>
      <c r="J22" s="592"/>
      <c r="K22" s="592"/>
      <c r="L22" s="592"/>
      <c r="M22" s="592"/>
      <c r="N22" s="592"/>
      <c r="O22" s="592"/>
      <c r="P22" s="592"/>
      <c r="Q22" s="594"/>
      <c r="R22" s="594"/>
      <c r="S22" s="594"/>
      <c r="T22" s="584"/>
      <c r="U22" s="584"/>
      <c r="V22" s="584"/>
      <c r="W22" s="584"/>
      <c r="X22" s="584"/>
      <c r="Y22" s="584"/>
      <c r="Z22" s="584"/>
      <c r="AA22" s="584"/>
      <c r="AB22" s="584"/>
      <c r="AC22" s="584"/>
      <c r="AD22" s="584"/>
      <c r="AE22" s="584"/>
      <c r="AF22" s="584"/>
    </row>
    <row r="23" spans="2:32">
      <c r="B23" s="588"/>
      <c r="C23" s="585"/>
      <c r="D23" s="591"/>
      <c r="E23" s="592"/>
      <c r="F23" s="592"/>
      <c r="G23" s="592"/>
      <c r="H23" s="592"/>
      <c r="I23" s="592"/>
      <c r="J23" s="592"/>
      <c r="K23" s="592"/>
      <c r="L23" s="592"/>
      <c r="M23" s="592"/>
      <c r="N23" s="592"/>
      <c r="O23" s="592"/>
      <c r="P23" s="592"/>
      <c r="Q23" s="594"/>
      <c r="R23" s="594"/>
      <c r="S23" s="594"/>
      <c r="T23" s="582"/>
      <c r="U23" s="582"/>
      <c r="V23" s="582"/>
      <c r="W23" s="582"/>
      <c r="X23" s="582"/>
      <c r="Y23" s="582"/>
      <c r="Z23" s="582"/>
      <c r="AA23" s="582"/>
      <c r="AB23" s="582"/>
      <c r="AC23" s="582"/>
      <c r="AD23" s="582"/>
      <c r="AE23" s="582"/>
      <c r="AF23" s="582"/>
    </row>
    <row r="24" spans="2:32">
      <c r="C24" s="582"/>
      <c r="D24" s="595"/>
      <c r="E24" s="592"/>
      <c r="F24" s="592"/>
      <c r="G24" s="592"/>
      <c r="H24" s="592"/>
      <c r="I24" s="592"/>
      <c r="J24" s="592"/>
      <c r="K24" s="592"/>
      <c r="L24" s="592"/>
      <c r="M24" s="592"/>
      <c r="N24" s="592"/>
      <c r="O24" s="592"/>
      <c r="P24" s="592"/>
      <c r="Q24" s="594"/>
      <c r="R24" s="594"/>
      <c r="S24" s="594"/>
      <c r="T24" s="582"/>
      <c r="U24" s="582"/>
      <c r="V24" s="582"/>
      <c r="W24" s="582"/>
      <c r="X24" s="582"/>
      <c r="Y24" s="582"/>
      <c r="Z24" s="582"/>
      <c r="AA24" s="582"/>
      <c r="AB24" s="582"/>
      <c r="AC24" s="582"/>
      <c r="AD24" s="582"/>
      <c r="AE24" s="582"/>
      <c r="AF24" s="582"/>
    </row>
    <row r="25" spans="2:32">
      <c r="C25" s="582"/>
      <c r="D25" s="595"/>
      <c r="E25" s="592"/>
      <c r="F25" s="592"/>
      <c r="G25" s="592"/>
      <c r="H25" s="592"/>
      <c r="I25" s="592"/>
      <c r="J25" s="592"/>
      <c r="K25" s="592"/>
      <c r="L25" s="592"/>
      <c r="M25" s="592"/>
      <c r="N25" s="592"/>
      <c r="O25" s="592"/>
      <c r="P25" s="592"/>
      <c r="Q25" s="594"/>
      <c r="R25" s="594"/>
      <c r="S25" s="594"/>
      <c r="T25" s="582"/>
      <c r="U25" s="582"/>
      <c r="V25" s="582"/>
      <c r="W25" s="582"/>
      <c r="X25" s="582"/>
      <c r="Y25" s="582"/>
      <c r="Z25" s="582"/>
      <c r="AA25" s="582"/>
      <c r="AB25" s="582"/>
      <c r="AC25" s="582"/>
      <c r="AD25" s="582"/>
      <c r="AE25" s="582"/>
      <c r="AF25" s="582"/>
    </row>
    <row r="26" spans="2:32">
      <c r="C26" s="582"/>
      <c r="D26" s="595"/>
      <c r="E26" s="592"/>
      <c r="F26" s="592"/>
      <c r="G26" s="592"/>
      <c r="H26" s="592"/>
      <c r="I26" s="592"/>
      <c r="J26" s="592"/>
      <c r="K26" s="592"/>
      <c r="L26" s="592"/>
      <c r="M26" s="592"/>
      <c r="N26" s="592"/>
      <c r="O26" s="592"/>
      <c r="P26" s="592"/>
      <c r="Q26" s="594"/>
      <c r="R26" s="594"/>
      <c r="S26" s="594"/>
      <c r="T26" s="582"/>
      <c r="U26" s="582"/>
      <c r="V26" s="582"/>
      <c r="W26" s="582"/>
      <c r="X26" s="582"/>
      <c r="Y26" s="582"/>
      <c r="Z26" s="582"/>
      <c r="AA26" s="582"/>
      <c r="AB26" s="582"/>
      <c r="AC26" s="582"/>
      <c r="AD26" s="582"/>
      <c r="AE26" s="582"/>
      <c r="AF26" s="582"/>
    </row>
    <row r="27" spans="2:32">
      <c r="B27" s="578" t="s">
        <v>634</v>
      </c>
      <c r="C27" s="582"/>
      <c r="D27" s="587"/>
      <c r="E27" s="582"/>
      <c r="F27" s="582"/>
      <c r="G27" s="582"/>
      <c r="H27" s="582"/>
      <c r="I27" s="582"/>
      <c r="J27" s="582"/>
      <c r="K27" s="582"/>
      <c r="L27" s="582"/>
      <c r="M27" s="582"/>
      <c r="N27" s="582"/>
      <c r="O27" s="582"/>
      <c r="P27" s="582"/>
      <c r="T27" s="582"/>
      <c r="U27" s="582"/>
      <c r="V27" s="582"/>
      <c r="W27" s="582"/>
      <c r="X27" s="582"/>
      <c r="Y27" s="582"/>
      <c r="Z27" s="582"/>
      <c r="AA27" s="582"/>
      <c r="AB27" s="582"/>
      <c r="AC27" s="582"/>
      <c r="AD27" s="582"/>
      <c r="AE27" s="582"/>
      <c r="AF27" s="582"/>
    </row>
    <row r="28" spans="2:32" ht="38.25">
      <c r="B28" s="579" t="s">
        <v>633</v>
      </c>
      <c r="C28" s="579" t="s">
        <v>632</v>
      </c>
      <c r="D28" s="593" t="s">
        <v>686</v>
      </c>
      <c r="E28" s="594" t="s">
        <v>243</v>
      </c>
      <c r="F28" s="594" t="s">
        <v>244</v>
      </c>
      <c r="G28" s="594" t="s">
        <v>245</v>
      </c>
      <c r="H28" s="594" t="s">
        <v>246</v>
      </c>
      <c r="I28" s="594" t="s">
        <v>247</v>
      </c>
      <c r="J28" s="594" t="s">
        <v>248</v>
      </c>
      <c r="K28" s="594" t="s">
        <v>249</v>
      </c>
      <c r="L28" s="594" t="s">
        <v>250</v>
      </c>
      <c r="M28" s="594" t="s">
        <v>631</v>
      </c>
      <c r="N28" s="592" t="s">
        <v>252</v>
      </c>
      <c r="O28" s="592" t="s">
        <v>253</v>
      </c>
      <c r="P28" s="592" t="s">
        <v>254</v>
      </c>
      <c r="Q28" s="594"/>
      <c r="T28" s="582"/>
      <c r="U28" s="582"/>
      <c r="V28" s="582"/>
      <c r="X28" s="582"/>
      <c r="Y28" s="582"/>
      <c r="Z28" s="582"/>
      <c r="AA28" s="582"/>
      <c r="AB28" s="582"/>
      <c r="AC28" s="582"/>
      <c r="AD28" s="582"/>
      <c r="AE28" s="582"/>
      <c r="AF28" s="582"/>
    </row>
    <row r="29" spans="2:32">
      <c r="B29" s="583">
        <v>2016</v>
      </c>
      <c r="C29" s="589">
        <f>SUM(E29:P29)</f>
        <v>0</v>
      </c>
      <c r="D29" s="591">
        <f>SUM(E29:P29)</f>
        <v>0</v>
      </c>
      <c r="E29" s="589"/>
      <c r="F29" s="589"/>
      <c r="G29" s="589"/>
      <c r="H29" s="589"/>
      <c r="I29" s="589"/>
      <c r="J29" s="589"/>
      <c r="K29" s="589"/>
      <c r="L29" s="589"/>
      <c r="M29" s="589"/>
      <c r="N29" s="589"/>
      <c r="O29" s="589"/>
      <c r="P29" s="589"/>
      <c r="Q29" s="594"/>
      <c r="T29" s="584"/>
      <c r="U29" s="584"/>
      <c r="V29" s="584"/>
      <c r="W29" s="584"/>
      <c r="X29" s="584"/>
      <c r="Y29" s="584"/>
      <c r="Z29" s="584"/>
      <c r="AA29" s="584"/>
      <c r="AB29" s="584"/>
      <c r="AC29" s="584"/>
      <c r="AD29" s="584"/>
      <c r="AE29" s="584"/>
      <c r="AF29" s="584"/>
    </row>
    <row r="30" spans="2:32">
      <c r="B30" s="583">
        <v>2017</v>
      </c>
      <c r="C30" s="589">
        <f>SUM(E30:P30)</f>
        <v>0</v>
      </c>
      <c r="D30" s="591"/>
      <c r="E30" s="589"/>
      <c r="F30" s="589"/>
      <c r="G30" s="589"/>
      <c r="H30" s="589"/>
      <c r="I30" s="589"/>
      <c r="J30" s="589"/>
      <c r="K30" s="589"/>
      <c r="L30" s="589"/>
      <c r="M30" s="589"/>
      <c r="N30" s="589"/>
      <c r="O30" s="589"/>
      <c r="P30" s="589"/>
      <c r="Q30" s="594"/>
      <c r="T30" s="584"/>
      <c r="U30" s="584"/>
      <c r="V30" s="584"/>
      <c r="W30" s="584"/>
      <c r="X30" s="584"/>
      <c r="Y30" s="584"/>
      <c r="Z30" s="584"/>
      <c r="AA30" s="584"/>
      <c r="AB30" s="584"/>
      <c r="AC30" s="584"/>
      <c r="AD30" s="584"/>
      <c r="AE30" s="584"/>
      <c r="AF30" s="584"/>
    </row>
    <row r="31" spans="2:32">
      <c r="B31" s="583">
        <v>2018</v>
      </c>
      <c r="C31" s="589"/>
      <c r="D31" s="591"/>
      <c r="E31" s="589"/>
      <c r="F31" s="589"/>
      <c r="G31" s="589"/>
      <c r="H31" s="589"/>
      <c r="I31" s="589"/>
      <c r="J31" s="589"/>
      <c r="K31" s="589"/>
      <c r="L31" s="589"/>
      <c r="M31" s="589"/>
      <c r="N31" s="589"/>
      <c r="O31" s="589"/>
      <c r="P31" s="589"/>
      <c r="Q31" s="594"/>
      <c r="T31" s="584"/>
      <c r="U31" s="584"/>
      <c r="V31" s="584"/>
      <c r="W31" s="584"/>
      <c r="X31" s="584"/>
      <c r="Y31" s="584"/>
      <c r="Z31" s="584"/>
      <c r="AA31" s="584"/>
      <c r="AB31" s="584"/>
      <c r="AC31" s="584"/>
      <c r="AD31" s="584"/>
      <c r="AE31" s="584"/>
      <c r="AF31" s="584"/>
    </row>
    <row r="32" spans="2:32">
      <c r="B32" s="579" t="s">
        <v>630</v>
      </c>
      <c r="C32" s="584">
        <f>AVERAGE(C29:C29)</f>
        <v>0</v>
      </c>
      <c r="D32" s="585">
        <f>AVERAGE(D29:D30)</f>
        <v>0</v>
      </c>
      <c r="E32" s="582"/>
      <c r="F32" s="582"/>
      <c r="G32" s="582"/>
      <c r="H32" s="582"/>
      <c r="I32" s="582"/>
      <c r="J32" s="582"/>
      <c r="K32" s="582"/>
      <c r="L32" s="582"/>
      <c r="M32" s="582"/>
      <c r="N32" s="582"/>
      <c r="O32" s="582"/>
      <c r="P32" s="582"/>
      <c r="T32" s="584"/>
      <c r="U32" s="584"/>
      <c r="V32" s="584"/>
      <c r="W32" s="584"/>
      <c r="X32" s="584"/>
      <c r="Y32" s="584"/>
      <c r="Z32" s="584"/>
      <c r="AA32" s="584"/>
      <c r="AB32" s="584"/>
      <c r="AC32" s="584"/>
      <c r="AD32" s="584"/>
      <c r="AE32" s="584"/>
      <c r="AF32" s="584"/>
    </row>
    <row r="33" spans="2:32">
      <c r="B33" s="586"/>
      <c r="C33" s="582"/>
      <c r="D33" s="587"/>
      <c r="T33" s="584"/>
      <c r="U33" s="584"/>
      <c r="V33" s="584"/>
      <c r="W33" s="584"/>
      <c r="X33" s="584"/>
      <c r="Y33" s="584"/>
      <c r="Z33" s="584"/>
      <c r="AA33" s="584"/>
      <c r="AB33" s="584"/>
      <c r="AC33" s="584"/>
      <c r="AD33" s="584"/>
      <c r="AE33" s="584"/>
      <c r="AF33" s="584"/>
    </row>
    <row r="34" spans="2:32">
      <c r="B34" s="588"/>
      <c r="C34"/>
      <c r="D34" s="590"/>
      <c r="T34" s="584"/>
      <c r="U34" s="584"/>
      <c r="V34" s="584"/>
      <c r="W34" s="584"/>
      <c r="X34" s="584"/>
      <c r="Y34" s="584"/>
      <c r="Z34" s="584"/>
      <c r="AA34" s="584"/>
      <c r="AB34" s="584"/>
      <c r="AC34" s="584"/>
      <c r="AD34" s="584"/>
      <c r="AE34" s="584"/>
      <c r="AF34" s="584"/>
    </row>
    <row r="35" spans="2:32">
      <c r="C35"/>
      <c r="T35" s="582"/>
      <c r="U35" s="582"/>
      <c r="V35" s="582"/>
      <c r="W35" s="582"/>
      <c r="X35" s="582"/>
      <c r="Y35" s="582"/>
      <c r="Z35" s="582"/>
      <c r="AA35" s="582"/>
      <c r="AB35" s="582"/>
      <c r="AC35" s="582"/>
      <c r="AD35" s="582"/>
      <c r="AE35" s="582"/>
      <c r="AF35" s="582"/>
    </row>
    <row r="36" spans="2:32">
      <c r="C36"/>
      <c r="T36" s="582"/>
      <c r="U36" s="582"/>
      <c r="V36" s="582"/>
      <c r="W36" s="582"/>
      <c r="X36" s="582"/>
      <c r="Y36" s="582"/>
      <c r="Z36" s="582"/>
      <c r="AA36" s="582"/>
      <c r="AB36" s="582"/>
      <c r="AC36" s="582"/>
      <c r="AD36" s="582"/>
      <c r="AE36" s="582"/>
      <c r="AF36" s="582"/>
    </row>
    <row r="37" spans="2:32">
      <c r="C37"/>
      <c r="D37" s="781">
        <f>D10+D21+D32</f>
        <v>6465984.1485096524</v>
      </c>
      <c r="E37" s="578" t="s">
        <v>923</v>
      </c>
      <c r="T37" s="582"/>
      <c r="U37" s="582"/>
      <c r="V37" s="582"/>
      <c r="W37" s="582"/>
      <c r="X37" s="582"/>
      <c r="Y37" s="582"/>
      <c r="Z37" s="582"/>
      <c r="AA37" s="582"/>
      <c r="AB37" s="582"/>
      <c r="AC37" s="582"/>
      <c r="AD37" s="582"/>
      <c r="AE37" s="582"/>
      <c r="AF37" s="582"/>
    </row>
    <row r="38" spans="2:32">
      <c r="C38"/>
      <c r="T38" s="582"/>
      <c r="U38" s="582"/>
      <c r="V38" s="582"/>
      <c r="W38" s="582"/>
      <c r="X38" s="582"/>
      <c r="Y38" s="582"/>
      <c r="Z38" s="582"/>
      <c r="AA38" s="582"/>
      <c r="AB38" s="582"/>
      <c r="AC38" s="582"/>
      <c r="AD38" s="582"/>
      <c r="AE38" s="582"/>
      <c r="AF38" s="582"/>
    </row>
    <row r="39" spans="2:32">
      <c r="C39"/>
      <c r="D39" s="785">
        <f>+'PWX Microsoft'!J14</f>
        <v>2200897.56</v>
      </c>
      <c r="E39" s="578" t="s">
        <v>937</v>
      </c>
      <c r="F39"/>
      <c r="G39"/>
      <c r="H39"/>
      <c r="I39"/>
      <c r="J39"/>
      <c r="K39"/>
      <c r="L39"/>
      <c r="M39"/>
      <c r="N39"/>
      <c r="O39"/>
      <c r="P39"/>
      <c r="Q39"/>
      <c r="R39"/>
      <c r="S39"/>
      <c r="T39"/>
      <c r="U39" s="582"/>
      <c r="V39" s="582"/>
      <c r="X39" s="582"/>
      <c r="Y39" s="582"/>
      <c r="Z39" s="582"/>
      <c r="AA39" s="582"/>
      <c r="AB39" s="582"/>
      <c r="AC39" s="582"/>
      <c r="AD39" s="582"/>
      <c r="AE39" s="582"/>
      <c r="AF39" s="582"/>
    </row>
    <row r="40" spans="2:32" ht="13.5" thickBot="1">
      <c r="C40"/>
      <c r="D40" s="355">
        <f>+D39+D37</f>
        <v>8666881.7085096519</v>
      </c>
      <c r="E40" s="578" t="s">
        <v>938</v>
      </c>
      <c r="F40"/>
      <c r="G40"/>
      <c r="H40"/>
      <c r="I40"/>
      <c r="J40"/>
      <c r="K40"/>
      <c r="L40"/>
      <c r="M40"/>
      <c r="N40"/>
      <c r="O40"/>
      <c r="P40"/>
      <c r="Q40"/>
      <c r="R40"/>
      <c r="S40"/>
      <c r="T40"/>
      <c r="U40" s="582"/>
      <c r="V40" s="582"/>
      <c r="W40" s="582"/>
      <c r="X40" s="582"/>
      <c r="Y40" s="582"/>
      <c r="Z40" s="582"/>
      <c r="AA40" s="582"/>
      <c r="AB40" s="582"/>
      <c r="AC40" s="582"/>
      <c r="AD40" s="582"/>
      <c r="AE40" s="582"/>
      <c r="AF40" s="582"/>
    </row>
    <row r="41" spans="2:32" ht="13.5" thickTop="1">
      <c r="C41"/>
      <c r="D41"/>
      <c r="E41"/>
      <c r="F41"/>
      <c r="G41"/>
      <c r="H41"/>
      <c r="I41"/>
      <c r="J41"/>
      <c r="K41"/>
      <c r="L41"/>
      <c r="M41"/>
      <c r="N41"/>
      <c r="O41"/>
      <c r="P41"/>
      <c r="Q41"/>
      <c r="R41"/>
      <c r="S41"/>
      <c r="T41"/>
      <c r="U41" s="582"/>
      <c r="V41" s="582"/>
      <c r="W41" s="582"/>
      <c r="X41" s="582"/>
      <c r="Y41" s="582"/>
      <c r="Z41" s="582"/>
      <c r="AA41" s="582"/>
      <c r="AB41" s="582"/>
      <c r="AC41" s="582"/>
      <c r="AD41" s="582"/>
      <c r="AE41" s="582"/>
      <c r="AF41" s="582"/>
    </row>
    <row r="42" spans="2:32">
      <c r="C42"/>
      <c r="D42"/>
      <c r="E42"/>
      <c r="F42"/>
      <c r="G42"/>
      <c r="H42"/>
      <c r="I42"/>
      <c r="J42"/>
      <c r="K42"/>
      <c r="L42"/>
      <c r="M42"/>
      <c r="N42"/>
      <c r="O42"/>
      <c r="P42"/>
      <c r="Q42"/>
      <c r="R42"/>
      <c r="S42"/>
      <c r="T42"/>
      <c r="U42" s="584"/>
      <c r="V42" s="584"/>
      <c r="W42" s="584"/>
      <c r="X42" s="584"/>
      <c r="Y42" s="584"/>
      <c r="Z42" s="584"/>
      <c r="AA42" s="584"/>
      <c r="AB42" s="584"/>
      <c r="AC42" s="584"/>
      <c r="AD42" s="584"/>
      <c r="AE42" s="584"/>
      <c r="AF42" s="584"/>
    </row>
    <row r="43" spans="2:32">
      <c r="C43"/>
      <c r="D43"/>
      <c r="E43"/>
      <c r="F43"/>
      <c r="G43"/>
      <c r="H43"/>
      <c r="I43"/>
      <c r="J43"/>
      <c r="K43"/>
      <c r="L43"/>
      <c r="M43"/>
      <c r="N43"/>
      <c r="O43"/>
      <c r="P43"/>
      <c r="Q43"/>
      <c r="R43"/>
      <c r="S43"/>
      <c r="T43"/>
      <c r="U43" s="584"/>
      <c r="V43" s="584"/>
      <c r="W43" s="584"/>
      <c r="X43" s="584"/>
      <c r="Y43" s="584"/>
      <c r="Z43" s="584"/>
      <c r="AA43" s="584"/>
      <c r="AB43" s="584"/>
      <c r="AC43" s="584"/>
      <c r="AD43" s="584"/>
      <c r="AE43" s="584"/>
      <c r="AF43" s="584"/>
    </row>
    <row r="44" spans="2:32">
      <c r="C44"/>
      <c r="T44" s="584"/>
      <c r="U44" s="584"/>
      <c r="V44" s="584"/>
      <c r="W44" s="584"/>
      <c r="X44" s="584"/>
      <c r="Y44" s="584"/>
      <c r="Z44" s="584"/>
      <c r="AA44" s="584"/>
      <c r="AB44" s="584"/>
      <c r="AC44" s="584"/>
      <c r="AD44" s="584"/>
      <c r="AE44" s="584"/>
      <c r="AF44" s="584"/>
    </row>
    <row r="45" spans="2:32">
      <c r="C45" s="587"/>
      <c r="D45" s="587"/>
      <c r="T45" s="584"/>
      <c r="U45" s="584"/>
      <c r="V45" s="584"/>
      <c r="W45" s="584"/>
      <c r="X45" s="584"/>
      <c r="Y45" s="584"/>
      <c r="Z45" s="584"/>
      <c r="AA45" s="584"/>
      <c r="AB45" s="584"/>
      <c r="AC45" s="584"/>
      <c r="AD45" s="584"/>
      <c r="AE45" s="584"/>
      <c r="AF45" s="584"/>
    </row>
  </sheetData>
  <pageMargins left="0.75" right="0.75" top="1" bottom="1" header="0.5" footer="0.5"/>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J21" sqref="J21"/>
    </sheetView>
  </sheetViews>
  <sheetFormatPr defaultRowHeight="12.75"/>
  <cols>
    <col min="1" max="3" width="9.140625" style="771"/>
    <col min="4" max="4" width="1.7109375" style="771" customWidth="1"/>
    <col min="5" max="5" width="48.42578125" style="771" bestFit="1" customWidth="1"/>
    <col min="6" max="6" width="12" style="771" bestFit="1" customWidth="1"/>
    <col min="7" max="7" width="1.7109375" style="771" customWidth="1"/>
    <col min="8" max="8" width="13.5703125" style="771" bestFit="1" customWidth="1"/>
    <col min="9" max="9" width="1.7109375" style="771" customWidth="1"/>
    <col min="10" max="10" width="13.5703125" style="771" bestFit="1" customWidth="1"/>
    <col min="11" max="16384" width="9.140625" style="771"/>
  </cols>
  <sheetData>
    <row r="1" spans="1:10" ht="18.75">
      <c r="A1" s="780" t="s">
        <v>936</v>
      </c>
    </row>
    <row r="8" spans="1:10">
      <c r="H8" s="771">
        <v>9</v>
      </c>
      <c r="J8" s="771">
        <v>12</v>
      </c>
    </row>
    <row r="10" spans="1:10">
      <c r="F10" s="772"/>
    </row>
    <row r="11" spans="1:10">
      <c r="C11" s="778" t="s">
        <v>935</v>
      </c>
      <c r="E11" s="779" t="s">
        <v>503</v>
      </c>
      <c r="F11" s="778" t="s">
        <v>934</v>
      </c>
      <c r="G11" s="776"/>
      <c r="H11" s="775" t="s">
        <v>933</v>
      </c>
      <c r="I11" s="775"/>
      <c r="J11" s="775" t="s">
        <v>932</v>
      </c>
    </row>
    <row r="12" spans="1:10">
      <c r="F12" s="777"/>
      <c r="G12" s="776"/>
      <c r="H12" s="775">
        <v>2019</v>
      </c>
      <c r="I12" s="775"/>
      <c r="J12" s="775">
        <v>2020</v>
      </c>
    </row>
    <row r="13" spans="1:10" ht="6" customHeight="1">
      <c r="F13" s="772"/>
      <c r="H13" s="774"/>
      <c r="I13" s="774"/>
      <c r="J13" s="774"/>
    </row>
    <row r="14" spans="1:10">
      <c r="C14" s="771">
        <v>45610005</v>
      </c>
      <c r="E14" s="771" t="s">
        <v>931</v>
      </c>
      <c r="F14" s="782">
        <v>183408.13</v>
      </c>
      <c r="G14" s="782"/>
      <c r="H14" s="782">
        <f t="shared" ref="H14:H20" si="0">F14*$H$8</f>
        <v>1650673.17</v>
      </c>
      <c r="I14" s="782"/>
      <c r="J14" s="782">
        <f t="shared" ref="J14:J20" si="1">F14*$J$8</f>
        <v>2200897.56</v>
      </c>
    </row>
    <row r="15" spans="1:10">
      <c r="C15" s="771">
        <v>45610050</v>
      </c>
      <c r="E15" s="771" t="s">
        <v>930</v>
      </c>
      <c r="F15" s="782">
        <v>4771.8</v>
      </c>
      <c r="G15" s="782"/>
      <c r="H15" s="782">
        <f t="shared" si="0"/>
        <v>42946.200000000004</v>
      </c>
      <c r="I15" s="782"/>
      <c r="J15" s="782">
        <f t="shared" si="1"/>
        <v>57261.600000000006</v>
      </c>
    </row>
    <row r="16" spans="1:10">
      <c r="C16" s="771">
        <v>45610052</v>
      </c>
      <c r="E16" s="771" t="s">
        <v>929</v>
      </c>
      <c r="F16" s="782">
        <v>552.41999999999996</v>
      </c>
      <c r="G16" s="782"/>
      <c r="H16" s="782">
        <f t="shared" si="0"/>
        <v>4971.78</v>
      </c>
      <c r="I16" s="782"/>
      <c r="J16" s="782">
        <f t="shared" si="1"/>
        <v>6629.0399999999991</v>
      </c>
    </row>
    <row r="17" spans="3:10">
      <c r="C17" s="771">
        <v>45610054</v>
      </c>
      <c r="E17" s="771" t="s">
        <v>928</v>
      </c>
      <c r="F17" s="782">
        <v>11180.4</v>
      </c>
      <c r="G17" s="782"/>
      <c r="H17" s="782">
        <f t="shared" si="0"/>
        <v>100623.59999999999</v>
      </c>
      <c r="I17" s="782"/>
      <c r="J17" s="782">
        <f t="shared" si="1"/>
        <v>134164.79999999999</v>
      </c>
    </row>
    <row r="18" spans="3:10">
      <c r="C18" s="771">
        <v>45610056</v>
      </c>
      <c r="E18" s="771" t="s">
        <v>927</v>
      </c>
      <c r="F18" s="783">
        <v>12210</v>
      </c>
      <c r="G18" s="783"/>
      <c r="H18" s="783">
        <f t="shared" si="0"/>
        <v>109890</v>
      </c>
      <c r="I18" s="783"/>
      <c r="J18" s="783">
        <f t="shared" si="1"/>
        <v>146520</v>
      </c>
    </row>
    <row r="19" spans="3:10">
      <c r="C19" s="771">
        <v>45610058</v>
      </c>
      <c r="E19" s="771" t="s">
        <v>926</v>
      </c>
      <c r="F19" s="783">
        <v>11880</v>
      </c>
      <c r="G19" s="783"/>
      <c r="H19" s="783">
        <f t="shared" si="0"/>
        <v>106920</v>
      </c>
      <c r="I19" s="783"/>
      <c r="J19" s="783">
        <f t="shared" si="1"/>
        <v>142560</v>
      </c>
    </row>
    <row r="20" spans="3:10">
      <c r="C20" s="771">
        <v>45610090</v>
      </c>
      <c r="E20" s="771" t="s">
        <v>925</v>
      </c>
      <c r="F20" s="784">
        <v>43590.96</v>
      </c>
      <c r="G20" s="782"/>
      <c r="H20" s="784">
        <f t="shared" si="0"/>
        <v>392318.64</v>
      </c>
      <c r="I20" s="782"/>
      <c r="J20" s="784">
        <f t="shared" si="1"/>
        <v>523091.52</v>
      </c>
    </row>
    <row r="21" spans="3:10">
      <c r="E21" s="773" t="s">
        <v>924</v>
      </c>
      <c r="F21" s="782">
        <f>SUM(F14:F20)</f>
        <v>267593.71000000002</v>
      </c>
      <c r="G21" s="782"/>
      <c r="H21" s="782">
        <f>SUM(H14:H20)</f>
        <v>2408343.39</v>
      </c>
      <c r="I21" s="782"/>
      <c r="J21" s="782">
        <f>SUM(J14:J20)</f>
        <v>3211124.52</v>
      </c>
    </row>
    <row r="22" spans="3:10">
      <c r="F22" s="772"/>
    </row>
    <row r="23" spans="3:10">
      <c r="F23" s="772"/>
    </row>
    <row r="25" spans="3:10">
      <c r="F25" s="772"/>
    </row>
    <row r="26" spans="3:10">
      <c r="F26" s="772"/>
    </row>
    <row r="27" spans="3:10">
      <c r="F27" s="772"/>
    </row>
    <row r="28" spans="3:10">
      <c r="F28" s="772"/>
    </row>
    <row r="29" spans="3:10">
      <c r="F29" s="772"/>
    </row>
    <row r="30" spans="3:10">
      <c r="F30" s="77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O47" sqref="O47"/>
    </sheetView>
  </sheetViews>
  <sheetFormatPr defaultRowHeight="12.75"/>
  <cols>
    <col min="2" max="2" width="10.85546875" bestFit="1" customWidth="1"/>
  </cols>
  <sheetData>
    <row r="1" spans="1:2">
      <c r="A1" s="502" t="s">
        <v>640</v>
      </c>
      <c r="B1" s="502"/>
    </row>
    <row r="2" spans="1:2">
      <c r="A2" s="502"/>
      <c r="B2" s="502"/>
    </row>
    <row r="3" spans="1:2">
      <c r="A3" s="502"/>
      <c r="B3" s="502"/>
    </row>
    <row r="4" spans="1:2">
      <c r="A4" s="502"/>
      <c r="B4" s="502"/>
    </row>
    <row r="5" spans="1:2">
      <c r="A5" s="502"/>
      <c r="B5" s="502"/>
    </row>
    <row r="6" spans="1:2">
      <c r="A6" s="502"/>
      <c r="B6" s="502"/>
    </row>
    <row r="7" spans="1:2">
      <c r="A7" s="502"/>
      <c r="B7" s="502"/>
    </row>
    <row r="8" spans="1:2">
      <c r="A8" s="502"/>
      <c r="B8" s="502"/>
    </row>
    <row r="9" spans="1:2">
      <c r="A9" s="502"/>
      <c r="B9" s="502"/>
    </row>
    <row r="10" spans="1:2">
      <c r="A10" s="502"/>
      <c r="B10" s="502"/>
    </row>
    <row r="11" spans="1:2">
      <c r="A11" s="502"/>
      <c r="B11" s="502"/>
    </row>
    <row r="12" spans="1:2">
      <c r="A12" s="502" t="s">
        <v>27</v>
      </c>
      <c r="B12" s="502" t="s">
        <v>639</v>
      </c>
    </row>
    <row r="13" spans="1:2">
      <c r="A13" s="502" t="s">
        <v>638</v>
      </c>
      <c r="B13" s="522">
        <v>-7201724.9500000002</v>
      </c>
    </row>
    <row r="14" spans="1:2">
      <c r="A14" s="502" t="s">
        <v>26</v>
      </c>
      <c r="B14" s="522">
        <v>-7201724.9500000002</v>
      </c>
    </row>
    <row r="15" spans="1:2">
      <c r="A15" s="502" t="s">
        <v>122</v>
      </c>
      <c r="B15" s="522">
        <v>-7201724.9500000002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pane xSplit="5" ySplit="2" topLeftCell="F3" activePane="bottomRight" state="frozen"/>
      <selection activeCell="P52" sqref="P52"/>
      <selection pane="topRight" activeCell="P52" sqref="P52"/>
      <selection pane="bottomLeft" activeCell="P52" sqref="P52"/>
      <selection pane="bottomRight" activeCell="H9" sqref="H9"/>
    </sheetView>
  </sheetViews>
  <sheetFormatPr defaultRowHeight="12.75"/>
  <cols>
    <col min="1" max="1" width="19.85546875" style="502" customWidth="1"/>
    <col min="2" max="2" width="14.140625" style="502" customWidth="1"/>
    <col min="3" max="3" width="12.7109375" style="502" customWidth="1"/>
    <col min="4" max="4" width="14.42578125" style="502" customWidth="1"/>
    <col min="5" max="5" width="48.5703125" style="502" customWidth="1"/>
    <col min="6" max="6" width="13.7109375" style="502" customWidth="1"/>
    <col min="7" max="7" width="14" style="502" customWidth="1"/>
    <col min="8" max="8" width="87.7109375" style="502" customWidth="1"/>
    <col min="9" max="9" width="9.140625" style="502"/>
    <col min="10" max="10" width="13.140625" style="502" customWidth="1"/>
    <col min="11" max="16384" width="9.140625" style="502"/>
  </cols>
  <sheetData>
    <row r="1" spans="1:8" ht="29.25" customHeight="1" thickBot="1">
      <c r="B1" s="596" t="s">
        <v>669</v>
      </c>
      <c r="C1" s="597"/>
      <c r="D1" s="596" t="s">
        <v>669</v>
      </c>
      <c r="E1" s="318" t="s">
        <v>734</v>
      </c>
      <c r="F1" s="598" t="s">
        <v>668</v>
      </c>
      <c r="G1" s="653" t="s">
        <v>736</v>
      </c>
      <c r="H1"/>
    </row>
    <row r="2" spans="1:8" ht="31.5" customHeight="1" thickBot="1">
      <c r="A2" s="319" t="s">
        <v>667</v>
      </c>
      <c r="B2" s="599" t="s">
        <v>666</v>
      </c>
      <c r="C2" s="600" t="s">
        <v>89</v>
      </c>
      <c r="D2" s="599" t="s">
        <v>665</v>
      </c>
      <c r="E2" s="601" t="s">
        <v>664</v>
      </c>
      <c r="F2" s="599" t="s">
        <v>663</v>
      </c>
      <c r="G2" s="654" t="s">
        <v>939</v>
      </c>
      <c r="H2"/>
    </row>
    <row r="3" spans="1:8" ht="25.5">
      <c r="A3" s="322" t="s">
        <v>662</v>
      </c>
      <c r="B3" s="602">
        <v>21412661.210000001</v>
      </c>
      <c r="C3" s="602">
        <v>-19963943.210000001</v>
      </c>
      <c r="D3" s="602">
        <v>1448718</v>
      </c>
      <c r="E3" s="603" t="s">
        <v>692</v>
      </c>
      <c r="F3" s="604">
        <v>26216053.805347145</v>
      </c>
      <c r="G3" s="604">
        <v>-24767335.805347145</v>
      </c>
      <c r="H3"/>
    </row>
    <row r="4" spans="1:8" ht="38.25">
      <c r="A4" s="322" t="s">
        <v>661</v>
      </c>
      <c r="B4" s="604">
        <v>18521034.620000005</v>
      </c>
      <c r="C4" s="605">
        <v>141690.90651460108</v>
      </c>
      <c r="D4" s="605">
        <v>18662725.526514605</v>
      </c>
      <c r="E4" s="606" t="s">
        <v>693</v>
      </c>
      <c r="F4" s="604">
        <v>18217016.495562289</v>
      </c>
      <c r="G4" s="604">
        <v>445709.03095231578</v>
      </c>
      <c r="H4"/>
    </row>
    <row r="5" spans="1:8" ht="15">
      <c r="A5" s="322" t="s">
        <v>180</v>
      </c>
      <c r="B5" s="604">
        <v>2377548.1299999906</v>
      </c>
      <c r="C5" s="605">
        <v>0</v>
      </c>
      <c r="D5" s="605">
        <v>2377548.1299999906</v>
      </c>
      <c r="E5" s="606" t="s">
        <v>642</v>
      </c>
      <c r="F5" s="604">
        <v>4763084.3</v>
      </c>
      <c r="G5" s="604">
        <v>-2385536.1700000092</v>
      </c>
      <c r="H5"/>
    </row>
    <row r="6" spans="1:8" ht="15">
      <c r="A6" s="322" t="s">
        <v>181</v>
      </c>
      <c r="B6" s="604">
        <v>6916980.6699999394</v>
      </c>
      <c r="C6" s="605">
        <v>0</v>
      </c>
      <c r="D6" s="605">
        <v>6916980.6699999394</v>
      </c>
      <c r="E6" s="606" t="s">
        <v>642</v>
      </c>
      <c r="F6" s="604">
        <v>4413567.4699999988</v>
      </c>
      <c r="G6" s="604">
        <v>2503413.1999999406</v>
      </c>
      <c r="H6"/>
    </row>
    <row r="7" spans="1:8" ht="15">
      <c r="A7" s="322" t="s">
        <v>660</v>
      </c>
      <c r="B7" s="604">
        <v>2739060.7900000005</v>
      </c>
      <c r="C7" s="605">
        <v>142340.59825209947</v>
      </c>
      <c r="D7" s="605">
        <v>2881401.3882521</v>
      </c>
      <c r="E7" s="606" t="s">
        <v>688</v>
      </c>
      <c r="F7" s="604">
        <v>2499721.8699999996</v>
      </c>
      <c r="G7" s="604">
        <v>381679.51825210033</v>
      </c>
      <c r="H7"/>
    </row>
    <row r="8" spans="1:8" ht="15">
      <c r="A8" s="322" t="s">
        <v>278</v>
      </c>
      <c r="B8" s="604">
        <v>0</v>
      </c>
      <c r="C8" s="605">
        <v>0</v>
      </c>
      <c r="D8" s="605">
        <v>0</v>
      </c>
      <c r="E8" s="606" t="s">
        <v>735</v>
      </c>
      <c r="F8" s="604">
        <v>0</v>
      </c>
      <c r="G8" s="604">
        <v>0</v>
      </c>
      <c r="H8"/>
    </row>
    <row r="9" spans="1:8" ht="15">
      <c r="A9" s="322" t="s">
        <v>659</v>
      </c>
      <c r="B9" s="604">
        <v>3912163.9099999415</v>
      </c>
      <c r="C9" s="605">
        <v>0</v>
      </c>
      <c r="D9" s="605">
        <v>3912163.9099999415</v>
      </c>
      <c r="E9" s="606" t="s">
        <v>642</v>
      </c>
      <c r="F9" s="604">
        <v>5169223.7300000153</v>
      </c>
      <c r="G9" s="604">
        <v>-1257059.8200000739</v>
      </c>
      <c r="H9"/>
    </row>
    <row r="10" spans="1:8" ht="15">
      <c r="A10" s="322" t="s">
        <v>658</v>
      </c>
      <c r="B10" s="604">
        <v>387124.38999999996</v>
      </c>
      <c r="C10" s="605">
        <v>16112.370253800007</v>
      </c>
      <c r="D10" s="605">
        <v>403236.76025379996</v>
      </c>
      <c r="E10" s="606" t="s">
        <v>688</v>
      </c>
      <c r="F10" s="604">
        <v>403705.68</v>
      </c>
      <c r="G10" s="604">
        <v>-468.9197462000302</v>
      </c>
      <c r="H10"/>
    </row>
    <row r="11" spans="1:8" ht="25.5">
      <c r="A11" s="322" t="s">
        <v>217</v>
      </c>
      <c r="B11" s="604">
        <v>7215042.370000001</v>
      </c>
      <c r="C11" s="605">
        <v>253650.11081599456</v>
      </c>
      <c r="D11" s="605">
        <v>7468692.4808159955</v>
      </c>
      <c r="E11" s="606" t="s">
        <v>657</v>
      </c>
      <c r="F11" s="604">
        <v>6761537.242294943</v>
      </c>
      <c r="G11" s="604">
        <v>707155.23852105252</v>
      </c>
      <c r="H11"/>
    </row>
    <row r="12" spans="1:8" ht="25.5">
      <c r="A12" s="322" t="s">
        <v>225</v>
      </c>
      <c r="B12" s="604">
        <v>10395582.419999998</v>
      </c>
      <c r="C12" s="605">
        <v>887693.70388767077</v>
      </c>
      <c r="D12" s="605">
        <v>11283276.123887669</v>
      </c>
      <c r="E12" s="606" t="s">
        <v>657</v>
      </c>
      <c r="F12" s="604">
        <v>12391771.081779143</v>
      </c>
      <c r="G12" s="604">
        <v>-1108494.9578914735</v>
      </c>
      <c r="H12"/>
    </row>
    <row r="13" spans="1:8" ht="25.5">
      <c r="A13" s="320" t="s">
        <v>218</v>
      </c>
      <c r="B13" s="604">
        <v>13296695.209999999</v>
      </c>
      <c r="C13" s="605">
        <v>654252.10637152335</v>
      </c>
      <c r="D13" s="605">
        <v>13950947.316371523</v>
      </c>
      <c r="E13" s="606" t="s">
        <v>656</v>
      </c>
      <c r="F13" s="604">
        <v>15052787.878915114</v>
      </c>
      <c r="G13" s="604">
        <v>-1101840.5625435915</v>
      </c>
      <c r="H13"/>
    </row>
    <row r="14" spans="1:8" ht="15">
      <c r="A14" s="321" t="s">
        <v>655</v>
      </c>
      <c r="B14" s="604">
        <v>145177.78000000006</v>
      </c>
      <c r="C14" s="605">
        <v>0</v>
      </c>
      <c r="D14" s="605">
        <v>145177.78000000006</v>
      </c>
      <c r="E14" s="606" t="s">
        <v>689</v>
      </c>
      <c r="F14" s="604">
        <v>149180.72000000003</v>
      </c>
      <c r="G14" s="604">
        <v>-4002.9399999999732</v>
      </c>
      <c r="H14"/>
    </row>
    <row r="15" spans="1:8" ht="15">
      <c r="A15" s="322" t="s">
        <v>654</v>
      </c>
      <c r="B15" s="604">
        <v>5811798.3700000281</v>
      </c>
      <c r="C15" s="605">
        <v>15200</v>
      </c>
      <c r="D15" s="605">
        <v>5826998.3700000281</v>
      </c>
      <c r="E15" s="606" t="s">
        <v>689</v>
      </c>
      <c r="F15" s="604">
        <v>6110757.6500000097</v>
      </c>
      <c r="G15" s="604">
        <v>-283759.27999998163</v>
      </c>
      <c r="H15"/>
    </row>
    <row r="16" spans="1:8" ht="15">
      <c r="A16" s="322" t="s">
        <v>653</v>
      </c>
      <c r="B16" s="604">
        <v>7205208.0599999987</v>
      </c>
      <c r="C16" s="605">
        <v>0</v>
      </c>
      <c r="D16" s="605">
        <v>7205208.0599999987</v>
      </c>
      <c r="E16" s="606" t="s">
        <v>689</v>
      </c>
      <c r="F16" s="604">
        <v>6267175.6900000004</v>
      </c>
      <c r="G16" s="604">
        <v>938032.36999999825</v>
      </c>
      <c r="H16"/>
    </row>
    <row r="17" spans="1:8" ht="15">
      <c r="A17" s="322" t="s">
        <v>652</v>
      </c>
      <c r="B17" s="604">
        <v>4468417.6000000006</v>
      </c>
      <c r="C17" s="605">
        <v>72462.576649680268</v>
      </c>
      <c r="D17" s="605">
        <v>4540880.1766496804</v>
      </c>
      <c r="E17" s="606" t="s">
        <v>647</v>
      </c>
      <c r="F17" s="604">
        <v>5216198.5263543315</v>
      </c>
      <c r="G17" s="604">
        <v>-675318.34970465116</v>
      </c>
      <c r="H17"/>
    </row>
    <row r="18" spans="1:8" ht="15">
      <c r="A18" s="322" t="s">
        <v>651</v>
      </c>
      <c r="B18" s="604">
        <v>1817988.6099999978</v>
      </c>
      <c r="C18" s="605">
        <v>-233100</v>
      </c>
      <c r="D18" s="605">
        <v>1584888.6099999978</v>
      </c>
      <c r="E18" s="606" t="s">
        <v>647</v>
      </c>
      <c r="F18" s="604">
        <v>2470766.0699999994</v>
      </c>
      <c r="G18" s="604">
        <v>-885877.46000000159</v>
      </c>
      <c r="H18"/>
    </row>
    <row r="19" spans="1:8" ht="15">
      <c r="A19" s="322" t="s">
        <v>650</v>
      </c>
      <c r="B19" s="604">
        <v>4456314.5599999996</v>
      </c>
      <c r="C19" s="605">
        <v>266700</v>
      </c>
      <c r="D19" s="605">
        <v>4723014.5599999996</v>
      </c>
      <c r="E19" s="606" t="s">
        <v>647</v>
      </c>
      <c r="F19" s="604">
        <v>3508973.4500000025</v>
      </c>
      <c r="G19" s="604">
        <v>1214041.1099999971</v>
      </c>
      <c r="H19"/>
    </row>
    <row r="20" spans="1:8" ht="15">
      <c r="A20" s="322" t="s">
        <v>649</v>
      </c>
      <c r="B20" s="604">
        <v>7648064.0200000014</v>
      </c>
      <c r="C20" s="605">
        <v>38600</v>
      </c>
      <c r="D20" s="605">
        <v>7686664.0200000014</v>
      </c>
      <c r="E20" s="606" t="s">
        <v>647</v>
      </c>
      <c r="F20" s="604">
        <v>8195837.5859574554</v>
      </c>
      <c r="G20" s="604">
        <v>-509173.56595745403</v>
      </c>
      <c r="H20"/>
    </row>
    <row r="21" spans="1:8" ht="15">
      <c r="A21" s="322" t="s">
        <v>648</v>
      </c>
      <c r="B21" s="604">
        <v>7827834.3599999873</v>
      </c>
      <c r="C21" s="605">
        <v>-1031100</v>
      </c>
      <c r="D21" s="605">
        <v>6796734.3599999873</v>
      </c>
      <c r="E21" s="606" t="s">
        <v>647</v>
      </c>
      <c r="F21" s="604">
        <v>7719846.8013114715</v>
      </c>
      <c r="G21" s="604">
        <v>-923112.4413114842</v>
      </c>
      <c r="H21"/>
    </row>
    <row r="22" spans="1:8" ht="15">
      <c r="A22" s="322" t="s">
        <v>393</v>
      </c>
      <c r="B22" s="604">
        <v>5437990.2600000016</v>
      </c>
      <c r="C22" s="605">
        <v>12500</v>
      </c>
      <c r="D22" s="605">
        <v>5450490.2600000016</v>
      </c>
      <c r="E22" s="606" t="s">
        <v>689</v>
      </c>
      <c r="F22" s="604">
        <v>5421969.80333333</v>
      </c>
      <c r="G22" s="604">
        <v>28520.456666671671</v>
      </c>
      <c r="H22"/>
    </row>
    <row r="23" spans="1:8" ht="15">
      <c r="A23" s="322" t="s">
        <v>646</v>
      </c>
      <c r="B23" s="604">
        <v>1698837.9599999993</v>
      </c>
      <c r="C23" s="605">
        <v>79080.425611510786</v>
      </c>
      <c r="D23" s="605">
        <v>1777918.3856115101</v>
      </c>
      <c r="E23" s="606"/>
      <c r="F23" s="604">
        <v>1991745.1047058844</v>
      </c>
      <c r="G23" s="604">
        <v>-213826.71909437422</v>
      </c>
      <c r="H23"/>
    </row>
    <row r="24" spans="1:8" ht="15">
      <c r="A24" s="322" t="s">
        <v>645</v>
      </c>
      <c r="B24" s="604">
        <v>0</v>
      </c>
      <c r="C24" s="605">
        <v>0</v>
      </c>
      <c r="D24" s="605">
        <v>0</v>
      </c>
      <c r="E24" s="606" t="s">
        <v>642</v>
      </c>
      <c r="F24" s="607">
        <v>31426.47</v>
      </c>
      <c r="G24" s="604">
        <v>-31426.47</v>
      </c>
      <c r="H24"/>
    </row>
    <row r="25" spans="1:8" ht="38.25">
      <c r="A25" s="323" t="s">
        <v>644</v>
      </c>
      <c r="B25" s="604">
        <v>1207561.8700000001</v>
      </c>
      <c r="C25" s="605">
        <v>0</v>
      </c>
      <c r="D25" s="605">
        <v>1207561.8700000001</v>
      </c>
      <c r="E25" s="606" t="s">
        <v>642</v>
      </c>
      <c r="F25" s="604">
        <v>2911685.1799999997</v>
      </c>
      <c r="G25" s="604">
        <v>-1704123.3099999996</v>
      </c>
      <c r="H25"/>
    </row>
    <row r="26" spans="1:8" ht="15">
      <c r="A26" s="324" t="s">
        <v>643</v>
      </c>
      <c r="B26" s="604">
        <v>30103.989999999998</v>
      </c>
      <c r="C26" s="605">
        <v>0</v>
      </c>
      <c r="D26" s="608">
        <v>30103.989999999998</v>
      </c>
      <c r="E26" s="606" t="s">
        <v>642</v>
      </c>
      <c r="F26" s="607">
        <v>0</v>
      </c>
      <c r="G26" s="604">
        <v>30103.989999999998</v>
      </c>
      <c r="H26"/>
    </row>
    <row r="27" spans="1:8" ht="13.5" thickBot="1">
      <c r="A27" s="609" t="s">
        <v>641</v>
      </c>
      <c r="B27" s="610">
        <v>134929191.15999991</v>
      </c>
      <c r="C27" s="610">
        <v>-18647860.411643121</v>
      </c>
      <c r="D27" s="610">
        <v>116281330.74835677</v>
      </c>
      <c r="F27" s="610">
        <v>145884032.60556111</v>
      </c>
      <c r="G27" s="610">
        <v>-29602701.85720437</v>
      </c>
      <c r="H27"/>
    </row>
    <row r="28" spans="1:8">
      <c r="B28" s="325">
        <v>0</v>
      </c>
      <c r="C28" s="325">
        <v>0</v>
      </c>
      <c r="H28"/>
    </row>
    <row r="29" spans="1:8">
      <c r="G29" s="460"/>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row>
    <row r="37" spans="1:8">
      <c r="A37"/>
      <c r="B37"/>
      <c r="C37"/>
      <c r="D37"/>
      <c r="E37"/>
      <c r="F37"/>
      <c r="G37"/>
    </row>
    <row r="38" spans="1:8">
      <c r="A38"/>
      <c r="B38"/>
      <c r="C38"/>
      <c r="D38"/>
      <c r="E38"/>
      <c r="F38"/>
      <c r="G38"/>
    </row>
    <row r="39" spans="1:8">
      <c r="A39"/>
      <c r="B39"/>
      <c r="C39"/>
      <c r="D39"/>
      <c r="E39"/>
      <c r="F39"/>
      <c r="G39"/>
    </row>
    <row r="40" spans="1:8">
      <c r="A40"/>
      <c r="B40"/>
      <c r="C40"/>
      <c r="D40"/>
      <c r="E40"/>
      <c r="F40"/>
      <c r="G40"/>
    </row>
    <row r="41" spans="1:8">
      <c r="A41"/>
      <c r="B41"/>
      <c r="C41"/>
      <c r="D41"/>
      <c r="E41"/>
      <c r="F41"/>
      <c r="G41"/>
    </row>
    <row r="42" spans="1:8">
      <c r="A42"/>
      <c r="B42"/>
      <c r="C42"/>
      <c r="D42"/>
      <c r="E42"/>
      <c r="F42"/>
      <c r="G42"/>
    </row>
    <row r="43" spans="1:8">
      <c r="A43"/>
      <c r="B43"/>
      <c r="C43"/>
      <c r="D43"/>
      <c r="E43"/>
      <c r="F43"/>
      <c r="G43"/>
    </row>
    <row r="44" spans="1:8">
      <c r="A44"/>
      <c r="B44"/>
      <c r="C44"/>
      <c r="D44"/>
      <c r="E44"/>
      <c r="F44"/>
      <c r="G44"/>
    </row>
    <row r="45" spans="1:8">
      <c r="A45"/>
      <c r="B45"/>
      <c r="C45"/>
      <c r="D45"/>
      <c r="E45"/>
      <c r="F45"/>
      <c r="G45"/>
    </row>
    <row r="46" spans="1:8">
      <c r="A46"/>
      <c r="B46"/>
      <c r="C46"/>
      <c r="D46"/>
      <c r="E46"/>
      <c r="F46"/>
      <c r="G46"/>
    </row>
    <row r="47" spans="1:8">
      <c r="A47"/>
      <c r="B47"/>
      <c r="C47"/>
      <c r="D47"/>
      <c r="E47"/>
      <c r="F47"/>
      <c r="G47"/>
    </row>
    <row r="48" spans="1:8">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sheetData>
  <pageMargins left="0.7" right="0.38" top="0.75" bottom="0.75" header="0.3" footer="0.3"/>
  <pageSetup scale="25" orientation="landscape" r:id="rId1"/>
  <headerFooter>
    <oddHeader>&amp;L&amp;"Arial,Bold"RJR-3 Production O&amp;&amp;M&amp;R&amp;"Arial,Bold"Confidential per WAC 480-07-160</oddHeader>
    <oddFooter>&amp;L&amp;F; &amp;A&amp;R&amp;D&amp;T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52" sqref="C52"/>
    </sheetView>
  </sheetViews>
  <sheetFormatPr defaultRowHeight="12.75"/>
  <cols>
    <col min="1" max="1" width="37" bestFit="1" customWidth="1"/>
  </cols>
  <sheetData>
    <row r="1" spans="1:5" ht="15">
      <c r="A1" s="317" t="s">
        <v>684</v>
      </c>
    </row>
    <row r="2" spans="1:5" ht="15">
      <c r="A2" s="317" t="s">
        <v>683</v>
      </c>
    </row>
    <row r="5" spans="1:5">
      <c r="A5" s="502" t="s">
        <v>682</v>
      </c>
      <c r="B5" s="502" t="s">
        <v>681</v>
      </c>
      <c r="C5" s="502" t="s">
        <v>680</v>
      </c>
      <c r="D5" s="502" t="s">
        <v>679</v>
      </c>
      <c r="E5" s="502" t="s">
        <v>678</v>
      </c>
    </row>
    <row r="6" spans="1:5">
      <c r="A6" s="502" t="s">
        <v>677</v>
      </c>
      <c r="B6" s="522">
        <v>0</v>
      </c>
      <c r="C6" s="522">
        <v>0</v>
      </c>
      <c r="D6" s="522">
        <v>0</v>
      </c>
      <c r="E6" s="522">
        <v>0</v>
      </c>
    </row>
    <row r="7" spans="1:5">
      <c r="A7" s="502" t="s">
        <v>676</v>
      </c>
      <c r="B7" s="522">
        <v>34846.43</v>
      </c>
      <c r="C7" s="522">
        <v>0</v>
      </c>
      <c r="D7" s="522">
        <v>-34846.43</v>
      </c>
      <c r="E7" s="522">
        <v>0</v>
      </c>
    </row>
    <row r="8" spans="1:5">
      <c r="A8" s="502" t="s">
        <v>675</v>
      </c>
      <c r="B8" s="522">
        <v>0</v>
      </c>
      <c r="C8" s="522">
        <v>0</v>
      </c>
      <c r="D8" s="522">
        <v>0</v>
      </c>
      <c r="E8" s="522">
        <v>0</v>
      </c>
    </row>
    <row r="9" spans="1:5">
      <c r="A9" s="502" t="s">
        <v>674</v>
      </c>
      <c r="B9" s="522">
        <v>82603.95</v>
      </c>
      <c r="C9" s="522">
        <v>0</v>
      </c>
      <c r="D9" s="522">
        <v>-82603.95</v>
      </c>
      <c r="E9" s="522">
        <v>0</v>
      </c>
    </row>
    <row r="10" spans="1:5">
      <c r="A10" s="502" t="s">
        <v>673</v>
      </c>
      <c r="B10" s="522">
        <v>759063.65</v>
      </c>
      <c r="C10" s="522">
        <v>0</v>
      </c>
      <c r="D10" s="522">
        <v>-759063.65</v>
      </c>
      <c r="E10" s="522">
        <v>0</v>
      </c>
    </row>
    <row r="11" spans="1:5">
      <c r="A11" s="502" t="s">
        <v>672</v>
      </c>
      <c r="B11" s="522">
        <v>876514.03</v>
      </c>
      <c r="C11" s="522">
        <v>0</v>
      </c>
      <c r="D11" s="522">
        <v>-876514.03</v>
      </c>
      <c r="E11" s="522">
        <v>0</v>
      </c>
    </row>
    <row r="12" spans="1:5">
      <c r="A12" s="502" t="s">
        <v>671</v>
      </c>
      <c r="B12" s="522">
        <v>0</v>
      </c>
      <c r="C12" s="522">
        <v>0</v>
      </c>
      <c r="D12" s="522">
        <v>0</v>
      </c>
      <c r="E12" s="522">
        <v>0</v>
      </c>
    </row>
    <row r="13" spans="1:5">
      <c r="A13" s="502" t="s">
        <v>670</v>
      </c>
      <c r="B13" s="522">
        <v>876514.03</v>
      </c>
      <c r="C13" s="522">
        <v>0</v>
      </c>
      <c r="D13" s="522">
        <v>-876514.03</v>
      </c>
      <c r="E13" s="522">
        <v>0</v>
      </c>
    </row>
    <row r="14" spans="1:5">
      <c r="A14" s="502" t="s">
        <v>122</v>
      </c>
      <c r="B14" s="522">
        <v>876514.03</v>
      </c>
      <c r="C14" s="522">
        <v>0</v>
      </c>
      <c r="D14" s="522">
        <v>-876514.03</v>
      </c>
      <c r="E14" s="52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115" zoomScaleNormal="115" workbookViewId="0">
      <pane xSplit="3" ySplit="8" topLeftCell="D9" activePane="bottomRight" state="frozen"/>
      <selection activeCell="P52" sqref="P52"/>
      <selection pane="topRight" activeCell="P52" sqref="P52"/>
      <selection pane="bottomLeft" activeCell="P52" sqref="P52"/>
      <selection pane="bottomRight" activeCell="E27" sqref="E27"/>
    </sheetView>
  </sheetViews>
  <sheetFormatPr defaultRowHeight="12.75"/>
  <cols>
    <col min="1" max="1" width="3.42578125" style="316" customWidth="1"/>
    <col min="2" max="2" width="9.7109375" style="316" customWidth="1"/>
    <col min="3" max="3" width="32" style="316" customWidth="1"/>
    <col min="4" max="4" width="15.7109375" style="316" bestFit="1" customWidth="1"/>
    <col min="5" max="5" width="16.140625" style="316" customWidth="1"/>
    <col min="6" max="6" width="14.140625" style="316" customWidth="1"/>
    <col min="7" max="11" width="12.85546875" style="316" bestFit="1" customWidth="1"/>
    <col min="12" max="12" width="27.140625" style="316" bestFit="1" customWidth="1"/>
    <col min="13" max="15" width="12.85546875" style="316" bestFit="1" customWidth="1"/>
    <col min="16" max="17" width="14" style="316" bestFit="1" customWidth="1"/>
    <col min="18" max="18" width="10.85546875" style="316" bestFit="1" customWidth="1"/>
    <col min="19" max="16384" width="9.140625" style="316"/>
  </cols>
  <sheetData>
    <row r="1" spans="1:15" ht="18.75">
      <c r="A1" s="628" t="s">
        <v>517</v>
      </c>
      <c r="C1" s="629"/>
    </row>
    <row r="2" spans="1:15" ht="21">
      <c r="A2" s="630" t="s">
        <v>715</v>
      </c>
      <c r="C2" s="629"/>
    </row>
    <row r="3" spans="1:15" ht="15.75">
      <c r="A3" s="631" t="s">
        <v>716</v>
      </c>
      <c r="C3" s="629"/>
    </row>
    <row r="4" spans="1:15">
      <c r="B4" s="632"/>
      <c r="C4" s="633"/>
    </row>
    <row r="5" spans="1:15" ht="13.5" thickBot="1">
      <c r="B5" s="632"/>
      <c r="C5" s="629"/>
      <c r="D5"/>
      <c r="E5"/>
      <c r="F5"/>
      <c r="G5"/>
      <c r="H5"/>
      <c r="I5"/>
      <c r="J5"/>
      <c r="K5"/>
      <c r="L5"/>
      <c r="M5"/>
      <c r="N5"/>
      <c r="O5"/>
    </row>
    <row r="6" spans="1:15" ht="26.25" thickBot="1">
      <c r="B6" s="634" t="s">
        <v>717</v>
      </c>
      <c r="C6" s="635" t="s">
        <v>718</v>
      </c>
      <c r="D6" s="636" t="s">
        <v>716</v>
      </c>
      <c r="E6" s="636" t="s">
        <v>349</v>
      </c>
      <c r="F6" s="636" t="s">
        <v>719</v>
      </c>
      <c r="G6"/>
      <c r="H6"/>
      <c r="I6"/>
      <c r="J6"/>
      <c r="K6"/>
      <c r="L6"/>
      <c r="M6"/>
      <c r="N6"/>
      <c r="O6"/>
    </row>
    <row r="7" spans="1:15" ht="15">
      <c r="B7" s="642">
        <v>501</v>
      </c>
      <c r="C7" s="637" t="s">
        <v>720</v>
      </c>
      <c r="D7" s="658">
        <v>39258.683972400759</v>
      </c>
      <c r="E7" s="638">
        <v>72756.357028192986</v>
      </c>
      <c r="F7" s="638">
        <f>+D7-E7</f>
        <v>-33497.673055792227</v>
      </c>
      <c r="G7"/>
      <c r="H7"/>
      <c r="I7"/>
      <c r="J7"/>
      <c r="K7"/>
      <c r="L7"/>
      <c r="M7"/>
      <c r="N7"/>
      <c r="O7"/>
    </row>
    <row r="8" spans="1:15" ht="15">
      <c r="B8" s="642">
        <v>547</v>
      </c>
      <c r="C8" s="639" t="s">
        <v>721</v>
      </c>
      <c r="D8" s="640">
        <v>150065.49956497509</v>
      </c>
      <c r="E8" s="641">
        <v>180481.60982652951</v>
      </c>
      <c r="F8" s="641">
        <f t="shared" ref="F8:F16" si="0">+D8-E8</f>
        <v>-30416.110261554422</v>
      </c>
      <c r="G8"/>
      <c r="H8"/>
      <c r="I8"/>
      <c r="J8"/>
      <c r="K8"/>
      <c r="L8"/>
      <c r="M8"/>
      <c r="N8"/>
      <c r="O8"/>
    </row>
    <row r="9" spans="1:15" ht="15">
      <c r="B9" s="642" t="s">
        <v>737</v>
      </c>
      <c r="C9" s="639" t="s">
        <v>738</v>
      </c>
      <c r="D9" s="640">
        <v>32384.219002000002</v>
      </c>
      <c r="E9" s="641">
        <v>10125.729964592949</v>
      </c>
      <c r="F9" s="641">
        <f t="shared" si="0"/>
        <v>22258.489037407053</v>
      </c>
      <c r="G9"/>
      <c r="H9"/>
      <c r="I9"/>
      <c r="J9"/>
      <c r="K9"/>
      <c r="L9"/>
      <c r="M9"/>
      <c r="N9"/>
      <c r="O9"/>
    </row>
    <row r="10" spans="1:15" ht="15">
      <c r="B10" s="655" t="s">
        <v>722</v>
      </c>
      <c r="C10" s="639" t="s">
        <v>723</v>
      </c>
      <c r="D10" s="640">
        <v>104334.25109173826</v>
      </c>
      <c r="E10" s="641">
        <v>103263.41438364223</v>
      </c>
      <c r="F10" s="641">
        <f t="shared" si="0"/>
        <v>1070.8367080960306</v>
      </c>
      <c r="G10"/>
      <c r="H10"/>
      <c r="I10"/>
      <c r="J10"/>
      <c r="K10"/>
      <c r="L10"/>
      <c r="M10"/>
      <c r="N10"/>
      <c r="O10"/>
    </row>
    <row r="11" spans="1:15" ht="15">
      <c r="B11" s="655" t="s">
        <v>724</v>
      </c>
      <c r="C11" s="639" t="s">
        <v>725</v>
      </c>
      <c r="D11" s="640">
        <v>120904.69888253917</v>
      </c>
      <c r="E11" s="641">
        <v>74393.922594374992</v>
      </c>
      <c r="F11" s="641">
        <f t="shared" si="0"/>
        <v>46510.776288164183</v>
      </c>
      <c r="G11"/>
      <c r="H11"/>
      <c r="I11"/>
      <c r="J11"/>
      <c r="K11"/>
      <c r="L11"/>
      <c r="M11"/>
      <c r="N11"/>
      <c r="O11"/>
    </row>
    <row r="12" spans="1:15" ht="15">
      <c r="B12" s="642">
        <v>555</v>
      </c>
      <c r="C12" s="639" t="s">
        <v>726</v>
      </c>
      <c r="D12" s="640">
        <v>196580.53920984006</v>
      </c>
      <c r="E12" s="641">
        <v>203138.74929467702</v>
      </c>
      <c r="F12" s="641">
        <f t="shared" si="0"/>
        <v>-6558.2100848369591</v>
      </c>
      <c r="G12"/>
      <c r="H12"/>
      <c r="I12"/>
      <c r="J12"/>
      <c r="K12"/>
      <c r="L12"/>
      <c r="M12"/>
      <c r="N12"/>
      <c r="O12"/>
    </row>
    <row r="13" spans="1:15" ht="15">
      <c r="B13" s="642">
        <v>447</v>
      </c>
      <c r="C13" s="639" t="s">
        <v>727</v>
      </c>
      <c r="D13" s="640">
        <v>-5731.3965748999999</v>
      </c>
      <c r="E13" s="641">
        <v>-37675.37519028737</v>
      </c>
      <c r="F13" s="641">
        <f t="shared" si="0"/>
        <v>31943.978615387372</v>
      </c>
      <c r="G13"/>
      <c r="H13"/>
      <c r="I13"/>
      <c r="J13"/>
      <c r="K13"/>
      <c r="L13"/>
      <c r="M13"/>
      <c r="N13"/>
      <c r="O13"/>
    </row>
    <row r="14" spans="1:15" ht="15">
      <c r="B14" s="657">
        <v>565</v>
      </c>
      <c r="C14" s="639" t="s">
        <v>728</v>
      </c>
      <c r="D14" s="640">
        <v>117713.49380738375</v>
      </c>
      <c r="E14" s="641">
        <v>112701.33340315401</v>
      </c>
      <c r="F14" s="641">
        <f t="shared" si="0"/>
        <v>5012.1604042297404</v>
      </c>
      <c r="G14"/>
      <c r="H14"/>
      <c r="I14"/>
      <c r="J14"/>
      <c r="K14"/>
      <c r="L14"/>
      <c r="M14"/>
      <c r="N14"/>
      <c r="O14"/>
    </row>
    <row r="15" spans="1:15" ht="15">
      <c r="B15" s="656">
        <v>456</v>
      </c>
      <c r="C15" s="639" t="s">
        <v>729</v>
      </c>
      <c r="D15" s="640">
        <v>-22440.595249540849</v>
      </c>
      <c r="E15" s="641">
        <v>-16871.643140725599</v>
      </c>
      <c r="F15" s="641">
        <f t="shared" si="0"/>
        <v>-5568.9521088152505</v>
      </c>
      <c r="G15"/>
      <c r="H15"/>
      <c r="I15"/>
      <c r="J15"/>
      <c r="K15"/>
      <c r="L15"/>
      <c r="M15"/>
      <c r="N15"/>
      <c r="O15"/>
    </row>
    <row r="16" spans="1:15" ht="15.75" thickBot="1">
      <c r="B16" s="642">
        <v>557</v>
      </c>
      <c r="C16" s="639" t="s">
        <v>730</v>
      </c>
      <c r="D16" s="640">
        <f>+'PKW24C FERC 557 costs'!B70/1000</f>
        <v>10436.062179999999</v>
      </c>
      <c r="E16" s="641">
        <v>9155.8499499999998</v>
      </c>
      <c r="F16" s="641">
        <f t="shared" si="0"/>
        <v>1280.2122299999992</v>
      </c>
      <c r="G16"/>
      <c r="H16"/>
      <c r="I16"/>
      <c r="J16"/>
      <c r="K16"/>
      <c r="L16"/>
      <c r="M16"/>
      <c r="N16"/>
      <c r="O16"/>
    </row>
    <row r="17" spans="2:21" ht="15.75" thickTop="1">
      <c r="B17" s="642"/>
      <c r="C17" s="643" t="s">
        <v>731</v>
      </c>
      <c r="D17" s="644">
        <f>SUM(D7:D16)</f>
        <v>743505.45588643628</v>
      </c>
      <c r="E17" s="644">
        <f t="shared" ref="E17:F17" si="1">SUM(E7:E16)</f>
        <v>711469.94811415079</v>
      </c>
      <c r="F17" s="644">
        <f t="shared" si="1"/>
        <v>32035.50777228552</v>
      </c>
      <c r="G17"/>
      <c r="H17"/>
      <c r="I17"/>
      <c r="J17"/>
      <c r="K17"/>
      <c r="L17"/>
      <c r="M17"/>
      <c r="N17"/>
      <c r="O17"/>
    </row>
    <row r="18" spans="2:21" ht="15">
      <c r="B18" s="642"/>
      <c r="C18" s="639"/>
      <c r="D18" s="645"/>
      <c r="E18" s="646"/>
      <c r="F18" s="647"/>
      <c r="G18"/>
      <c r="H18"/>
      <c r="I18"/>
      <c r="J18"/>
      <c r="K18"/>
      <c r="L18"/>
      <c r="M18"/>
      <c r="N18"/>
      <c r="O18"/>
    </row>
    <row r="19" spans="2:21" ht="15">
      <c r="B19" s="648"/>
      <c r="C19" s="649" t="s">
        <v>739</v>
      </c>
      <c r="D19" s="650">
        <v>23152655</v>
      </c>
      <c r="E19" s="650">
        <v>23272547</v>
      </c>
      <c r="F19" s="650">
        <v>-119892</v>
      </c>
      <c r="G19"/>
      <c r="H19"/>
      <c r="I19"/>
      <c r="J19"/>
      <c r="K19"/>
      <c r="L19"/>
      <c r="M19"/>
      <c r="N19"/>
      <c r="O19"/>
    </row>
    <row r="20" spans="2:21">
      <c r="B20" s="632"/>
      <c r="C20" s="632"/>
      <c r="D20"/>
      <c r="E20"/>
      <c r="F20"/>
      <c r="G20"/>
      <c r="H20"/>
      <c r="I20"/>
      <c r="J20"/>
      <c r="K20"/>
      <c r="L20"/>
      <c r="M20"/>
      <c r="N20"/>
      <c r="O20"/>
    </row>
    <row r="21" spans="2:21" ht="18.75">
      <c r="B21" s="205"/>
      <c r="C21" s="651"/>
      <c r="D21"/>
      <c r="E21"/>
      <c r="F21"/>
      <c r="G21"/>
      <c r="H21"/>
      <c r="I21"/>
      <c r="J21"/>
      <c r="K21"/>
      <c r="L21"/>
      <c r="M21"/>
      <c r="N21"/>
      <c r="O21"/>
      <c r="P21"/>
      <c r="Q21"/>
      <c r="R21"/>
      <c r="S21"/>
      <c r="T21"/>
      <c r="U21"/>
    </row>
    <row r="22" spans="2:21" ht="15.75">
      <c r="B22" s="663" t="s">
        <v>732</v>
      </c>
      <c r="C22" s="652"/>
      <c r="E22"/>
      <c r="F22"/>
      <c r="G22"/>
      <c r="H22"/>
      <c r="I22"/>
      <c r="J22"/>
      <c r="K22"/>
      <c r="L22"/>
      <c r="M22"/>
      <c r="N22"/>
      <c r="O22"/>
      <c r="P22"/>
      <c r="Q22"/>
      <c r="R22"/>
      <c r="S22"/>
      <c r="T22"/>
      <c r="U22"/>
    </row>
    <row r="23" spans="2:21" ht="15.75">
      <c r="B23" s="664" t="s">
        <v>733</v>
      </c>
      <c r="C23" s="652"/>
      <c r="E23"/>
      <c r="F23"/>
      <c r="G23"/>
      <c r="H23"/>
      <c r="I23"/>
      <c r="J23"/>
      <c r="K23"/>
      <c r="L23"/>
      <c r="M23"/>
      <c r="N23"/>
      <c r="O23"/>
      <c r="P23"/>
      <c r="Q23"/>
      <c r="R23"/>
      <c r="S23"/>
      <c r="T23"/>
      <c r="U23"/>
    </row>
    <row r="24" spans="2:21">
      <c r="E24"/>
      <c r="F24"/>
      <c r="G24"/>
      <c r="H24"/>
      <c r="I24"/>
      <c r="J24"/>
      <c r="K24"/>
      <c r="L24"/>
      <c r="M24"/>
      <c r="N24"/>
      <c r="O24"/>
      <c r="P24"/>
      <c r="Q24"/>
      <c r="R24"/>
      <c r="S24"/>
      <c r="T24"/>
      <c r="U24"/>
    </row>
    <row r="25" spans="2:21">
      <c r="E25"/>
      <c r="F25"/>
      <c r="G25"/>
      <c r="H25"/>
      <c r="I25"/>
      <c r="J25"/>
      <c r="K25"/>
      <c r="L25"/>
      <c r="M25"/>
      <c r="N25"/>
      <c r="O25"/>
      <c r="P25"/>
      <c r="Q25"/>
      <c r="R25"/>
      <c r="S25"/>
      <c r="T25"/>
      <c r="U25"/>
    </row>
    <row r="26" spans="2:21">
      <c r="E26"/>
      <c r="F26"/>
      <c r="G26"/>
      <c r="H26"/>
      <c r="I26"/>
      <c r="J26"/>
      <c r="K26"/>
      <c r="L26"/>
      <c r="M26"/>
      <c r="N26"/>
      <c r="O26"/>
      <c r="P26"/>
      <c r="Q26"/>
      <c r="R26"/>
      <c r="S26"/>
      <c r="T26"/>
      <c r="U26"/>
    </row>
    <row r="27" spans="2:21">
      <c r="E27"/>
      <c r="F27"/>
      <c r="G27"/>
      <c r="H27"/>
      <c r="I27"/>
      <c r="J27"/>
      <c r="K27"/>
      <c r="L27"/>
      <c r="M27"/>
      <c r="N27"/>
      <c r="O27"/>
      <c r="P27"/>
      <c r="Q27"/>
      <c r="R27"/>
      <c r="S27"/>
      <c r="T27"/>
      <c r="U27"/>
    </row>
    <row r="28" spans="2:21">
      <c r="E28"/>
      <c r="F28"/>
      <c r="G28"/>
      <c r="H28"/>
      <c r="I28"/>
      <c r="J28"/>
      <c r="K28"/>
      <c r="L28"/>
      <c r="M28"/>
      <c r="N28"/>
      <c r="O28"/>
      <c r="P28"/>
      <c r="Q28"/>
      <c r="R28"/>
      <c r="S28"/>
      <c r="T28"/>
      <c r="U28"/>
    </row>
    <row r="29" spans="2:21">
      <c r="E29"/>
      <c r="F29"/>
      <c r="G29"/>
      <c r="H29"/>
      <c r="I29"/>
      <c r="J29"/>
      <c r="K29"/>
      <c r="L29"/>
      <c r="M29"/>
      <c r="N29"/>
      <c r="O29"/>
      <c r="P29"/>
      <c r="Q29"/>
      <c r="R29"/>
      <c r="S29"/>
      <c r="T29"/>
      <c r="U29"/>
    </row>
    <row r="30" spans="2:21">
      <c r="E30"/>
      <c r="F30"/>
      <c r="G30"/>
      <c r="H30"/>
      <c r="I30"/>
      <c r="J30"/>
      <c r="K30"/>
      <c r="L30"/>
      <c r="M30"/>
      <c r="N30"/>
      <c r="O30"/>
      <c r="P30"/>
      <c r="Q30"/>
      <c r="R30"/>
      <c r="S30"/>
      <c r="T30"/>
      <c r="U30"/>
    </row>
    <row r="31" spans="2:21">
      <c r="E31"/>
      <c r="F31"/>
      <c r="G31"/>
      <c r="H31"/>
      <c r="I31"/>
      <c r="J31"/>
      <c r="K31"/>
      <c r="L31"/>
      <c r="M31"/>
      <c r="N31"/>
      <c r="O31"/>
      <c r="P31"/>
      <c r="Q31"/>
      <c r="R31"/>
      <c r="S31"/>
      <c r="T31"/>
      <c r="U31"/>
    </row>
    <row r="32" spans="2:21">
      <c r="E32"/>
      <c r="F32"/>
      <c r="G32"/>
      <c r="H32"/>
      <c r="I32"/>
      <c r="J32"/>
      <c r="K32"/>
      <c r="L32"/>
      <c r="M32"/>
      <c r="N32"/>
      <c r="O32"/>
      <c r="P32"/>
      <c r="Q32"/>
      <c r="R32"/>
      <c r="S32"/>
      <c r="T32"/>
      <c r="U32"/>
    </row>
    <row r="33" spans="5:21">
      <c r="E33"/>
      <c r="F33"/>
      <c r="G33"/>
      <c r="H33"/>
      <c r="I33"/>
      <c r="J33"/>
      <c r="K33"/>
      <c r="L33"/>
      <c r="M33"/>
      <c r="N33"/>
      <c r="O33"/>
      <c r="P33"/>
      <c r="Q33"/>
      <c r="R33"/>
      <c r="S33"/>
      <c r="T33"/>
      <c r="U33"/>
    </row>
    <row r="34" spans="5:21">
      <c r="E34"/>
      <c r="F34"/>
      <c r="G34"/>
      <c r="H34"/>
      <c r="I34"/>
      <c r="J34"/>
      <c r="K34"/>
      <c r="L34"/>
      <c r="M34"/>
      <c r="N34"/>
      <c r="O34"/>
      <c r="P34"/>
      <c r="Q34"/>
      <c r="R34"/>
      <c r="S34"/>
      <c r="T34"/>
      <c r="U34"/>
    </row>
    <row r="35" spans="5:21">
      <c r="E35"/>
      <c r="F35"/>
      <c r="G35"/>
      <c r="H35"/>
      <c r="I35"/>
      <c r="J35"/>
      <c r="K35"/>
      <c r="L35"/>
      <c r="M35"/>
      <c r="N35"/>
      <c r="O35"/>
      <c r="P35"/>
      <c r="Q35"/>
      <c r="R35"/>
      <c r="S35"/>
      <c r="T35"/>
      <c r="U35"/>
    </row>
    <row r="36" spans="5:21">
      <c r="E36"/>
      <c r="F36"/>
      <c r="G36"/>
      <c r="H36"/>
      <c r="I36"/>
      <c r="J36"/>
      <c r="K36"/>
      <c r="L36"/>
      <c r="M36"/>
      <c r="N36"/>
      <c r="O36"/>
      <c r="P36"/>
      <c r="Q36"/>
      <c r="R36"/>
      <c r="S36"/>
      <c r="T36"/>
      <c r="U36"/>
    </row>
    <row r="37" spans="5:21">
      <c r="E37"/>
      <c r="F37"/>
      <c r="G37"/>
      <c r="H37"/>
      <c r="I37"/>
      <c r="J37"/>
      <c r="K37"/>
      <c r="L37"/>
      <c r="M37"/>
      <c r="N37"/>
      <c r="O37"/>
      <c r="P37"/>
      <c r="Q37"/>
      <c r="R37"/>
      <c r="S37"/>
      <c r="T37"/>
      <c r="U37"/>
    </row>
    <row r="38" spans="5:21">
      <c r="E38"/>
      <c r="F38"/>
      <c r="G38"/>
      <c r="H38"/>
      <c r="I38"/>
      <c r="J38"/>
      <c r="K38"/>
      <c r="L38"/>
      <c r="M38"/>
      <c r="N38"/>
      <c r="O38"/>
      <c r="P38"/>
      <c r="Q38"/>
      <c r="R38"/>
      <c r="S38"/>
      <c r="T38"/>
      <c r="U38"/>
    </row>
    <row r="39" spans="5:21">
      <c r="E39"/>
      <c r="F39"/>
      <c r="G39"/>
      <c r="H39"/>
      <c r="I39"/>
      <c r="J39"/>
      <c r="K39"/>
      <c r="L39"/>
      <c r="M39"/>
      <c r="N39"/>
      <c r="O39"/>
      <c r="P39"/>
      <c r="Q39"/>
      <c r="R39"/>
      <c r="S39"/>
      <c r="T39"/>
      <c r="U39"/>
    </row>
    <row r="40" spans="5:21">
      <c r="E40"/>
      <c r="F40"/>
      <c r="G40"/>
      <c r="H40"/>
      <c r="I40"/>
      <c r="J40"/>
      <c r="K40"/>
      <c r="L40"/>
      <c r="M40"/>
      <c r="N40"/>
      <c r="O40"/>
      <c r="P40"/>
      <c r="Q40"/>
      <c r="R40"/>
      <c r="S40"/>
      <c r="T40"/>
      <c r="U40"/>
    </row>
    <row r="41" spans="5:21">
      <c r="E41"/>
      <c r="F41"/>
      <c r="G41"/>
      <c r="H41"/>
      <c r="I41"/>
      <c r="J41"/>
      <c r="K41"/>
      <c r="L41"/>
      <c r="M41"/>
      <c r="N41"/>
      <c r="O41"/>
      <c r="P41"/>
      <c r="Q41"/>
      <c r="R41"/>
      <c r="S41"/>
      <c r="T41"/>
      <c r="U41"/>
    </row>
    <row r="42" spans="5:21">
      <c r="E42"/>
      <c r="F42"/>
      <c r="G42"/>
      <c r="H42"/>
      <c r="I42"/>
      <c r="J42"/>
      <c r="K42"/>
      <c r="L42"/>
      <c r="M42"/>
      <c r="N42"/>
      <c r="O42"/>
      <c r="P42"/>
      <c r="Q42"/>
      <c r="R42"/>
      <c r="S42"/>
      <c r="T42"/>
      <c r="U42"/>
    </row>
    <row r="43" spans="5:21">
      <c r="E43"/>
      <c r="F43"/>
      <c r="G43"/>
      <c r="H43"/>
      <c r="I43"/>
      <c r="J43"/>
      <c r="K43"/>
      <c r="L43"/>
      <c r="M43"/>
      <c r="N43"/>
      <c r="O43"/>
      <c r="P43"/>
      <c r="Q43"/>
      <c r="R43"/>
      <c r="S43"/>
      <c r="T43"/>
      <c r="U43"/>
    </row>
    <row r="44" spans="5:21">
      <c r="E44"/>
      <c r="F44"/>
      <c r="G44"/>
      <c r="H44"/>
      <c r="I44"/>
      <c r="J44"/>
      <c r="K44"/>
      <c r="L44"/>
      <c r="M44"/>
      <c r="N44"/>
      <c r="O44"/>
      <c r="P44"/>
      <c r="Q44"/>
      <c r="R44"/>
      <c r="S44"/>
      <c r="T44"/>
      <c r="U44"/>
    </row>
    <row r="45" spans="5:21">
      <c r="E45"/>
      <c r="F45"/>
      <c r="G45"/>
      <c r="H45"/>
      <c r="I45"/>
      <c r="J45"/>
      <c r="K45"/>
      <c r="L45"/>
      <c r="M45"/>
      <c r="N45"/>
      <c r="O45"/>
      <c r="P45"/>
      <c r="Q45"/>
      <c r="R45"/>
      <c r="S45"/>
      <c r="T45"/>
      <c r="U45"/>
    </row>
    <row r="46" spans="5:21">
      <c r="E46"/>
      <c r="F46"/>
      <c r="G46"/>
      <c r="H46"/>
      <c r="I46"/>
      <c r="J46"/>
      <c r="K46"/>
      <c r="L46"/>
      <c r="M46"/>
      <c r="N46"/>
      <c r="O46"/>
      <c r="P46"/>
      <c r="Q46"/>
      <c r="R46"/>
      <c r="S46"/>
      <c r="T46"/>
      <c r="U46"/>
    </row>
    <row r="47" spans="5:21">
      <c r="E47"/>
      <c r="F47"/>
      <c r="G47"/>
      <c r="H47"/>
      <c r="I47"/>
      <c r="J47"/>
      <c r="K47"/>
      <c r="L47"/>
      <c r="M47"/>
      <c r="N47"/>
      <c r="O47"/>
      <c r="P47"/>
      <c r="Q47"/>
      <c r="R47"/>
      <c r="S47"/>
      <c r="T47"/>
      <c r="U47"/>
    </row>
    <row r="48" spans="5:21">
      <c r="E48"/>
      <c r="F48"/>
      <c r="G48"/>
      <c r="H48"/>
      <c r="I48"/>
      <c r="J48"/>
      <c r="K48"/>
      <c r="L48"/>
      <c r="M48"/>
      <c r="N48"/>
      <c r="O48"/>
      <c r="P48"/>
      <c r="Q48"/>
      <c r="R48"/>
      <c r="S48"/>
      <c r="T48"/>
      <c r="U48"/>
    </row>
    <row r="49" spans="5:21">
      <c r="E49"/>
      <c r="F49"/>
      <c r="G49"/>
      <c r="H49"/>
      <c r="I49"/>
      <c r="J49"/>
      <c r="K49"/>
      <c r="L49"/>
      <c r="M49"/>
      <c r="N49"/>
      <c r="O49"/>
      <c r="P49"/>
      <c r="Q49"/>
      <c r="R49"/>
      <c r="S49"/>
      <c r="T49"/>
      <c r="U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workbookViewId="0">
      <pane xSplit="2" ySplit="1" topLeftCell="N2" activePane="bottomRight" state="frozen"/>
      <selection activeCell="O6" sqref="O6"/>
      <selection pane="topRight" activeCell="O6" sqref="O6"/>
      <selection pane="bottomLeft" activeCell="O6" sqref="O6"/>
      <selection pane="bottomRight" activeCell="N4" sqref="N4"/>
    </sheetView>
  </sheetViews>
  <sheetFormatPr defaultRowHeight="15"/>
  <cols>
    <col min="1" max="1" width="49.5703125" style="23" bestFit="1" customWidth="1"/>
    <col min="2" max="2" width="28.85546875" style="23" bestFit="1" customWidth="1"/>
    <col min="3" max="4" width="11.5703125" style="23" bestFit="1" customWidth="1"/>
    <col min="5" max="13" width="11.28515625" style="23" bestFit="1" customWidth="1"/>
    <col min="14" max="15" width="12.28515625" style="23" bestFit="1" customWidth="1"/>
    <col min="16" max="16" width="15.42578125" style="24" bestFit="1" customWidth="1"/>
    <col min="17" max="17" width="15.28515625" style="23" bestFit="1" customWidth="1"/>
    <col min="18" max="16384" width="9.140625" style="23"/>
  </cols>
  <sheetData>
    <row r="1" spans="1:36">
      <c r="A1" s="25" t="s">
        <v>31</v>
      </c>
      <c r="B1" s="25" t="s">
        <v>32</v>
      </c>
      <c r="C1" s="25" t="s">
        <v>33</v>
      </c>
      <c r="D1" s="25" t="s">
        <v>34</v>
      </c>
      <c r="E1" s="25" t="s">
        <v>35</v>
      </c>
      <c r="F1" s="25" t="s">
        <v>36</v>
      </c>
      <c r="G1" s="25" t="s">
        <v>37</v>
      </c>
      <c r="H1" s="25" t="s">
        <v>38</v>
      </c>
      <c r="I1" s="25" t="s">
        <v>39</v>
      </c>
      <c r="J1" s="25" t="s">
        <v>40</v>
      </c>
      <c r="K1" s="25" t="s">
        <v>41</v>
      </c>
      <c r="L1" s="25" t="s">
        <v>42</v>
      </c>
      <c r="M1" s="25" t="s">
        <v>43</v>
      </c>
      <c r="N1" s="25" t="s">
        <v>44</v>
      </c>
      <c r="O1" s="25" t="s">
        <v>45</v>
      </c>
    </row>
    <row r="2" spans="1:36">
      <c r="A2" s="22" t="s">
        <v>46</v>
      </c>
      <c r="B2" s="25" t="s">
        <v>46</v>
      </c>
      <c r="C2" s="21">
        <v>-2689152.59</v>
      </c>
      <c r="D2" s="21">
        <v>-3954383.67</v>
      </c>
      <c r="E2" s="21">
        <v>-4383362.28</v>
      </c>
      <c r="F2" s="21">
        <v>-2826174.79</v>
      </c>
      <c r="G2" s="21">
        <v>-1650704.4</v>
      </c>
      <c r="H2" s="21">
        <v>-2922238.13</v>
      </c>
      <c r="I2" s="21">
        <v>-13113901.09</v>
      </c>
      <c r="J2" s="21">
        <v>-13214374.35</v>
      </c>
      <c r="K2" s="21">
        <v>-15504104.66</v>
      </c>
      <c r="L2" s="21">
        <v>-8976832.1099999994</v>
      </c>
      <c r="M2" s="21">
        <v>-7739440.9699999997</v>
      </c>
      <c r="N2" s="21">
        <v>-12348843.33</v>
      </c>
      <c r="O2" s="20">
        <f>SUM(C2:N2)</f>
        <v>-89323512.36999999</v>
      </c>
      <c r="Q2" s="24"/>
      <c r="R2" s="24"/>
      <c r="S2" s="24"/>
      <c r="T2" s="24"/>
      <c r="U2" s="24"/>
      <c r="V2" s="24"/>
      <c r="W2" s="24"/>
      <c r="X2" s="24"/>
      <c r="Y2" s="24"/>
      <c r="Z2" s="24"/>
      <c r="AA2" s="24"/>
      <c r="AB2" s="24"/>
      <c r="AC2" s="24"/>
      <c r="AD2" s="24"/>
      <c r="AE2" s="24"/>
      <c r="AF2" s="24"/>
      <c r="AG2" s="24"/>
      <c r="AH2" s="24"/>
      <c r="AI2" s="24"/>
      <c r="AJ2" s="24"/>
    </row>
    <row r="3" spans="1:36">
      <c r="A3" s="22" t="s">
        <v>47</v>
      </c>
      <c r="B3" s="25" t="s">
        <v>47</v>
      </c>
      <c r="C3" s="21">
        <v>-2636612.1800000002</v>
      </c>
      <c r="D3" s="21">
        <v>-5152680.8099999996</v>
      </c>
      <c r="E3" s="21">
        <v>-4179619.89</v>
      </c>
      <c r="F3" s="21">
        <v>-2462883.88</v>
      </c>
      <c r="G3" s="21">
        <v>-1829537.5</v>
      </c>
      <c r="H3" s="21">
        <v>-2609742.7599999998</v>
      </c>
      <c r="I3" s="21">
        <v>-12175727.529999999</v>
      </c>
      <c r="J3" s="21">
        <v>-8916474.1600000001</v>
      </c>
      <c r="K3" s="21">
        <v>-1378182.87</v>
      </c>
      <c r="L3" s="21">
        <v>-4906592.3600000003</v>
      </c>
      <c r="M3" s="21">
        <v>-4314487.1500000004</v>
      </c>
      <c r="N3" s="21">
        <v>-15447068.779999999</v>
      </c>
      <c r="O3" s="20">
        <f t="shared" ref="O3:O11" si="0">SUM(C3:N3)</f>
        <v>-66009609.870000005</v>
      </c>
      <c r="Q3" s="24"/>
      <c r="R3" s="24"/>
      <c r="S3" s="24"/>
      <c r="T3" s="24"/>
      <c r="U3" s="24"/>
      <c r="V3" s="24"/>
      <c r="W3" s="24"/>
      <c r="X3" s="24"/>
      <c r="Y3" s="24"/>
      <c r="Z3" s="24"/>
      <c r="AA3" s="24"/>
      <c r="AB3" s="24"/>
      <c r="AC3" s="24"/>
      <c r="AD3" s="24"/>
      <c r="AE3" s="24"/>
      <c r="AF3" s="24"/>
      <c r="AG3" s="24"/>
      <c r="AH3" s="24"/>
      <c r="AI3" s="24"/>
      <c r="AJ3" s="24"/>
    </row>
    <row r="4" spans="1:36">
      <c r="A4" s="22" t="s">
        <v>48</v>
      </c>
      <c r="B4" s="25" t="s">
        <v>49</v>
      </c>
      <c r="C4" s="21">
        <v>-16079978.58</v>
      </c>
      <c r="D4" s="21">
        <v>-8936450.2899999991</v>
      </c>
      <c r="E4" s="21">
        <v>-8035541.5099999998</v>
      </c>
      <c r="F4" s="21">
        <v>-11677014.52</v>
      </c>
      <c r="G4" s="21">
        <v>-10574549.77</v>
      </c>
      <c r="H4" s="21">
        <v>-8788159.5199999996</v>
      </c>
      <c r="I4" s="21">
        <v>-8526172.2400000002</v>
      </c>
      <c r="J4" s="21">
        <v>-11109164.99</v>
      </c>
      <c r="K4" s="21">
        <v>-8822854.0600000005</v>
      </c>
      <c r="L4" s="21">
        <v>-15484397.83</v>
      </c>
      <c r="M4" s="21">
        <v>-78620934.310000002</v>
      </c>
      <c r="N4" s="21">
        <v>-33987206.520000003</v>
      </c>
      <c r="O4" s="20">
        <f t="shared" si="0"/>
        <v>-220642424.13999999</v>
      </c>
      <c r="P4" s="24">
        <f>+O4+O5</f>
        <v>-69470811.980000019</v>
      </c>
      <c r="Q4" s="24" t="s">
        <v>50</v>
      </c>
      <c r="R4" s="24"/>
      <c r="S4" s="24"/>
      <c r="T4" s="24"/>
      <c r="U4" s="24"/>
      <c r="V4" s="24"/>
      <c r="W4" s="24"/>
      <c r="X4" s="24"/>
      <c r="Y4" s="24"/>
      <c r="Z4" s="24"/>
      <c r="AA4" s="24"/>
      <c r="AB4" s="24"/>
      <c r="AC4" s="24"/>
      <c r="AD4" s="24"/>
      <c r="AE4" s="24"/>
      <c r="AF4" s="24"/>
      <c r="AG4" s="24"/>
      <c r="AH4" s="24"/>
      <c r="AI4" s="24"/>
      <c r="AJ4" s="24"/>
    </row>
    <row r="5" spans="1:36">
      <c r="A5" s="22" t="s">
        <v>51</v>
      </c>
      <c r="B5" s="25" t="s">
        <v>52</v>
      </c>
      <c r="C5" s="21">
        <v>14336179.85</v>
      </c>
      <c r="D5" s="21">
        <v>9410005.5800000001</v>
      </c>
      <c r="E5" s="21">
        <v>8637481.8000000007</v>
      </c>
      <c r="F5" s="21">
        <v>10619574.68</v>
      </c>
      <c r="G5" s="21">
        <v>8720991.25</v>
      </c>
      <c r="H5" s="21">
        <v>6986918.7699999996</v>
      </c>
      <c r="I5" s="21">
        <v>7514944.2699999996</v>
      </c>
      <c r="J5" s="21">
        <v>9855769.6400000006</v>
      </c>
      <c r="K5" s="21">
        <v>7991314.3499999996</v>
      </c>
      <c r="L5" s="21">
        <v>9814011.4100000001</v>
      </c>
      <c r="M5" s="21">
        <v>42478594.189999998</v>
      </c>
      <c r="N5" s="21">
        <v>14805826.369999999</v>
      </c>
      <c r="O5" s="20">
        <f t="shared" si="0"/>
        <v>151171612.15999997</v>
      </c>
      <c r="Q5" s="24"/>
      <c r="R5" s="24"/>
      <c r="S5" s="24"/>
      <c r="T5" s="24"/>
      <c r="U5" s="24"/>
      <c r="V5" s="24"/>
      <c r="W5" s="24"/>
      <c r="X5" s="24"/>
      <c r="Y5" s="24"/>
      <c r="Z5" s="24"/>
      <c r="AA5" s="24"/>
      <c r="AB5" s="24"/>
      <c r="AC5" s="24"/>
      <c r="AD5" s="24"/>
      <c r="AE5" s="24"/>
      <c r="AF5" s="24"/>
      <c r="AG5" s="24"/>
      <c r="AH5" s="24"/>
      <c r="AI5" s="24"/>
      <c r="AJ5" s="24"/>
    </row>
    <row r="6" spans="1:36">
      <c r="A6" s="22" t="s">
        <v>53</v>
      </c>
      <c r="B6" s="25" t="s">
        <v>53</v>
      </c>
      <c r="C6" s="21">
        <v>7465493.0099999998</v>
      </c>
      <c r="D6" s="21">
        <v>5629479.8200000003</v>
      </c>
      <c r="E6" s="21">
        <v>7578249.04</v>
      </c>
      <c r="F6" s="21">
        <v>3572343.05</v>
      </c>
      <c r="G6" s="21">
        <v>3095993.51</v>
      </c>
      <c r="H6" s="21">
        <v>6426274.2999999998</v>
      </c>
      <c r="I6" s="21">
        <v>5329415.96</v>
      </c>
      <c r="J6" s="21">
        <v>8016971.9900000002</v>
      </c>
      <c r="K6" s="21">
        <v>7814446.7599999998</v>
      </c>
      <c r="L6" s="21">
        <v>8911556.3100000005</v>
      </c>
      <c r="M6" s="21">
        <v>7823334.0099999998</v>
      </c>
      <c r="N6" s="21">
        <v>7670634.0800000001</v>
      </c>
      <c r="O6" s="20">
        <f t="shared" si="0"/>
        <v>79334191.840000004</v>
      </c>
      <c r="Q6" s="24"/>
      <c r="R6" s="24"/>
      <c r="S6" s="24"/>
      <c r="T6" s="24"/>
      <c r="U6" s="24"/>
      <c r="V6" s="24"/>
      <c r="W6" s="24"/>
      <c r="X6" s="24"/>
      <c r="Y6" s="24"/>
      <c r="Z6" s="24"/>
      <c r="AA6" s="24"/>
      <c r="AB6" s="24"/>
      <c r="AC6" s="24"/>
      <c r="AD6" s="24"/>
      <c r="AE6" s="24"/>
      <c r="AF6" s="24"/>
      <c r="AG6" s="24"/>
      <c r="AH6" s="24"/>
      <c r="AI6" s="24"/>
      <c r="AJ6" s="24"/>
    </row>
    <row r="7" spans="1:36">
      <c r="A7" s="22" t="s">
        <v>54</v>
      </c>
      <c r="B7" s="25" t="s">
        <v>54</v>
      </c>
      <c r="C7" s="21">
        <v>5026391.53</v>
      </c>
      <c r="D7" s="21">
        <v>7894662.25</v>
      </c>
      <c r="E7" s="21">
        <v>8829095.5500000007</v>
      </c>
      <c r="F7" s="21">
        <v>5571061.6900000004</v>
      </c>
      <c r="G7" s="21">
        <v>5554507.6600000001</v>
      </c>
      <c r="H7" s="21">
        <v>5529510.3899999997</v>
      </c>
      <c r="I7" s="21">
        <v>15764407.470000001</v>
      </c>
      <c r="J7" s="21">
        <v>17898546.140000001</v>
      </c>
      <c r="K7" s="21">
        <v>16180127.09</v>
      </c>
      <c r="L7" s="21">
        <v>10917006.439999999</v>
      </c>
      <c r="M7" s="21">
        <v>4826662.4800000004</v>
      </c>
      <c r="N7" s="21">
        <v>20847959.760000002</v>
      </c>
      <c r="O7" s="20">
        <f t="shared" si="0"/>
        <v>124839938.45000002</v>
      </c>
      <c r="Q7" s="24"/>
      <c r="R7" s="24"/>
      <c r="S7" s="24"/>
      <c r="T7" s="24"/>
      <c r="U7" s="24"/>
      <c r="V7" s="24"/>
      <c r="W7" s="24"/>
      <c r="X7" s="24"/>
      <c r="Y7" s="24"/>
      <c r="Z7" s="24"/>
      <c r="AA7" s="24"/>
      <c r="AB7" s="24"/>
      <c r="AC7" s="24"/>
      <c r="AD7" s="24"/>
      <c r="AE7" s="24"/>
      <c r="AF7" s="24"/>
      <c r="AG7" s="24"/>
      <c r="AH7" s="24"/>
      <c r="AI7" s="24"/>
      <c r="AJ7" s="24"/>
    </row>
    <row r="8" spans="1:36">
      <c r="A8" s="22" t="s">
        <v>55</v>
      </c>
      <c r="B8" s="25" t="s">
        <v>55</v>
      </c>
      <c r="C8" s="21">
        <v>49265975.659999996</v>
      </c>
      <c r="D8" s="21">
        <v>44383949.009999998</v>
      </c>
      <c r="E8" s="21">
        <v>40456545.700000003</v>
      </c>
      <c r="F8" s="21">
        <v>37715417.219999999</v>
      </c>
      <c r="G8" s="21">
        <v>34005399.770000003</v>
      </c>
      <c r="H8" s="21">
        <v>32425934.48</v>
      </c>
      <c r="I8" s="21">
        <v>57644099.549999997</v>
      </c>
      <c r="J8" s="21">
        <v>50552283.649999999</v>
      </c>
      <c r="K8" s="21">
        <v>29285194.699999999</v>
      </c>
      <c r="L8" s="21">
        <v>47813054.219999999</v>
      </c>
      <c r="M8" s="21">
        <v>70945566.870000005</v>
      </c>
      <c r="N8" s="21">
        <v>79670326.140000001</v>
      </c>
      <c r="O8" s="20">
        <f t="shared" si="0"/>
        <v>574163746.96999991</v>
      </c>
      <c r="Q8" s="24"/>
      <c r="R8" s="24"/>
      <c r="S8" s="24"/>
      <c r="T8" s="24"/>
      <c r="U8" s="24"/>
      <c r="V8" s="24"/>
      <c r="W8" s="24"/>
      <c r="X8" s="24"/>
      <c r="Y8" s="24"/>
      <c r="Z8" s="24"/>
      <c r="AA8" s="24"/>
      <c r="AB8" s="24"/>
      <c r="AC8" s="24"/>
      <c r="AD8" s="24"/>
      <c r="AE8" s="24"/>
      <c r="AF8" s="24"/>
      <c r="AG8" s="24"/>
      <c r="AH8" s="24"/>
      <c r="AI8" s="24"/>
      <c r="AJ8" s="24"/>
    </row>
    <row r="9" spans="1:36">
      <c r="A9" s="22" t="s">
        <v>56</v>
      </c>
      <c r="B9" s="25" t="s">
        <v>56</v>
      </c>
      <c r="C9" s="21">
        <v>-8456210.3900000006</v>
      </c>
      <c r="D9" s="21">
        <v>-7868685.2800000003</v>
      </c>
      <c r="E9" s="21">
        <v>-7618475.3600000003</v>
      </c>
      <c r="F9" s="21">
        <v>-6179500.6200000001</v>
      </c>
      <c r="G9" s="21">
        <v>-4961224.07</v>
      </c>
      <c r="H9" s="21">
        <v>-4950757.91</v>
      </c>
      <c r="I9" s="21">
        <v>-5451000.3200000003</v>
      </c>
      <c r="J9" s="21">
        <v>-5169865.3499999996</v>
      </c>
      <c r="K9" s="21">
        <v>-4779948.41</v>
      </c>
      <c r="L9" s="21">
        <v>-6036672.1100000003</v>
      </c>
      <c r="M9" s="21">
        <v>-7139374.2999999998</v>
      </c>
      <c r="N9" s="21">
        <v>-8841945.3900000006</v>
      </c>
      <c r="O9" s="20">
        <f t="shared" si="0"/>
        <v>-77453659.50999999</v>
      </c>
      <c r="Q9" s="24"/>
      <c r="R9" s="24"/>
      <c r="S9" s="24"/>
      <c r="T9" s="24"/>
      <c r="U9" s="24"/>
      <c r="V9" s="24"/>
      <c r="W9" s="24"/>
      <c r="X9" s="24"/>
      <c r="Y9" s="24"/>
      <c r="Z9" s="24"/>
      <c r="AA9" s="24"/>
      <c r="AB9" s="24"/>
      <c r="AC9" s="24"/>
      <c r="AD9" s="24"/>
      <c r="AE9" s="24"/>
      <c r="AF9" s="24"/>
      <c r="AG9" s="24"/>
      <c r="AH9" s="24"/>
      <c r="AI9" s="24"/>
      <c r="AJ9" s="24"/>
    </row>
    <row r="10" spans="1:36">
      <c r="A10" s="22" t="s">
        <v>57</v>
      </c>
      <c r="B10" s="25" t="s">
        <v>57</v>
      </c>
      <c r="C10" s="21">
        <v>928596.07</v>
      </c>
      <c r="D10" s="21">
        <v>343970.07</v>
      </c>
      <c r="E10" s="21">
        <v>1391518.78</v>
      </c>
      <c r="F10" s="21">
        <v>5637308.3200000003</v>
      </c>
      <c r="G10" s="21">
        <v>1301084.3400000001</v>
      </c>
      <c r="H10" s="21">
        <v>1164758.02</v>
      </c>
      <c r="I10" s="21">
        <v>1639696.66</v>
      </c>
      <c r="J10" s="21">
        <v>1020944.7</v>
      </c>
      <c r="K10" s="21">
        <v>1327213.54</v>
      </c>
      <c r="L10" s="21">
        <v>1232185.42</v>
      </c>
      <c r="M10" s="21">
        <v>951222.21</v>
      </c>
      <c r="N10" s="21">
        <v>740552.47</v>
      </c>
      <c r="O10" s="20">
        <f t="shared" si="0"/>
        <v>17679050.599999998</v>
      </c>
      <c r="Q10" s="24"/>
      <c r="R10" s="24"/>
      <c r="S10" s="24"/>
      <c r="T10" s="24"/>
      <c r="U10" s="24"/>
      <c r="V10" s="24"/>
      <c r="W10" s="24"/>
      <c r="X10" s="24"/>
      <c r="Y10" s="24"/>
      <c r="Z10" s="24"/>
      <c r="AA10" s="24"/>
      <c r="AB10" s="24"/>
      <c r="AC10" s="24"/>
      <c r="AD10" s="24"/>
      <c r="AE10" s="24"/>
      <c r="AF10" s="24"/>
      <c r="AG10" s="24"/>
      <c r="AH10" s="24"/>
      <c r="AI10" s="24"/>
      <c r="AJ10" s="24"/>
    </row>
    <row r="11" spans="1:36">
      <c r="A11" s="22" t="s">
        <v>58</v>
      </c>
      <c r="B11" s="25" t="s">
        <v>58</v>
      </c>
      <c r="C11" s="21">
        <v>9742316.5899999999</v>
      </c>
      <c r="D11" s="21">
        <v>9668269.7899999991</v>
      </c>
      <c r="E11" s="21">
        <v>9531005.0500000007</v>
      </c>
      <c r="F11" s="21">
        <v>9472831.9199999999</v>
      </c>
      <c r="G11" s="21">
        <v>9156560.0800000001</v>
      </c>
      <c r="H11" s="21">
        <v>9392380.5899999999</v>
      </c>
      <c r="I11" s="21">
        <v>9285812.3699999992</v>
      </c>
      <c r="J11" s="21">
        <v>10038659.140000001</v>
      </c>
      <c r="K11" s="21">
        <v>9766167.1099999994</v>
      </c>
      <c r="L11" s="21">
        <v>9970354.9000000004</v>
      </c>
      <c r="M11" s="21">
        <v>9839390.2200000007</v>
      </c>
      <c r="N11" s="21">
        <v>9944029.8399999999</v>
      </c>
      <c r="O11" s="20">
        <f t="shared" si="0"/>
        <v>115807777.60000001</v>
      </c>
      <c r="Q11" s="24"/>
      <c r="R11" s="24"/>
      <c r="S11" s="24"/>
      <c r="T11" s="24"/>
      <c r="U11" s="24"/>
      <c r="V11" s="24"/>
      <c r="W11" s="24"/>
      <c r="X11" s="24"/>
      <c r="Y11" s="24"/>
      <c r="Z11" s="24"/>
      <c r="AA11" s="24"/>
      <c r="AB11" s="24"/>
      <c r="AC11" s="24"/>
      <c r="AD11" s="24"/>
      <c r="AE11" s="24"/>
      <c r="AF11" s="24"/>
      <c r="AG11" s="24"/>
      <c r="AH11" s="24"/>
      <c r="AI11" s="24"/>
      <c r="AJ11" s="24"/>
    </row>
    <row r="12" spans="1:36">
      <c r="C12" s="19">
        <f>SUM(C2:C11)</f>
        <v>56902998.969999999</v>
      </c>
      <c r="D12" s="19">
        <f t="shared" ref="D12:N12" si="1">SUM(D2:D11)</f>
        <v>51418136.469999999</v>
      </c>
      <c r="E12" s="19">
        <f t="shared" si="1"/>
        <v>52206896.88000001</v>
      </c>
      <c r="F12" s="19">
        <f t="shared" si="1"/>
        <v>49442963.070000008</v>
      </c>
      <c r="G12" s="19">
        <f t="shared" si="1"/>
        <v>42818520.870000005</v>
      </c>
      <c r="H12" s="19">
        <f t="shared" si="1"/>
        <v>42654878.230000004</v>
      </c>
      <c r="I12" s="19">
        <f t="shared" si="1"/>
        <v>57911575.099999994</v>
      </c>
      <c r="J12" s="19">
        <f t="shared" si="1"/>
        <v>58973296.410000004</v>
      </c>
      <c r="K12" s="19">
        <f t="shared" si="1"/>
        <v>41879373.549999997</v>
      </c>
      <c r="L12" s="19">
        <f t="shared" si="1"/>
        <v>53253674.289999999</v>
      </c>
      <c r="M12" s="19">
        <f t="shared" si="1"/>
        <v>39050533.249999993</v>
      </c>
      <c r="N12" s="19">
        <f t="shared" si="1"/>
        <v>63054264.640000001</v>
      </c>
      <c r="O12" s="19">
        <f>SUM(O2:O11)</f>
        <v>609567111.73000002</v>
      </c>
      <c r="P12" s="23"/>
      <c r="R12" s="24"/>
      <c r="S12" s="24"/>
      <c r="T12" s="24"/>
      <c r="U12" s="24"/>
      <c r="V12" s="24"/>
      <c r="W12" s="24"/>
      <c r="X12" s="24"/>
      <c r="Y12" s="24"/>
      <c r="Z12" s="24"/>
      <c r="AA12" s="24"/>
      <c r="AB12" s="24"/>
      <c r="AC12" s="24"/>
      <c r="AD12" s="24"/>
      <c r="AE12" s="24"/>
      <c r="AF12" s="24"/>
      <c r="AG12" s="24"/>
      <c r="AH12" s="24"/>
      <c r="AI12" s="24"/>
      <c r="AJ12" s="24"/>
    </row>
    <row r="13" spans="1:36">
      <c r="B13" s="18" t="s">
        <v>59</v>
      </c>
      <c r="C13" s="24">
        <f>-N29</f>
        <v>-1694.72</v>
      </c>
      <c r="F13" s="24">
        <f>-K29</f>
        <v>-4698477.6399999997</v>
      </c>
      <c r="O13" s="24">
        <f>SUM(C13:N13)</f>
        <v>-4700172.3599999994</v>
      </c>
      <c r="P13" s="23"/>
      <c r="R13" s="24"/>
      <c r="S13" s="24"/>
      <c r="T13" s="24"/>
      <c r="U13" s="24"/>
      <c r="V13" s="24"/>
      <c r="W13" s="24"/>
      <c r="X13" s="24"/>
      <c r="Y13" s="24"/>
      <c r="Z13" s="24"/>
      <c r="AA13" s="24"/>
      <c r="AB13" s="24"/>
      <c r="AC13" s="24"/>
      <c r="AD13" s="24"/>
      <c r="AE13" s="24"/>
      <c r="AF13" s="24"/>
      <c r="AG13" s="24"/>
      <c r="AH13" s="24"/>
      <c r="AI13" s="24"/>
      <c r="AJ13" s="24"/>
    </row>
    <row r="14" spans="1:36" ht="15.75" thickBot="1">
      <c r="C14" s="17">
        <f>SUM(C12:C13)</f>
        <v>56901304.25</v>
      </c>
      <c r="D14" s="17">
        <f t="shared" ref="D14:O14" si="2">SUM(D12:D13)</f>
        <v>51418136.469999999</v>
      </c>
      <c r="E14" s="17">
        <f t="shared" si="2"/>
        <v>52206896.88000001</v>
      </c>
      <c r="F14" s="17">
        <f t="shared" si="2"/>
        <v>44744485.430000007</v>
      </c>
      <c r="G14" s="17">
        <f t="shared" si="2"/>
        <v>42818520.870000005</v>
      </c>
      <c r="H14" s="17">
        <f t="shared" si="2"/>
        <v>42654878.230000004</v>
      </c>
      <c r="I14" s="17">
        <f t="shared" si="2"/>
        <v>57911575.099999994</v>
      </c>
      <c r="J14" s="17">
        <f t="shared" si="2"/>
        <v>58973296.410000004</v>
      </c>
      <c r="K14" s="17">
        <f t="shared" si="2"/>
        <v>41879373.549999997</v>
      </c>
      <c r="L14" s="17">
        <f t="shared" si="2"/>
        <v>53253674.289999999</v>
      </c>
      <c r="M14" s="17">
        <f t="shared" si="2"/>
        <v>39050533.249999993</v>
      </c>
      <c r="N14" s="17">
        <f t="shared" si="2"/>
        <v>63054264.640000001</v>
      </c>
      <c r="O14" s="17">
        <f t="shared" si="2"/>
        <v>604866939.37</v>
      </c>
      <c r="P14" s="23"/>
      <c r="R14" s="24"/>
      <c r="S14" s="24"/>
      <c r="T14" s="24"/>
      <c r="U14" s="24"/>
      <c r="V14" s="24"/>
      <c r="W14" s="24"/>
      <c r="X14" s="24"/>
      <c r="Y14" s="24"/>
      <c r="Z14" s="24"/>
      <c r="AA14" s="24"/>
      <c r="AB14" s="24"/>
      <c r="AC14" s="24"/>
      <c r="AD14" s="24"/>
      <c r="AE14" s="24"/>
      <c r="AF14" s="24"/>
      <c r="AG14" s="24"/>
      <c r="AH14" s="24"/>
      <c r="AI14" s="24"/>
      <c r="AJ14" s="24"/>
    </row>
    <row r="15" spans="1:36" ht="15.75" thickTop="1">
      <c r="P15" s="23"/>
      <c r="R15" s="24"/>
      <c r="S15" s="24"/>
      <c r="T15" s="24"/>
      <c r="U15" s="24"/>
      <c r="V15" s="24"/>
      <c r="W15" s="24"/>
      <c r="X15" s="24"/>
      <c r="Y15" s="24"/>
      <c r="Z15" s="24"/>
      <c r="AA15" s="24"/>
      <c r="AB15" s="24"/>
      <c r="AC15" s="24"/>
      <c r="AD15" s="24"/>
      <c r="AE15" s="24"/>
      <c r="AF15" s="24"/>
      <c r="AG15" s="24"/>
      <c r="AH15" s="24"/>
      <c r="AI15" s="24"/>
      <c r="AJ15" s="24"/>
    </row>
    <row r="16" spans="1:36">
      <c r="P16" s="23"/>
      <c r="R16" s="24"/>
      <c r="S16" s="24"/>
      <c r="T16" s="24"/>
      <c r="U16" s="24"/>
      <c r="V16" s="24"/>
      <c r="W16" s="24"/>
      <c r="X16" s="24"/>
      <c r="Y16" s="24"/>
      <c r="Z16" s="24"/>
      <c r="AA16" s="24"/>
      <c r="AB16" s="24"/>
      <c r="AC16" s="24"/>
      <c r="AD16" s="24"/>
      <c r="AE16" s="24"/>
      <c r="AF16" s="24"/>
      <c r="AG16" s="24"/>
      <c r="AH16" s="24"/>
      <c r="AI16" s="24"/>
      <c r="AJ16" s="24"/>
    </row>
    <row r="17" spans="1:36">
      <c r="P17" s="23"/>
      <c r="R17" s="24"/>
      <c r="S17" s="24"/>
      <c r="T17" s="24"/>
      <c r="U17" s="24"/>
      <c r="V17" s="24"/>
      <c r="W17" s="24"/>
      <c r="X17" s="24"/>
      <c r="Y17" s="24"/>
      <c r="Z17" s="24"/>
      <c r="AA17" s="24"/>
      <c r="AB17" s="24"/>
      <c r="AC17" s="24"/>
      <c r="AD17" s="24"/>
      <c r="AE17" s="24"/>
      <c r="AF17" s="24"/>
      <c r="AG17" s="24"/>
      <c r="AH17" s="24"/>
      <c r="AI17" s="24"/>
      <c r="AJ17" s="24"/>
    </row>
    <row r="18" spans="1:36">
      <c r="P18" s="23"/>
      <c r="R18" s="24"/>
      <c r="S18" s="24"/>
      <c r="T18" s="24"/>
      <c r="U18" s="24"/>
      <c r="V18" s="24"/>
      <c r="W18" s="24"/>
      <c r="X18" s="24"/>
      <c r="Y18" s="24"/>
      <c r="Z18" s="24"/>
      <c r="AA18" s="24"/>
      <c r="AB18" s="24"/>
      <c r="AC18" s="24"/>
      <c r="AD18" s="24"/>
      <c r="AE18" s="24"/>
      <c r="AF18" s="24"/>
      <c r="AG18" s="24"/>
      <c r="AH18" s="24"/>
      <c r="AI18" s="24"/>
      <c r="AJ18" s="24"/>
    </row>
    <row r="19" spans="1:36">
      <c r="Q19" s="24"/>
      <c r="R19" s="24"/>
      <c r="S19" s="24"/>
      <c r="T19" s="24"/>
      <c r="U19" s="24"/>
      <c r="V19" s="24"/>
      <c r="W19" s="24"/>
      <c r="X19" s="24"/>
      <c r="Y19" s="24"/>
      <c r="Z19" s="24"/>
      <c r="AA19" s="24"/>
      <c r="AB19" s="24"/>
      <c r="AC19" s="24"/>
      <c r="AD19" s="24"/>
      <c r="AE19" s="24"/>
      <c r="AF19" s="24"/>
      <c r="AG19" s="24"/>
      <c r="AH19" s="24"/>
      <c r="AI19" s="24"/>
      <c r="AJ19" s="24"/>
    </row>
    <row r="20" spans="1:36">
      <c r="Q20" s="24"/>
      <c r="R20" s="24"/>
      <c r="S20" s="24"/>
      <c r="T20" s="24"/>
      <c r="U20" s="24"/>
      <c r="V20" s="24"/>
      <c r="W20" s="24"/>
      <c r="X20" s="24"/>
      <c r="Y20" s="24"/>
      <c r="Z20" s="24"/>
      <c r="AA20" s="24"/>
      <c r="AB20" s="24"/>
      <c r="AC20" s="24"/>
      <c r="AD20" s="24"/>
      <c r="AE20" s="24"/>
      <c r="AF20" s="24"/>
      <c r="AG20" s="24"/>
      <c r="AH20" s="24"/>
      <c r="AI20" s="24"/>
      <c r="AJ20" s="24"/>
    </row>
    <row r="21" spans="1:36">
      <c r="A21" s="23" t="s">
        <v>27</v>
      </c>
      <c r="B21" s="23" t="s">
        <v>28</v>
      </c>
      <c r="C21" s="16">
        <v>43435</v>
      </c>
      <c r="D21" s="16">
        <v>43405</v>
      </c>
      <c r="E21" s="16">
        <v>43374</v>
      </c>
      <c r="F21" s="16">
        <v>43344</v>
      </c>
      <c r="G21" s="16">
        <v>43313</v>
      </c>
      <c r="H21" s="16">
        <v>43282</v>
      </c>
      <c r="I21" s="16">
        <v>43252</v>
      </c>
      <c r="J21" s="16">
        <v>43221</v>
      </c>
      <c r="K21" s="16">
        <v>43191</v>
      </c>
      <c r="L21" s="16">
        <v>43160</v>
      </c>
      <c r="M21" s="16">
        <v>43132</v>
      </c>
      <c r="N21" s="16">
        <v>43101</v>
      </c>
      <c r="Q21" s="24"/>
      <c r="R21" s="24"/>
      <c r="S21" s="24"/>
      <c r="T21" s="24"/>
      <c r="U21" s="24"/>
      <c r="V21" s="24"/>
      <c r="W21" s="24"/>
      <c r="X21" s="24"/>
      <c r="Y21" s="24"/>
      <c r="Z21" s="24"/>
      <c r="AA21" s="24"/>
      <c r="AB21" s="24"/>
      <c r="AC21" s="24"/>
      <c r="AD21" s="24"/>
      <c r="AE21" s="24"/>
      <c r="AF21" s="24"/>
      <c r="AG21" s="24"/>
      <c r="AH21" s="24"/>
      <c r="AI21" s="24"/>
      <c r="AJ21" s="24"/>
    </row>
    <row r="22" spans="1:36">
      <c r="A22" s="23" t="s">
        <v>20</v>
      </c>
      <c r="B22" s="130">
        <v>0</v>
      </c>
      <c r="C22" s="130">
        <v>0</v>
      </c>
      <c r="D22" s="130">
        <v>0</v>
      </c>
      <c r="E22" s="130">
        <v>0</v>
      </c>
      <c r="F22" s="130">
        <v>0</v>
      </c>
      <c r="G22" s="130">
        <v>0</v>
      </c>
      <c r="H22" s="130">
        <v>0</v>
      </c>
      <c r="I22" s="130">
        <v>0</v>
      </c>
      <c r="J22" s="130">
        <v>0</v>
      </c>
      <c r="K22" s="130">
        <v>0</v>
      </c>
      <c r="L22" s="130">
        <v>0</v>
      </c>
      <c r="M22" s="130">
        <v>-826.65</v>
      </c>
      <c r="N22" s="130">
        <v>826.65</v>
      </c>
      <c r="Q22" s="24"/>
      <c r="R22" s="24"/>
      <c r="S22" s="24"/>
      <c r="T22" s="24"/>
      <c r="U22" s="24"/>
      <c r="V22" s="24"/>
      <c r="W22" s="24"/>
      <c r="X22" s="24"/>
      <c r="Y22" s="24"/>
      <c r="Z22" s="24"/>
      <c r="AA22" s="24"/>
      <c r="AB22" s="24"/>
      <c r="AC22" s="24"/>
      <c r="AD22" s="24"/>
      <c r="AE22" s="24"/>
      <c r="AF22" s="24"/>
      <c r="AG22" s="24"/>
      <c r="AH22" s="24"/>
      <c r="AI22" s="24"/>
      <c r="AJ22" s="24"/>
    </row>
    <row r="23" spans="1:36">
      <c r="A23" s="23" t="s">
        <v>21</v>
      </c>
      <c r="B23" s="130">
        <v>0</v>
      </c>
      <c r="C23" s="130">
        <v>0</v>
      </c>
      <c r="D23" s="130">
        <v>0</v>
      </c>
      <c r="E23" s="130">
        <v>0</v>
      </c>
      <c r="F23" s="130">
        <v>0</v>
      </c>
      <c r="G23" s="130">
        <v>0</v>
      </c>
      <c r="H23" s="130">
        <v>0</v>
      </c>
      <c r="I23" s="130">
        <v>0</v>
      </c>
      <c r="J23" s="130">
        <v>0</v>
      </c>
      <c r="K23" s="130">
        <v>0</v>
      </c>
      <c r="L23" s="130">
        <v>0</v>
      </c>
      <c r="M23" s="130">
        <v>-764.65</v>
      </c>
      <c r="N23" s="130">
        <v>764.65</v>
      </c>
      <c r="Q23" s="24"/>
      <c r="R23" s="24"/>
      <c r="S23" s="24"/>
      <c r="T23" s="24"/>
      <c r="U23" s="24"/>
      <c r="V23" s="24"/>
      <c r="W23" s="24"/>
      <c r="X23" s="24"/>
      <c r="Y23" s="24"/>
      <c r="Z23" s="24"/>
      <c r="AA23" s="24"/>
      <c r="AB23" s="24"/>
      <c r="AC23" s="24"/>
      <c r="AD23" s="24"/>
      <c r="AE23" s="24"/>
      <c r="AF23" s="24"/>
      <c r="AG23" s="24"/>
      <c r="AH23" s="24"/>
      <c r="AI23" s="24"/>
      <c r="AJ23" s="24"/>
    </row>
    <row r="24" spans="1:36">
      <c r="A24" s="23" t="s">
        <v>22</v>
      </c>
      <c r="B24" s="130">
        <v>0</v>
      </c>
      <c r="C24" s="130">
        <v>0</v>
      </c>
      <c r="D24" s="130">
        <v>0</v>
      </c>
      <c r="E24" s="130">
        <v>0</v>
      </c>
      <c r="F24" s="130">
        <v>0</v>
      </c>
      <c r="G24" s="130">
        <v>0</v>
      </c>
      <c r="H24" s="130">
        <v>0</v>
      </c>
      <c r="I24" s="130">
        <v>0</v>
      </c>
      <c r="J24" s="130">
        <v>0</v>
      </c>
      <c r="K24" s="130">
        <v>0</v>
      </c>
      <c r="L24" s="130">
        <v>0</v>
      </c>
      <c r="M24" s="130">
        <v>-103.42</v>
      </c>
      <c r="N24" s="130">
        <v>103.42</v>
      </c>
      <c r="Q24" s="24"/>
      <c r="R24" s="24"/>
      <c r="S24" s="24"/>
      <c r="T24" s="24"/>
      <c r="U24" s="24"/>
      <c r="V24" s="24"/>
      <c r="W24" s="24"/>
      <c r="X24" s="24"/>
      <c r="Y24" s="24"/>
      <c r="Z24" s="24"/>
      <c r="AA24" s="24"/>
      <c r="AB24" s="24"/>
      <c r="AC24" s="24"/>
      <c r="AD24" s="24"/>
      <c r="AE24" s="24"/>
      <c r="AF24" s="24"/>
      <c r="AG24" s="24"/>
      <c r="AH24" s="24"/>
      <c r="AI24" s="24"/>
      <c r="AJ24" s="24"/>
    </row>
    <row r="25" spans="1:36">
      <c r="A25" s="23" t="s">
        <v>23</v>
      </c>
      <c r="B25" s="130">
        <v>2299165.2999999998</v>
      </c>
      <c r="C25" s="130">
        <v>0</v>
      </c>
      <c r="D25" s="130">
        <v>0</v>
      </c>
      <c r="E25" s="130">
        <v>0</v>
      </c>
      <c r="F25" s="130">
        <v>0</v>
      </c>
      <c r="G25" s="130">
        <v>0</v>
      </c>
      <c r="H25" s="130">
        <v>0</v>
      </c>
      <c r="I25" s="130">
        <v>0</v>
      </c>
      <c r="J25" s="130">
        <v>0</v>
      </c>
      <c r="K25" s="130">
        <v>2298338.65</v>
      </c>
      <c r="L25" s="130">
        <v>0</v>
      </c>
      <c r="M25" s="130">
        <v>826.65</v>
      </c>
      <c r="N25" s="130">
        <v>0</v>
      </c>
      <c r="Q25" s="24"/>
      <c r="R25" s="24"/>
      <c r="S25" s="24"/>
      <c r="T25" s="24"/>
      <c r="U25" s="24"/>
      <c r="V25" s="24"/>
      <c r="W25" s="24"/>
      <c r="X25" s="24"/>
      <c r="Y25" s="24"/>
      <c r="Z25" s="24"/>
      <c r="AA25" s="24"/>
      <c r="AB25" s="24"/>
      <c r="AC25" s="24"/>
      <c r="AD25" s="24"/>
      <c r="AE25" s="24"/>
      <c r="AF25" s="24"/>
      <c r="AG25" s="24"/>
      <c r="AH25" s="24"/>
      <c r="AI25" s="24"/>
      <c r="AJ25" s="24"/>
    </row>
    <row r="26" spans="1:36">
      <c r="A26" s="23" t="s">
        <v>24</v>
      </c>
      <c r="B26" s="130">
        <v>2115079.58</v>
      </c>
      <c r="C26" s="130">
        <v>0</v>
      </c>
      <c r="D26" s="130">
        <v>0</v>
      </c>
      <c r="E26" s="130">
        <v>0</v>
      </c>
      <c r="F26" s="130">
        <v>0</v>
      </c>
      <c r="G26" s="130">
        <v>0</v>
      </c>
      <c r="H26" s="130">
        <v>0</v>
      </c>
      <c r="I26" s="130">
        <v>0</v>
      </c>
      <c r="J26" s="130">
        <v>0</v>
      </c>
      <c r="K26" s="130">
        <v>2114314.9300000002</v>
      </c>
      <c r="L26" s="130">
        <v>0</v>
      </c>
      <c r="M26" s="130">
        <v>764.65</v>
      </c>
      <c r="N26" s="130">
        <v>0</v>
      </c>
      <c r="Q26" s="24"/>
      <c r="R26" s="24"/>
      <c r="S26" s="24"/>
      <c r="T26" s="24"/>
      <c r="U26" s="24"/>
      <c r="V26" s="24"/>
      <c r="W26" s="24"/>
      <c r="X26" s="24"/>
      <c r="Y26" s="24"/>
      <c r="Z26" s="24"/>
      <c r="AA26" s="24"/>
      <c r="AB26" s="24"/>
      <c r="AC26" s="24"/>
      <c r="AD26" s="24"/>
      <c r="AE26" s="24"/>
      <c r="AF26" s="24"/>
      <c r="AG26" s="24"/>
      <c r="AH26" s="24"/>
      <c r="AI26" s="24"/>
      <c r="AJ26" s="24"/>
    </row>
    <row r="27" spans="1:36">
      <c r="A27" s="23" t="s">
        <v>25</v>
      </c>
      <c r="B27" s="130">
        <v>285927.48</v>
      </c>
      <c r="C27" s="130">
        <v>0</v>
      </c>
      <c r="D27" s="130">
        <v>0</v>
      </c>
      <c r="E27" s="130">
        <v>0</v>
      </c>
      <c r="F27" s="130">
        <v>0</v>
      </c>
      <c r="G27" s="130">
        <v>0</v>
      </c>
      <c r="H27" s="130">
        <v>0</v>
      </c>
      <c r="I27" s="130">
        <v>0</v>
      </c>
      <c r="J27" s="130">
        <v>0</v>
      </c>
      <c r="K27" s="130">
        <v>285824.06</v>
      </c>
      <c r="L27" s="130">
        <v>0</v>
      </c>
      <c r="M27" s="130">
        <v>103.42</v>
      </c>
      <c r="N27" s="130">
        <v>0</v>
      </c>
      <c r="Q27" s="24"/>
      <c r="R27" s="24"/>
      <c r="S27" s="24"/>
      <c r="T27" s="24"/>
      <c r="U27" s="24"/>
      <c r="V27" s="24"/>
      <c r="W27" s="24"/>
      <c r="X27" s="24"/>
      <c r="Y27" s="24"/>
      <c r="Z27" s="24"/>
      <c r="AA27" s="24"/>
      <c r="AB27" s="24"/>
      <c r="AC27" s="24"/>
      <c r="AD27" s="24"/>
      <c r="AE27" s="24"/>
      <c r="AF27" s="24"/>
      <c r="AG27" s="24"/>
      <c r="AH27" s="24"/>
      <c r="AI27" s="24"/>
      <c r="AJ27" s="24"/>
    </row>
    <row r="28" spans="1:36">
      <c r="A28" s="23" t="s">
        <v>26</v>
      </c>
      <c r="B28" s="130">
        <v>4700172.3600000003</v>
      </c>
      <c r="C28" s="130">
        <v>0</v>
      </c>
      <c r="D28" s="130">
        <v>0</v>
      </c>
      <c r="E28" s="130">
        <v>0</v>
      </c>
      <c r="F28" s="130">
        <v>0</v>
      </c>
      <c r="G28" s="130">
        <v>0</v>
      </c>
      <c r="H28" s="130">
        <v>0</v>
      </c>
      <c r="I28" s="130">
        <v>0</v>
      </c>
      <c r="J28" s="130">
        <v>0</v>
      </c>
      <c r="K28" s="130">
        <v>4698477.6399999997</v>
      </c>
      <c r="L28" s="130">
        <v>0</v>
      </c>
      <c r="M28" s="130">
        <v>0</v>
      </c>
      <c r="N28" s="130">
        <v>1694.72</v>
      </c>
    </row>
    <row r="29" spans="1:36">
      <c r="A29" s="23" t="s">
        <v>60</v>
      </c>
      <c r="B29" s="130">
        <v>4700172.3600000003</v>
      </c>
      <c r="C29" s="130">
        <v>0</v>
      </c>
      <c r="D29" s="130">
        <v>0</v>
      </c>
      <c r="E29" s="130">
        <v>0</v>
      </c>
      <c r="F29" s="130">
        <v>0</v>
      </c>
      <c r="G29" s="130">
        <v>0</v>
      </c>
      <c r="H29" s="130">
        <v>0</v>
      </c>
      <c r="I29" s="130">
        <v>0</v>
      </c>
      <c r="J29" s="130">
        <v>0</v>
      </c>
      <c r="K29" s="130">
        <v>4698477.6399999997</v>
      </c>
      <c r="L29" s="130">
        <v>0</v>
      </c>
      <c r="M29" s="130">
        <v>0</v>
      </c>
      <c r="N29" s="130">
        <v>1694.72</v>
      </c>
    </row>
    <row r="35" spans="16:16">
      <c r="P35" s="23"/>
    </row>
    <row r="36" spans="16:16">
      <c r="P36" s="23"/>
    </row>
    <row r="37" spans="16:16">
      <c r="P37" s="23"/>
    </row>
    <row r="38" spans="16:16">
      <c r="P38" s="23"/>
    </row>
    <row r="39" spans="16:16">
      <c r="P39" s="23"/>
    </row>
    <row r="40" spans="16:16">
      <c r="P40" s="23"/>
    </row>
    <row r="41" spans="16:16">
      <c r="P41" s="23"/>
    </row>
    <row r="42" spans="16:16">
      <c r="P42" s="23"/>
    </row>
    <row r="43" spans="16:16">
      <c r="P43" s="23"/>
    </row>
    <row r="44" spans="16:16">
      <c r="P44" s="23"/>
    </row>
    <row r="45" spans="16:16">
      <c r="P45" s="23"/>
    </row>
    <row r="46" spans="16:16">
      <c r="P46" s="23"/>
    </row>
    <row r="47" spans="16:16">
      <c r="P47" s="23"/>
    </row>
    <row r="48" spans="16:16">
      <c r="P48" s="23"/>
    </row>
    <row r="49" spans="16:16">
      <c r="P49" s="23"/>
    </row>
    <row r="50" spans="16:16">
      <c r="P50" s="23"/>
    </row>
    <row r="51" spans="16:16">
      <c r="P51" s="23"/>
    </row>
    <row r="52" spans="16:16">
      <c r="P52" s="23"/>
    </row>
    <row r="53" spans="16:16">
      <c r="P53" s="23"/>
    </row>
    <row r="54" spans="16:16">
      <c r="P54" s="23"/>
    </row>
    <row r="55" spans="16:16">
      <c r="P55" s="23"/>
    </row>
    <row r="56" spans="16:16">
      <c r="P56" s="23"/>
    </row>
    <row r="57" spans="16:16">
      <c r="P57" s="23"/>
    </row>
    <row r="58" spans="16:16">
      <c r="P58" s="23"/>
    </row>
    <row r="59" spans="16:16">
      <c r="P59"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topLeftCell="A10" zoomScale="80" zoomScaleNormal="80" workbookViewId="0">
      <selection activeCell="C65" sqref="C65"/>
    </sheetView>
  </sheetViews>
  <sheetFormatPr defaultRowHeight="12.75"/>
  <cols>
    <col min="1" max="2" width="6.7109375" style="462" customWidth="1"/>
    <col min="3" max="3" width="34" style="463" customWidth="1"/>
    <col min="4" max="4" width="12.5703125" style="463" customWidth="1"/>
    <col min="5" max="5" width="2.5703125" style="463" customWidth="1"/>
    <col min="6" max="6" width="15.5703125" style="463" customWidth="1"/>
    <col min="7" max="7" width="15.42578125" style="463" customWidth="1"/>
    <col min="8" max="8" width="16.140625" style="463" customWidth="1"/>
    <col min="9" max="9" width="14.85546875" style="463" customWidth="1"/>
    <col min="10" max="10" width="15.42578125" style="463" customWidth="1"/>
    <col min="11" max="12" width="14.85546875" style="463" customWidth="1"/>
    <col min="13" max="13" width="15.7109375" style="463" customWidth="1"/>
    <col min="14" max="14" width="15.42578125" style="463" customWidth="1"/>
    <col min="15" max="15" width="16" style="463" customWidth="1"/>
    <col min="16" max="17" width="14.85546875" style="463" customWidth="1"/>
    <col min="18" max="18" width="17.42578125" style="463" customWidth="1"/>
    <col min="19" max="19" width="97.28515625" style="463" customWidth="1"/>
    <col min="20" max="20" width="6" style="463" customWidth="1"/>
    <col min="21" max="21" width="10.7109375" style="463" bestFit="1" customWidth="1"/>
    <col min="22" max="22" width="44" style="463" bestFit="1" customWidth="1"/>
    <col min="23" max="23" width="14" style="463" bestFit="1" customWidth="1"/>
    <col min="24" max="24" width="4.85546875" style="463" bestFit="1" customWidth="1"/>
    <col min="25" max="16384" width="9.140625" style="463"/>
  </cols>
  <sheetData>
    <row r="1" spans="1:23" ht="18">
      <c r="C1" s="383" t="s">
        <v>114</v>
      </c>
      <c r="G1" s="384"/>
    </row>
    <row r="2" spans="1:23" ht="18">
      <c r="C2" s="385" t="s">
        <v>113</v>
      </c>
      <c r="G2" s="452"/>
      <c r="H2" s="455"/>
    </row>
    <row r="3" spans="1:23" ht="15.75">
      <c r="A3" s="386"/>
      <c r="B3" s="386"/>
      <c r="C3" s="385" t="s">
        <v>112</v>
      </c>
      <c r="E3" s="462"/>
      <c r="F3" s="388"/>
      <c r="G3" s="388"/>
      <c r="H3" s="388"/>
      <c r="I3" s="388"/>
      <c r="J3" s="388"/>
      <c r="K3" s="388"/>
      <c r="L3" s="388"/>
      <c r="M3" s="388"/>
      <c r="N3" s="388"/>
      <c r="O3" s="388"/>
      <c r="P3" s="388"/>
      <c r="Q3" s="388"/>
      <c r="R3" s="388"/>
      <c r="S3" s="446"/>
    </row>
    <row r="4" spans="1:23" ht="15.75">
      <c r="A4" s="386" t="s">
        <v>111</v>
      </c>
      <c r="B4" s="386"/>
      <c r="C4" s="387" t="s">
        <v>110</v>
      </c>
      <c r="E4" s="462"/>
      <c r="F4" s="388"/>
      <c r="G4" s="389"/>
      <c r="H4" s="389"/>
      <c r="I4" s="389"/>
      <c r="J4" s="389"/>
      <c r="K4" s="389"/>
      <c r="L4" s="389"/>
      <c r="M4" s="389"/>
      <c r="N4" s="389"/>
      <c r="O4" s="389"/>
      <c r="P4" s="389"/>
      <c r="Q4" s="389"/>
      <c r="R4" s="389" t="s">
        <v>109</v>
      </c>
      <c r="S4" s="446"/>
    </row>
    <row r="5" spans="1:23" ht="14.25">
      <c r="A5" s="462" t="s">
        <v>108</v>
      </c>
      <c r="B5" s="390" t="s">
        <v>107</v>
      </c>
      <c r="C5" s="391"/>
      <c r="E5" s="392"/>
      <c r="F5" s="393">
        <v>43101</v>
      </c>
      <c r="G5" s="394">
        <v>43132</v>
      </c>
      <c r="H5" s="393">
        <v>43160</v>
      </c>
      <c r="I5" s="394">
        <v>43191</v>
      </c>
      <c r="J5" s="393">
        <v>43221</v>
      </c>
      <c r="K5" s="394">
        <v>43252</v>
      </c>
      <c r="L5" s="393">
        <v>43282</v>
      </c>
      <c r="M5" s="394">
        <v>43313</v>
      </c>
      <c r="N5" s="393">
        <v>43344</v>
      </c>
      <c r="O5" s="394">
        <v>43374</v>
      </c>
      <c r="P5" s="393">
        <v>43405</v>
      </c>
      <c r="Q5" s="394">
        <v>43435</v>
      </c>
      <c r="R5" s="394" t="s">
        <v>106</v>
      </c>
      <c r="S5" s="395" t="s">
        <v>105</v>
      </c>
    </row>
    <row r="6" spans="1:23">
      <c r="A6" s="462">
        <v>1</v>
      </c>
    </row>
    <row r="7" spans="1:23" ht="15">
      <c r="A7" s="462">
        <v>2</v>
      </c>
      <c r="C7" s="463" t="s">
        <v>104</v>
      </c>
      <c r="D7" s="396" t="s">
        <v>103</v>
      </c>
      <c r="E7" s="447"/>
      <c r="F7" s="397"/>
      <c r="G7" s="397"/>
      <c r="H7" s="397"/>
      <c r="I7" s="397"/>
      <c r="J7" s="397"/>
      <c r="K7" s="397"/>
      <c r="L7" s="397"/>
      <c r="M7" s="397"/>
      <c r="N7" s="397"/>
      <c r="O7" s="397"/>
      <c r="P7" s="397"/>
      <c r="Q7" s="397"/>
      <c r="R7" s="397"/>
      <c r="S7" s="438"/>
      <c r="T7" s="446"/>
      <c r="W7" s="447"/>
    </row>
    <row r="8" spans="1:23">
      <c r="A8" s="462">
        <v>3</v>
      </c>
      <c r="B8" s="462">
        <v>2</v>
      </c>
      <c r="C8" s="404" t="s">
        <v>102</v>
      </c>
      <c r="D8" s="405">
        <v>501</v>
      </c>
      <c r="E8" s="447"/>
      <c r="F8" s="444">
        <f>+Actuals!G29</f>
        <v>7465493</v>
      </c>
      <c r="G8" s="444">
        <f>+Actuals!H29</f>
        <v>5629480</v>
      </c>
      <c r="H8" s="444">
        <f>+Actuals!I29</f>
        <v>7578248.8399999999</v>
      </c>
      <c r="I8" s="444">
        <f>+Actuals!J29</f>
        <v>3572343</v>
      </c>
      <c r="J8" s="444">
        <f>+Actuals!K29</f>
        <v>3095994</v>
      </c>
      <c r="K8" s="444">
        <f>+Actuals!L29</f>
        <v>4644305</v>
      </c>
      <c r="L8" s="444">
        <f>+Actuals!M29</f>
        <v>7111385</v>
      </c>
      <c r="M8" s="444">
        <f>+Actuals!N29</f>
        <v>8016972</v>
      </c>
      <c r="N8" s="444">
        <f>+Actuals!O29</f>
        <v>7814447</v>
      </c>
      <c r="O8" s="444">
        <f>+Actuals!P29</f>
        <v>8911556</v>
      </c>
      <c r="P8" s="444">
        <f>+Actuals!Q29</f>
        <v>7823334</v>
      </c>
      <c r="Q8" s="444">
        <f>+Actuals!R29</f>
        <v>7670634</v>
      </c>
      <c r="R8" s="444">
        <f t="shared" ref="R8:R15" si="0">SUM(F8:Q8)</f>
        <v>79334191.840000004</v>
      </c>
      <c r="S8" s="424" t="s">
        <v>91</v>
      </c>
      <c r="T8" s="446" t="s">
        <v>101</v>
      </c>
      <c r="U8" s="398" t="s">
        <v>100</v>
      </c>
      <c r="W8" s="447"/>
    </row>
    <row r="9" spans="1:23">
      <c r="A9" s="462">
        <v>4</v>
      </c>
      <c r="B9" s="462">
        <v>3</v>
      </c>
      <c r="C9" s="404" t="s">
        <v>99</v>
      </c>
      <c r="D9" s="405">
        <v>547</v>
      </c>
      <c r="E9" s="447"/>
      <c r="F9" s="407">
        <f>+Actuals!G30</f>
        <v>6089754</v>
      </c>
      <c r="G9" s="407">
        <f>+Actuals!H30</f>
        <v>7894662</v>
      </c>
      <c r="H9" s="407">
        <f>+Actuals!I30</f>
        <v>8829096</v>
      </c>
      <c r="I9" s="407">
        <f>+Actuals!J30</f>
        <v>5571062</v>
      </c>
      <c r="J9" s="407">
        <f>+Actuals!K30</f>
        <v>5554508</v>
      </c>
      <c r="K9" s="407">
        <f>+Actuals!L30</f>
        <v>5529510</v>
      </c>
      <c r="L9" s="407">
        <f>+Actuals!M30</f>
        <v>15764407</v>
      </c>
      <c r="M9" s="407">
        <f>+Actuals!N30</f>
        <v>17898546</v>
      </c>
      <c r="N9" s="407">
        <f>+Actuals!O30</f>
        <v>16180127</v>
      </c>
      <c r="O9" s="407">
        <f>+Actuals!P30</f>
        <v>10917006</v>
      </c>
      <c r="P9" s="407">
        <f>+Actuals!Q30</f>
        <v>4826662</v>
      </c>
      <c r="Q9" s="407">
        <f>+Actuals!R30</f>
        <v>20847960</v>
      </c>
      <c r="R9" s="407">
        <f t="shared" si="0"/>
        <v>125903300</v>
      </c>
      <c r="S9" s="424" t="s">
        <v>91</v>
      </c>
      <c r="T9" s="446"/>
      <c r="W9" s="447"/>
    </row>
    <row r="10" spans="1:23" s="442" customFormat="1">
      <c r="A10" s="462">
        <v>5</v>
      </c>
      <c r="B10" s="462">
        <v>4</v>
      </c>
      <c r="C10" s="399" t="s">
        <v>98</v>
      </c>
      <c r="D10" s="401">
        <v>555</v>
      </c>
      <c r="E10" s="402"/>
      <c r="F10" s="407">
        <f>+Actuals!G31</f>
        <v>46629363</v>
      </c>
      <c r="G10" s="407">
        <f>+Actuals!H31</f>
        <v>39231268</v>
      </c>
      <c r="H10" s="407">
        <f>+Actuals!I31</f>
        <v>36276926</v>
      </c>
      <c r="I10" s="407">
        <f>+Actuals!J31</f>
        <v>35252533</v>
      </c>
      <c r="J10" s="407">
        <f>+Actuals!K31</f>
        <v>32176337</v>
      </c>
      <c r="K10" s="407">
        <f>+Actuals!L31</f>
        <v>29816192</v>
      </c>
      <c r="L10" s="407">
        <f>+Actuals!M31</f>
        <v>45468372</v>
      </c>
      <c r="M10" s="407">
        <f>+Actuals!N31</f>
        <v>41635809</v>
      </c>
      <c r="N10" s="407">
        <f>+Actuals!O31</f>
        <v>27907012</v>
      </c>
      <c r="O10" s="407">
        <f>+Actuals!P31</f>
        <v>42906462</v>
      </c>
      <c r="P10" s="407">
        <f>+Actuals!Q31</f>
        <v>66631080</v>
      </c>
      <c r="Q10" s="407">
        <f>+Actuals!R31</f>
        <v>64223257</v>
      </c>
      <c r="R10" s="407">
        <f t="shared" si="0"/>
        <v>508154611</v>
      </c>
      <c r="S10" s="424" t="s">
        <v>91</v>
      </c>
      <c r="T10" s="435"/>
      <c r="W10" s="402"/>
    </row>
    <row r="11" spans="1:23">
      <c r="A11" s="462">
        <v>6</v>
      </c>
      <c r="B11" s="462">
        <v>5</v>
      </c>
      <c r="C11" s="404" t="s">
        <v>97</v>
      </c>
      <c r="D11" s="401" t="s">
        <v>96</v>
      </c>
      <c r="E11" s="447"/>
      <c r="F11" s="407">
        <f>+Actuals!G32</f>
        <v>-1743799</v>
      </c>
      <c r="G11" s="407">
        <f>+Actuals!H32</f>
        <v>473555</v>
      </c>
      <c r="H11" s="407">
        <f>+Actuals!I32</f>
        <v>601940</v>
      </c>
      <c r="I11" s="407">
        <f>+Actuals!J32</f>
        <v>-1057440</v>
      </c>
      <c r="J11" s="407">
        <f>+Actuals!K32</f>
        <v>-1853559</v>
      </c>
      <c r="K11" s="407">
        <f>+Actuals!L32</f>
        <v>-1801241</v>
      </c>
      <c r="L11" s="407">
        <f>+Actuals!M32</f>
        <v>-1011228</v>
      </c>
      <c r="M11" s="407">
        <f>+Actuals!N32</f>
        <v>-1253395</v>
      </c>
      <c r="N11" s="407">
        <f>+Actuals!O32</f>
        <v>-831540</v>
      </c>
      <c r="O11" s="407">
        <f>+Actuals!P32</f>
        <v>-5670386</v>
      </c>
      <c r="P11" s="407">
        <f>+Actuals!Q32</f>
        <v>-36142340</v>
      </c>
      <c r="Q11" s="407">
        <f>+Actuals!R32</f>
        <v>-19181380</v>
      </c>
      <c r="R11" s="407">
        <f t="shared" si="0"/>
        <v>-69470813</v>
      </c>
      <c r="S11" s="424" t="s">
        <v>91</v>
      </c>
      <c r="T11" s="446"/>
      <c r="W11" s="447"/>
    </row>
    <row r="12" spans="1:23">
      <c r="A12" s="462">
        <v>7</v>
      </c>
      <c r="B12" s="462">
        <v>6</v>
      </c>
      <c r="C12" s="404" t="s">
        <v>95</v>
      </c>
      <c r="D12" s="401">
        <v>55700003</v>
      </c>
      <c r="E12" s="447"/>
      <c r="F12" s="407">
        <f>Actuals!G33</f>
        <v>31295</v>
      </c>
      <c r="G12" s="407">
        <f>Actuals!H33</f>
        <v>61045</v>
      </c>
      <c r="H12" s="407">
        <f>Actuals!I33</f>
        <v>24569</v>
      </c>
      <c r="I12" s="407">
        <f>Actuals!J33</f>
        <v>33508</v>
      </c>
      <c r="J12" s="407">
        <f>Actuals!K33</f>
        <v>38958</v>
      </c>
      <c r="K12" s="407">
        <f>Actuals!L33</f>
        <v>33720</v>
      </c>
      <c r="L12" s="407">
        <f>Actuals!M33</f>
        <v>18378</v>
      </c>
      <c r="M12" s="407">
        <f>Actuals!N33</f>
        <v>35164</v>
      </c>
      <c r="N12" s="407">
        <f>Actuals!O33</f>
        <v>45333</v>
      </c>
      <c r="O12" s="407">
        <f>Actuals!P33</f>
        <v>51916</v>
      </c>
      <c r="P12" s="407">
        <f>Actuals!Q33</f>
        <v>37804</v>
      </c>
      <c r="Q12" s="407">
        <f>Actuals!R33</f>
        <v>34974</v>
      </c>
      <c r="R12" s="407">
        <f t="shared" si="0"/>
        <v>446664</v>
      </c>
      <c r="S12" s="424" t="s">
        <v>91</v>
      </c>
      <c r="T12" s="446"/>
      <c r="W12" s="447"/>
    </row>
    <row r="13" spans="1:23">
      <c r="A13" s="462">
        <v>8</v>
      </c>
      <c r="B13" s="462">
        <v>7</v>
      </c>
      <c r="C13" s="404" t="s">
        <v>94</v>
      </c>
      <c r="D13" s="401">
        <v>447</v>
      </c>
      <c r="E13" s="447"/>
      <c r="F13" s="407">
        <f>+Actuals!G34</f>
        <v>-2689153</v>
      </c>
      <c r="G13" s="407">
        <f>+Actuals!H34</f>
        <v>-3954384</v>
      </c>
      <c r="H13" s="407">
        <f>+Actuals!I34</f>
        <v>-4383362</v>
      </c>
      <c r="I13" s="407">
        <f>+Actuals!J34</f>
        <v>-2826175</v>
      </c>
      <c r="J13" s="407">
        <f>+Actuals!K34</f>
        <v>-1650704</v>
      </c>
      <c r="K13" s="407">
        <f>+Actuals!L34</f>
        <v>-2922238</v>
      </c>
      <c r="L13" s="407">
        <f>+Actuals!M34</f>
        <v>-13113901</v>
      </c>
      <c r="M13" s="407">
        <f>+Actuals!N34</f>
        <v>-13214374</v>
      </c>
      <c r="N13" s="407">
        <f>+Actuals!O34</f>
        <v>-15504105</v>
      </c>
      <c r="O13" s="407">
        <f>+Actuals!P34</f>
        <v>-8976832</v>
      </c>
      <c r="P13" s="407">
        <f>+Actuals!Q34</f>
        <v>-7739441</v>
      </c>
      <c r="Q13" s="407">
        <f>+Actuals!R34</f>
        <v>-12348843</v>
      </c>
      <c r="R13" s="407">
        <f t="shared" si="0"/>
        <v>-89323512</v>
      </c>
      <c r="S13" s="424" t="s">
        <v>91</v>
      </c>
      <c r="T13" s="446"/>
      <c r="W13" s="447"/>
    </row>
    <row r="14" spans="1:23">
      <c r="A14" s="462">
        <v>9</v>
      </c>
      <c r="B14" s="462">
        <v>8</v>
      </c>
      <c r="C14" s="404" t="s">
        <v>93</v>
      </c>
      <c r="D14" s="401">
        <v>565</v>
      </c>
      <c r="E14" s="447"/>
      <c r="F14" s="407">
        <f>+Actuals!G35</f>
        <v>9742317</v>
      </c>
      <c r="G14" s="407">
        <f>+Actuals!H35</f>
        <v>9668270</v>
      </c>
      <c r="H14" s="407">
        <f>+Actuals!I35</f>
        <v>9531005</v>
      </c>
      <c r="I14" s="407">
        <f>+Actuals!J35</f>
        <v>9472832</v>
      </c>
      <c r="J14" s="407">
        <f>+Actuals!K35</f>
        <v>9156560</v>
      </c>
      <c r="K14" s="407">
        <f>+Actuals!L35</f>
        <v>9392381</v>
      </c>
      <c r="L14" s="407">
        <f>+Actuals!M35</f>
        <v>9285812</v>
      </c>
      <c r="M14" s="407">
        <f>+Actuals!N35</f>
        <v>10038659</v>
      </c>
      <c r="N14" s="407">
        <f>+Actuals!O35</f>
        <v>9766167</v>
      </c>
      <c r="O14" s="407">
        <f>+Actuals!P35</f>
        <v>9970355</v>
      </c>
      <c r="P14" s="407">
        <f>+Actuals!Q35</f>
        <v>9839390</v>
      </c>
      <c r="Q14" s="407">
        <f>+Actuals!R35</f>
        <v>9944030</v>
      </c>
      <c r="R14" s="407">
        <f t="shared" si="0"/>
        <v>115807778</v>
      </c>
      <c r="S14" s="424" t="s">
        <v>91</v>
      </c>
      <c r="T14" s="446"/>
      <c r="W14" s="447"/>
    </row>
    <row r="15" spans="1:23" s="442" customFormat="1">
      <c r="A15" s="462">
        <v>10</v>
      </c>
      <c r="B15" s="462">
        <v>10</v>
      </c>
      <c r="C15" s="400" t="s">
        <v>92</v>
      </c>
      <c r="D15" s="401">
        <v>40810005</v>
      </c>
      <c r="E15" s="402"/>
      <c r="F15" s="407">
        <f>Actuals!G36</f>
        <v>111694</v>
      </c>
      <c r="G15" s="407">
        <f>Actuals!H36</f>
        <v>127402</v>
      </c>
      <c r="H15" s="407">
        <f>Actuals!I36</f>
        <v>127402</v>
      </c>
      <c r="I15" s="407">
        <f>Actuals!J36</f>
        <v>178554</v>
      </c>
      <c r="J15" s="407">
        <f>Actuals!K36</f>
        <v>127402</v>
      </c>
      <c r="K15" s="407">
        <f>Actuals!L36</f>
        <v>127402</v>
      </c>
      <c r="L15" s="407">
        <f>Actuals!M36</f>
        <v>-53302</v>
      </c>
      <c r="M15" s="407">
        <f>Actuals!N36</f>
        <v>127402</v>
      </c>
      <c r="N15" s="407">
        <f>Actuals!O36</f>
        <v>127402</v>
      </c>
      <c r="O15" s="407">
        <f>Actuals!P36</f>
        <v>90326</v>
      </c>
      <c r="P15" s="407">
        <f>Actuals!Q36</f>
        <v>127402</v>
      </c>
      <c r="Q15" s="407">
        <f>Actuals!R36</f>
        <v>127402</v>
      </c>
      <c r="R15" s="407">
        <f t="shared" si="0"/>
        <v>1346488</v>
      </c>
      <c r="S15" s="424" t="s">
        <v>91</v>
      </c>
      <c r="T15" s="435"/>
      <c r="W15" s="402"/>
    </row>
    <row r="16" spans="1:23">
      <c r="A16" s="462">
        <v>11</v>
      </c>
      <c r="C16" s="404" t="s">
        <v>90</v>
      </c>
      <c r="D16" s="405"/>
      <c r="E16" s="447"/>
      <c r="F16" s="403">
        <f t="shared" ref="F16:R16" si="1">SUM(F8:F15)</f>
        <v>65636964</v>
      </c>
      <c r="G16" s="403">
        <f t="shared" si="1"/>
        <v>59131298</v>
      </c>
      <c r="H16" s="403">
        <f t="shared" si="1"/>
        <v>58585824.840000004</v>
      </c>
      <c r="I16" s="403">
        <f t="shared" si="1"/>
        <v>50197217</v>
      </c>
      <c r="J16" s="403">
        <f t="shared" si="1"/>
        <v>46645496</v>
      </c>
      <c r="K16" s="403">
        <f t="shared" si="1"/>
        <v>44820031</v>
      </c>
      <c r="L16" s="403">
        <f t="shared" si="1"/>
        <v>63469923</v>
      </c>
      <c r="M16" s="403">
        <f t="shared" si="1"/>
        <v>63284783</v>
      </c>
      <c r="N16" s="403">
        <f t="shared" si="1"/>
        <v>45504843</v>
      </c>
      <c r="O16" s="403">
        <f t="shared" si="1"/>
        <v>58200403</v>
      </c>
      <c r="P16" s="403">
        <f t="shared" si="1"/>
        <v>45403891</v>
      </c>
      <c r="Q16" s="403">
        <f t="shared" si="1"/>
        <v>71318034</v>
      </c>
      <c r="R16" s="403">
        <f t="shared" si="1"/>
        <v>672198707.84000003</v>
      </c>
      <c r="S16" s="424"/>
      <c r="T16" s="446"/>
    </row>
    <row r="17" spans="1:20">
      <c r="A17" s="462">
        <v>12</v>
      </c>
      <c r="C17" s="404"/>
      <c r="D17" s="405"/>
      <c r="E17" s="447"/>
      <c r="F17" s="406"/>
      <c r="G17" s="406"/>
      <c r="H17" s="406"/>
      <c r="I17" s="406"/>
      <c r="J17" s="406"/>
      <c r="K17" s="406"/>
      <c r="L17" s="406"/>
      <c r="M17" s="406"/>
      <c r="N17" s="406"/>
      <c r="O17" s="406"/>
      <c r="P17" s="406"/>
      <c r="Q17" s="406"/>
      <c r="R17" s="407"/>
      <c r="S17" s="424"/>
      <c r="T17" s="446"/>
    </row>
    <row r="18" spans="1:20">
      <c r="A18" s="462">
        <v>13</v>
      </c>
      <c r="C18" s="410" t="s">
        <v>89</v>
      </c>
      <c r="D18" s="447"/>
      <c r="E18" s="447"/>
      <c r="F18" s="408"/>
      <c r="G18" s="408"/>
      <c r="H18" s="408"/>
      <c r="I18" s="408"/>
      <c r="J18" s="408"/>
      <c r="K18" s="408"/>
      <c r="L18" s="408"/>
      <c r="M18" s="408"/>
      <c r="N18" s="408"/>
      <c r="O18" s="409"/>
      <c r="P18" s="409"/>
      <c r="Q18" s="409"/>
      <c r="R18" s="409"/>
      <c r="S18" s="424"/>
      <c r="T18" s="446"/>
    </row>
    <row r="19" spans="1:20">
      <c r="A19" s="462">
        <v>14</v>
      </c>
      <c r="B19" s="462">
        <v>9</v>
      </c>
      <c r="C19" s="463" t="s">
        <v>88</v>
      </c>
      <c r="D19" s="450"/>
      <c r="E19" s="450"/>
      <c r="F19" s="423">
        <v>421253</v>
      </c>
      <c r="G19" s="423">
        <v>380486</v>
      </c>
      <c r="H19" s="423">
        <v>420687</v>
      </c>
      <c r="I19" s="423">
        <v>407664</v>
      </c>
      <c r="J19" s="423">
        <v>421253</v>
      </c>
      <c r="K19" s="423">
        <v>407664</v>
      </c>
      <c r="L19" s="423">
        <f>421253-924</f>
        <v>420329</v>
      </c>
      <c r="M19" s="423">
        <v>421253</v>
      </c>
      <c r="N19" s="423">
        <v>407664</v>
      </c>
      <c r="O19" s="423">
        <v>421253</v>
      </c>
      <c r="P19" s="423">
        <v>408230</v>
      </c>
      <c r="Q19" s="423">
        <v>421252.8</v>
      </c>
      <c r="R19" s="426">
        <f>SUM(F19:Q19)</f>
        <v>4958988.8</v>
      </c>
      <c r="S19" s="438" t="s">
        <v>87</v>
      </c>
      <c r="T19" s="446" t="s">
        <v>86</v>
      </c>
    </row>
    <row r="20" spans="1:20">
      <c r="A20" s="462">
        <v>15</v>
      </c>
      <c r="B20" s="462" t="s">
        <v>85</v>
      </c>
      <c r="C20" s="452" t="s">
        <v>84</v>
      </c>
      <c r="D20" s="450"/>
      <c r="E20" s="450"/>
      <c r="F20" s="423">
        <v>0</v>
      </c>
      <c r="G20" s="423">
        <f>704939+704939</f>
        <v>1409878</v>
      </c>
      <c r="H20" s="423">
        <v>704939</v>
      </c>
      <c r="I20" s="423">
        <v>704939</v>
      </c>
      <c r="J20" s="423">
        <v>704939</v>
      </c>
      <c r="K20" s="423">
        <f>616827-440560</f>
        <v>176267</v>
      </c>
      <c r="L20" s="423">
        <v>616827</v>
      </c>
      <c r="M20" s="423">
        <v>616827</v>
      </c>
      <c r="N20" s="423">
        <v>616827</v>
      </c>
      <c r="O20" s="423">
        <v>616827</v>
      </c>
      <c r="P20" s="423">
        <v>616827</v>
      </c>
      <c r="Q20" s="423">
        <v>616827</v>
      </c>
      <c r="R20" s="426">
        <f>SUM(F20:Q20)</f>
        <v>7401924</v>
      </c>
      <c r="S20" s="438"/>
      <c r="T20" s="446"/>
    </row>
    <row r="21" spans="1:20" ht="18" customHeight="1" thickBot="1">
      <c r="A21" s="462">
        <v>16</v>
      </c>
      <c r="C21" s="410" t="s">
        <v>83</v>
      </c>
      <c r="D21" s="411"/>
      <c r="E21" s="450"/>
      <c r="F21" s="433">
        <f t="shared" ref="F21:R21" si="2">F16+F19+F20</f>
        <v>66058217</v>
      </c>
      <c r="G21" s="433">
        <f t="shared" si="2"/>
        <v>60921662</v>
      </c>
      <c r="H21" s="433">
        <f t="shared" si="2"/>
        <v>59711450.840000004</v>
      </c>
      <c r="I21" s="433">
        <f t="shared" si="2"/>
        <v>51309820</v>
      </c>
      <c r="J21" s="433">
        <f t="shared" si="2"/>
        <v>47771688</v>
      </c>
      <c r="K21" s="433">
        <f t="shared" si="2"/>
        <v>45403962</v>
      </c>
      <c r="L21" s="433">
        <f t="shared" si="2"/>
        <v>64507079</v>
      </c>
      <c r="M21" s="433">
        <f t="shared" si="2"/>
        <v>64322863</v>
      </c>
      <c r="N21" s="433">
        <f t="shared" si="2"/>
        <v>46529334</v>
      </c>
      <c r="O21" s="433">
        <f t="shared" si="2"/>
        <v>59238483</v>
      </c>
      <c r="P21" s="433">
        <f t="shared" si="2"/>
        <v>46428948</v>
      </c>
      <c r="Q21" s="412">
        <f t="shared" si="2"/>
        <v>72356113.799999997</v>
      </c>
      <c r="R21" s="433">
        <f t="shared" si="2"/>
        <v>684559620.63999999</v>
      </c>
      <c r="S21" s="438"/>
      <c r="T21" s="443" t="s">
        <v>82</v>
      </c>
    </row>
    <row r="22" spans="1:20" ht="16.5" customHeight="1">
      <c r="A22" s="462">
        <v>17</v>
      </c>
      <c r="C22" s="452"/>
      <c r="P22" s="413"/>
      <c r="Q22" s="442"/>
      <c r="T22" s="446"/>
    </row>
    <row r="23" spans="1:20">
      <c r="A23" s="462">
        <v>18</v>
      </c>
      <c r="C23" s="414"/>
      <c r="D23" s="450"/>
      <c r="E23" s="450"/>
      <c r="F23" s="416"/>
      <c r="G23" s="416"/>
      <c r="H23" s="416"/>
      <c r="I23" s="416"/>
      <c r="J23" s="416"/>
      <c r="K23" s="416"/>
      <c r="L23" s="416"/>
      <c r="M23" s="416"/>
      <c r="N23" s="416"/>
      <c r="O23" s="416"/>
      <c r="P23" s="416"/>
      <c r="Q23" s="415"/>
      <c r="R23" s="416"/>
      <c r="S23" s="438"/>
      <c r="T23" s="446"/>
    </row>
    <row r="24" spans="1:20">
      <c r="A24" s="462">
        <v>19</v>
      </c>
      <c r="B24" s="462">
        <v>13</v>
      </c>
      <c r="C24" s="417" t="s">
        <v>81</v>
      </c>
      <c r="D24" s="450"/>
      <c r="E24" s="450"/>
      <c r="F24" s="418">
        <v>2043401774</v>
      </c>
      <c r="G24" s="422">
        <v>1989158579</v>
      </c>
      <c r="H24" s="422">
        <v>1870558174</v>
      </c>
      <c r="I24" s="422">
        <v>1653902980</v>
      </c>
      <c r="J24" s="422">
        <v>1504372645</v>
      </c>
      <c r="K24" s="422">
        <v>1471897731</v>
      </c>
      <c r="L24" s="422">
        <v>1637601475</v>
      </c>
      <c r="M24" s="422">
        <v>1561173442</v>
      </c>
      <c r="N24" s="422">
        <v>1431797979</v>
      </c>
      <c r="O24" s="422">
        <v>1652765986</v>
      </c>
      <c r="P24" s="422">
        <v>1804882931</v>
      </c>
      <c r="Q24" s="422">
        <v>2082766340</v>
      </c>
      <c r="R24" s="426">
        <f>SUM(F24:Q24)</f>
        <v>20704280036</v>
      </c>
      <c r="S24" s="438" t="s">
        <v>80</v>
      </c>
      <c r="T24" s="446" t="s">
        <v>79</v>
      </c>
    </row>
    <row r="25" spans="1:20" s="442" customFormat="1">
      <c r="A25" s="462">
        <v>20</v>
      </c>
      <c r="B25" s="462"/>
      <c r="C25" s="419"/>
      <c r="D25" s="420"/>
      <c r="E25" s="420"/>
      <c r="F25" s="422"/>
      <c r="G25" s="422"/>
      <c r="H25" s="422"/>
      <c r="I25" s="422"/>
      <c r="J25" s="422"/>
      <c r="K25" s="421"/>
      <c r="L25" s="421"/>
      <c r="M25" s="422"/>
      <c r="N25" s="422"/>
      <c r="O25" s="422"/>
      <c r="P25" s="422"/>
      <c r="Q25" s="422"/>
      <c r="R25" s="423"/>
      <c r="S25" s="424"/>
      <c r="T25" s="435"/>
    </row>
    <row r="26" spans="1:20">
      <c r="A26" s="462">
        <v>21</v>
      </c>
      <c r="C26" s="446" t="s">
        <v>78</v>
      </c>
      <c r="D26" s="430"/>
      <c r="E26" s="450"/>
      <c r="N26" s="451"/>
      <c r="Q26" s="453"/>
      <c r="R26" s="451"/>
      <c r="S26" s="438"/>
      <c r="T26" s="446"/>
    </row>
    <row r="27" spans="1:20" ht="15">
      <c r="A27" s="462">
        <v>22</v>
      </c>
      <c r="B27" s="462">
        <v>14</v>
      </c>
      <c r="C27" s="425" t="s">
        <v>77</v>
      </c>
      <c r="D27" s="430">
        <v>3.2895000000000001E-2</v>
      </c>
      <c r="E27" s="447"/>
      <c r="F27" s="451">
        <f t="shared" ref="F27:Q27" si="3">F24*$D$27</f>
        <v>67217701.355729997</v>
      </c>
      <c r="G27" s="451">
        <f t="shared" si="3"/>
        <v>65433371.456205003</v>
      </c>
      <c r="H27" s="451">
        <f t="shared" si="3"/>
        <v>61532011.133730002</v>
      </c>
      <c r="I27" s="451">
        <f t="shared" si="3"/>
        <v>54405138.527100004</v>
      </c>
      <c r="J27" s="451">
        <f t="shared" si="3"/>
        <v>49486338.157274999</v>
      </c>
      <c r="K27" s="451">
        <f t="shared" si="3"/>
        <v>48418075.861244999</v>
      </c>
      <c r="L27" s="451">
        <f t="shared" si="3"/>
        <v>53868900.520125002</v>
      </c>
      <c r="M27" s="451">
        <f t="shared" si="3"/>
        <v>51354800.374590002</v>
      </c>
      <c r="N27" s="451">
        <f t="shared" si="3"/>
        <v>47098994.519205004</v>
      </c>
      <c r="O27" s="451">
        <f t="shared" si="3"/>
        <v>54367737.109470002</v>
      </c>
      <c r="P27" s="451">
        <f t="shared" si="3"/>
        <v>59371624.015244998</v>
      </c>
      <c r="Q27" s="451">
        <f t="shared" si="3"/>
        <v>68512598.754299998</v>
      </c>
      <c r="R27" s="426">
        <f>SUM(F27:Q27)</f>
        <v>681067291.78421998</v>
      </c>
      <c r="S27" s="438" t="s">
        <v>76</v>
      </c>
      <c r="T27" s="443" t="s">
        <v>75</v>
      </c>
    </row>
    <row r="28" spans="1:20" ht="15">
      <c r="B28" s="462">
        <v>14</v>
      </c>
      <c r="C28" s="425"/>
      <c r="D28" s="430"/>
      <c r="E28" s="447"/>
      <c r="H28" s="451"/>
      <c r="I28" s="451"/>
      <c r="J28" s="451"/>
      <c r="K28" s="451"/>
      <c r="L28" s="451"/>
      <c r="M28" s="451"/>
      <c r="N28" s="451"/>
      <c r="O28" s="451"/>
      <c r="P28" s="451"/>
      <c r="Q28" s="451"/>
      <c r="R28" s="426">
        <f>SUM(F28:Q28)</f>
        <v>0</v>
      </c>
      <c r="S28" s="438"/>
      <c r="T28" s="443"/>
    </row>
    <row r="29" spans="1:20" ht="15">
      <c r="A29" s="462">
        <v>23</v>
      </c>
      <c r="B29" s="462">
        <v>15</v>
      </c>
      <c r="C29" s="427" t="s">
        <v>74</v>
      </c>
      <c r="D29" s="430"/>
      <c r="E29" s="447"/>
      <c r="F29" s="428">
        <f t="shared" ref="F29:R29" si="4">SUM(F27:F28)</f>
        <v>67217701.355729997</v>
      </c>
      <c r="G29" s="428">
        <f t="shared" si="4"/>
        <v>65433371.456205003</v>
      </c>
      <c r="H29" s="428">
        <f t="shared" si="4"/>
        <v>61532011.133730002</v>
      </c>
      <c r="I29" s="428">
        <f t="shared" si="4"/>
        <v>54405138.527100004</v>
      </c>
      <c r="J29" s="428">
        <f t="shared" si="4"/>
        <v>49486338.157274999</v>
      </c>
      <c r="K29" s="428">
        <f t="shared" si="4"/>
        <v>48418075.861244999</v>
      </c>
      <c r="L29" s="428">
        <f t="shared" si="4"/>
        <v>53868900.520125002</v>
      </c>
      <c r="M29" s="428">
        <f t="shared" si="4"/>
        <v>51354800.374590002</v>
      </c>
      <c r="N29" s="428">
        <f t="shared" si="4"/>
        <v>47098994.519205004</v>
      </c>
      <c r="O29" s="428">
        <f t="shared" si="4"/>
        <v>54367737.109470002</v>
      </c>
      <c r="P29" s="428">
        <f t="shared" si="4"/>
        <v>59371624.015244998</v>
      </c>
      <c r="Q29" s="428">
        <f t="shared" si="4"/>
        <v>68512598.754299998</v>
      </c>
      <c r="R29" s="428">
        <f t="shared" si="4"/>
        <v>681067291.78421998</v>
      </c>
      <c r="S29" s="438"/>
      <c r="T29" s="443"/>
    </row>
    <row r="30" spans="1:20" ht="20.25" customHeight="1">
      <c r="A30" s="462">
        <v>24</v>
      </c>
      <c r="C30" s="429"/>
      <c r="D30" s="430"/>
      <c r="E30" s="447"/>
      <c r="F30" s="451"/>
      <c r="G30" s="451"/>
      <c r="H30" s="451"/>
      <c r="I30" s="451"/>
      <c r="J30" s="451"/>
      <c r="K30" s="451"/>
      <c r="L30" s="451"/>
      <c r="M30" s="451"/>
      <c r="N30" s="451"/>
      <c r="O30" s="451"/>
      <c r="P30" s="451"/>
      <c r="Q30" s="451"/>
      <c r="R30" s="431"/>
      <c r="S30" s="438"/>
      <c r="T30" s="446"/>
    </row>
    <row r="31" spans="1:20" ht="17.25" customHeight="1" thickBot="1">
      <c r="A31" s="462">
        <v>25</v>
      </c>
      <c r="B31" s="462">
        <v>17</v>
      </c>
      <c r="C31" s="432" t="s">
        <v>73</v>
      </c>
      <c r="E31" s="447"/>
      <c r="F31" s="433">
        <f t="shared" ref="F31:R31" si="5">F21-F27</f>
        <v>-1159484.3557299972</v>
      </c>
      <c r="G31" s="433">
        <f t="shared" si="5"/>
        <v>-4511709.456205003</v>
      </c>
      <c r="H31" s="433">
        <f t="shared" si="5"/>
        <v>-1820560.2937299982</v>
      </c>
      <c r="I31" s="433">
        <f t="shared" si="5"/>
        <v>-3095318.5271000043</v>
      </c>
      <c r="J31" s="433">
        <f t="shared" si="5"/>
        <v>-1714650.1572749987</v>
      </c>
      <c r="K31" s="433">
        <f t="shared" si="5"/>
        <v>-3014113.8612449989</v>
      </c>
      <c r="L31" s="433">
        <f t="shared" si="5"/>
        <v>10638178.479874998</v>
      </c>
      <c r="M31" s="433">
        <f t="shared" si="5"/>
        <v>12968062.625409998</v>
      </c>
      <c r="N31" s="433">
        <f t="shared" si="5"/>
        <v>-569660.51920500398</v>
      </c>
      <c r="O31" s="433">
        <f t="shared" si="5"/>
        <v>4870745.8905299976</v>
      </c>
      <c r="P31" s="433">
        <f t="shared" si="5"/>
        <v>-12942676.015244998</v>
      </c>
      <c r="Q31" s="433">
        <f t="shared" si="5"/>
        <v>3843515.0456999987</v>
      </c>
      <c r="R31" s="433">
        <f t="shared" si="5"/>
        <v>3492328.8557800055</v>
      </c>
      <c r="S31" s="438"/>
      <c r="T31" s="446"/>
    </row>
    <row r="32" spans="1:20" ht="15.75" customHeight="1">
      <c r="A32" s="462">
        <v>26</v>
      </c>
      <c r="C32" s="434" t="s">
        <v>72</v>
      </c>
      <c r="F32" s="459">
        <f t="shared" ref="F32:R32" si="6">+F31</f>
        <v>-1159484.3557299972</v>
      </c>
      <c r="G32" s="459">
        <f t="shared" si="6"/>
        <v>-4511709.456205003</v>
      </c>
      <c r="H32" s="459">
        <f t="shared" si="6"/>
        <v>-1820560.2937299982</v>
      </c>
      <c r="I32" s="459">
        <f t="shared" si="6"/>
        <v>-3095318.5271000043</v>
      </c>
      <c r="J32" s="459">
        <f t="shared" si="6"/>
        <v>-1714650.1572749987</v>
      </c>
      <c r="K32" s="459">
        <f t="shared" si="6"/>
        <v>-3014113.8612449989</v>
      </c>
      <c r="L32" s="459">
        <f t="shared" si="6"/>
        <v>10638178.479874998</v>
      </c>
      <c r="M32" s="459">
        <f t="shared" si="6"/>
        <v>12968062.625409998</v>
      </c>
      <c r="N32" s="459">
        <f t="shared" si="6"/>
        <v>-569660.51920500398</v>
      </c>
      <c r="O32" s="459">
        <f t="shared" si="6"/>
        <v>4870745.8905299976</v>
      </c>
      <c r="P32" s="459">
        <f t="shared" si="6"/>
        <v>-12942676.015244998</v>
      </c>
      <c r="Q32" s="459">
        <f t="shared" si="6"/>
        <v>3843515.0456999987</v>
      </c>
      <c r="R32" s="459">
        <f t="shared" si="6"/>
        <v>3492328.8557800055</v>
      </c>
      <c r="S32" s="438"/>
      <c r="T32" s="443" t="s">
        <v>71</v>
      </c>
    </row>
    <row r="33" spans="1:20">
      <c r="A33" s="462">
        <v>27</v>
      </c>
      <c r="J33" s="459"/>
      <c r="N33" s="447"/>
      <c r="O33" s="447"/>
      <c r="P33" s="447"/>
      <c r="T33" s="446"/>
    </row>
    <row r="34" spans="1:20" ht="15">
      <c r="A34" s="462">
        <v>28</v>
      </c>
      <c r="C34" s="435" t="s">
        <v>70</v>
      </c>
      <c r="D34" s="436"/>
      <c r="F34" s="444"/>
      <c r="G34" s="451"/>
      <c r="H34" s="444"/>
      <c r="I34" s="451"/>
      <c r="J34" s="451"/>
      <c r="K34" s="451"/>
      <c r="L34" s="451"/>
      <c r="M34" s="451"/>
      <c r="N34" s="451"/>
      <c r="O34" s="451"/>
      <c r="P34" s="451"/>
      <c r="Q34" s="451"/>
      <c r="R34" s="437"/>
      <c r="S34" s="438"/>
      <c r="T34" s="443"/>
    </row>
    <row r="35" spans="1:20" s="442" customFormat="1" ht="15">
      <c r="A35" s="462">
        <v>29</v>
      </c>
      <c r="B35" s="462"/>
      <c r="C35" s="439" t="s">
        <v>69</v>
      </c>
      <c r="D35" s="440">
        <v>3.344E-4</v>
      </c>
      <c r="E35" s="440"/>
      <c r="F35" s="444">
        <f t="shared" ref="F35:Q35" si="7">F32*(1-$D$35)</f>
        <v>-1159096.6241614411</v>
      </c>
      <c r="G35" s="444">
        <f t="shared" si="7"/>
        <v>-4510200.7405628478</v>
      </c>
      <c r="H35" s="444">
        <f t="shared" si="7"/>
        <v>-1819951.498367775</v>
      </c>
      <c r="I35" s="444">
        <f t="shared" si="7"/>
        <v>-3094283.4525845423</v>
      </c>
      <c r="J35" s="444">
        <f t="shared" si="7"/>
        <v>-1714076.7782624061</v>
      </c>
      <c r="K35" s="444">
        <f t="shared" si="7"/>
        <v>-3013105.9415697986</v>
      </c>
      <c r="L35" s="444">
        <f t="shared" si="7"/>
        <v>10634621.072991328</v>
      </c>
      <c r="M35" s="444">
        <f t="shared" si="7"/>
        <v>12963726.105268061</v>
      </c>
      <c r="N35" s="444">
        <f t="shared" si="7"/>
        <v>-569470.02472738188</v>
      </c>
      <c r="O35" s="444">
        <f t="shared" si="7"/>
        <v>4869117.1131042046</v>
      </c>
      <c r="P35" s="444">
        <f t="shared" si="7"/>
        <v>-12938347.984385502</v>
      </c>
      <c r="Q35" s="444">
        <f t="shared" si="7"/>
        <v>3842229.774268717</v>
      </c>
      <c r="R35" s="444">
        <f>SUM(F35:Q35)</f>
        <v>3491161.0210106154</v>
      </c>
      <c r="S35" s="441"/>
      <c r="T35" s="443" t="s">
        <v>68</v>
      </c>
    </row>
    <row r="36" spans="1:20" s="442" customFormat="1" ht="15">
      <c r="A36" s="462">
        <v>30</v>
      </c>
      <c r="B36" s="462"/>
      <c r="C36" s="453"/>
      <c r="D36" s="440"/>
      <c r="E36" s="440"/>
      <c r="F36" s="444"/>
      <c r="G36" s="444"/>
      <c r="H36" s="444"/>
      <c r="I36" s="444"/>
      <c r="J36" s="444"/>
      <c r="K36" s="444"/>
      <c r="L36" s="444"/>
      <c r="M36" s="444"/>
      <c r="N36" s="444"/>
      <c r="O36" s="444"/>
      <c r="P36" s="444"/>
      <c r="Q36" s="444"/>
      <c r="R36" s="444"/>
      <c r="S36" s="441"/>
      <c r="T36" s="443"/>
    </row>
    <row r="37" spans="1:20">
      <c r="A37" s="462">
        <v>31</v>
      </c>
      <c r="C37" s="446" t="s">
        <v>67</v>
      </c>
      <c r="D37" s="442"/>
      <c r="E37" s="447"/>
      <c r="F37" s="444">
        <f t="shared" ref="F37:R37" si="8">+F35</f>
        <v>-1159096.6241614411</v>
      </c>
      <c r="G37" s="444">
        <f t="shared" si="8"/>
        <v>-4510200.7405628478</v>
      </c>
      <c r="H37" s="444">
        <f t="shared" si="8"/>
        <v>-1819951.498367775</v>
      </c>
      <c r="I37" s="451">
        <f t="shared" si="8"/>
        <v>-3094283.4525845423</v>
      </c>
      <c r="J37" s="451">
        <f t="shared" si="8"/>
        <v>-1714076.7782624061</v>
      </c>
      <c r="K37" s="451">
        <f t="shared" si="8"/>
        <v>-3013105.9415697986</v>
      </c>
      <c r="L37" s="451">
        <f t="shared" si="8"/>
        <v>10634621.072991328</v>
      </c>
      <c r="M37" s="451">
        <f t="shared" si="8"/>
        <v>12963726.105268061</v>
      </c>
      <c r="N37" s="451">
        <f t="shared" si="8"/>
        <v>-569470.02472738188</v>
      </c>
      <c r="O37" s="451">
        <f t="shared" si="8"/>
        <v>4869117.1131042046</v>
      </c>
      <c r="P37" s="451">
        <f t="shared" si="8"/>
        <v>-12938347.984385502</v>
      </c>
      <c r="Q37" s="451">
        <f t="shared" si="8"/>
        <v>3842229.774268717</v>
      </c>
      <c r="R37" s="451">
        <f t="shared" si="8"/>
        <v>3491161.0210106154</v>
      </c>
      <c r="S37" s="445"/>
      <c r="T37" s="446"/>
    </row>
    <row r="38" spans="1:20">
      <c r="A38" s="462">
        <v>32</v>
      </c>
      <c r="C38" s="446" t="s">
        <v>66</v>
      </c>
      <c r="E38" s="447"/>
      <c r="F38" s="444">
        <f t="shared" ref="F38:R38" si="9">-F37</f>
        <v>1159096.6241614411</v>
      </c>
      <c r="G38" s="444">
        <f t="shared" si="9"/>
        <v>4510200.7405628478</v>
      </c>
      <c r="H38" s="444">
        <f t="shared" si="9"/>
        <v>1819951.498367775</v>
      </c>
      <c r="I38" s="451">
        <f t="shared" si="9"/>
        <v>3094283.4525845423</v>
      </c>
      <c r="J38" s="451">
        <f t="shared" si="9"/>
        <v>1714076.7782624061</v>
      </c>
      <c r="K38" s="451">
        <f t="shared" si="9"/>
        <v>3013105.9415697986</v>
      </c>
      <c r="L38" s="451">
        <f t="shared" si="9"/>
        <v>-10634621.072991328</v>
      </c>
      <c r="M38" s="451">
        <f t="shared" si="9"/>
        <v>-12963726.105268061</v>
      </c>
      <c r="N38" s="451">
        <f t="shared" si="9"/>
        <v>569470.02472738188</v>
      </c>
      <c r="O38" s="451">
        <f t="shared" si="9"/>
        <v>-4869117.1131042046</v>
      </c>
      <c r="P38" s="444">
        <f t="shared" si="9"/>
        <v>12938347.984385502</v>
      </c>
      <c r="Q38" s="451">
        <f t="shared" si="9"/>
        <v>-3842229.774268717</v>
      </c>
      <c r="R38" s="451">
        <f t="shared" si="9"/>
        <v>-3491161.0210106154</v>
      </c>
      <c r="S38" s="445"/>
      <c r="T38" s="446"/>
    </row>
    <row r="39" spans="1:20">
      <c r="A39" s="462">
        <v>33</v>
      </c>
      <c r="C39" s="446"/>
      <c r="E39" s="447"/>
      <c r="F39" s="444"/>
      <c r="G39" s="444"/>
      <c r="H39" s="444"/>
      <c r="I39" s="451"/>
      <c r="J39" s="451"/>
      <c r="K39" s="451"/>
      <c r="L39" s="451"/>
      <c r="M39" s="451"/>
      <c r="N39" s="451"/>
      <c r="O39" s="451"/>
      <c r="P39" s="451"/>
      <c r="Q39" s="451"/>
      <c r="R39" s="451"/>
      <c r="S39" s="445"/>
      <c r="T39" s="446"/>
    </row>
    <row r="40" spans="1:20" ht="15">
      <c r="A40" s="462">
        <v>34</v>
      </c>
      <c r="C40" s="446" t="s">
        <v>65</v>
      </c>
      <c r="E40" s="447"/>
      <c r="F40" s="444">
        <f>+F37</f>
        <v>-1159096.6241614411</v>
      </c>
      <c r="G40" s="444">
        <f t="shared" ref="G40:Q40" si="10">+F40+G37</f>
        <v>-5669297.3647242887</v>
      </c>
      <c r="H40" s="444">
        <f t="shared" si="10"/>
        <v>-7489248.8630920639</v>
      </c>
      <c r="I40" s="451">
        <f t="shared" si="10"/>
        <v>-10583532.315676607</v>
      </c>
      <c r="J40" s="451">
        <f t="shared" si="10"/>
        <v>-12297609.093939014</v>
      </c>
      <c r="K40" s="451">
        <f t="shared" si="10"/>
        <v>-15310715.035508811</v>
      </c>
      <c r="L40" s="451">
        <f t="shared" si="10"/>
        <v>-4676093.9625174832</v>
      </c>
      <c r="M40" s="451">
        <f t="shared" si="10"/>
        <v>8287632.142750578</v>
      </c>
      <c r="N40" s="451">
        <f t="shared" si="10"/>
        <v>7718162.1180231962</v>
      </c>
      <c r="O40" s="451">
        <f t="shared" si="10"/>
        <v>12587279.2311274</v>
      </c>
      <c r="P40" s="451">
        <f t="shared" si="10"/>
        <v>-351068.75325810164</v>
      </c>
      <c r="Q40" s="451">
        <f t="shared" si="10"/>
        <v>3491161.0210106154</v>
      </c>
      <c r="R40" s="451">
        <f>+R37</f>
        <v>3491161.0210106154</v>
      </c>
      <c r="S40" s="445"/>
      <c r="T40" s="443" t="s">
        <v>64</v>
      </c>
    </row>
    <row r="41" spans="1:20">
      <c r="A41" s="462">
        <v>35</v>
      </c>
      <c r="C41" s="446" t="s">
        <v>63</v>
      </c>
      <c r="E41" s="447"/>
      <c r="F41" s="444">
        <f>+F38</f>
        <v>1159096.6241614411</v>
      </c>
      <c r="G41" s="444">
        <f t="shared" ref="G41:Q41" si="11">+F41+G38</f>
        <v>5669297.3647242887</v>
      </c>
      <c r="H41" s="451">
        <f t="shared" si="11"/>
        <v>7489248.8630920639</v>
      </c>
      <c r="I41" s="451">
        <f t="shared" si="11"/>
        <v>10583532.315676607</v>
      </c>
      <c r="J41" s="451">
        <f t="shared" si="11"/>
        <v>12297609.093939014</v>
      </c>
      <c r="K41" s="451">
        <f t="shared" si="11"/>
        <v>15310715.035508811</v>
      </c>
      <c r="L41" s="451">
        <f t="shared" si="11"/>
        <v>4676093.9625174832</v>
      </c>
      <c r="M41" s="451">
        <f t="shared" si="11"/>
        <v>-8287632.142750578</v>
      </c>
      <c r="N41" s="451">
        <f t="shared" si="11"/>
        <v>-7718162.1180231962</v>
      </c>
      <c r="O41" s="451">
        <f t="shared" si="11"/>
        <v>-12587279.2311274</v>
      </c>
      <c r="P41" s="451">
        <f t="shared" si="11"/>
        <v>351068.75325810164</v>
      </c>
      <c r="Q41" s="451">
        <f t="shared" si="11"/>
        <v>-3491161.0210106154</v>
      </c>
      <c r="R41" s="451">
        <f>+R38</f>
        <v>-3491161.0210106154</v>
      </c>
      <c r="S41" s="445"/>
    </row>
    <row r="42" spans="1:20">
      <c r="A42" s="462">
        <v>36</v>
      </c>
      <c r="C42" s="446"/>
      <c r="E42" s="447"/>
      <c r="F42" s="451"/>
      <c r="G42" s="451"/>
      <c r="H42" s="451"/>
      <c r="I42" s="451"/>
      <c r="J42" s="451"/>
      <c r="K42" s="451"/>
      <c r="L42" s="451"/>
      <c r="M42" s="451"/>
      <c r="N42" s="451"/>
      <c r="O42" s="451"/>
      <c r="P42" s="451"/>
      <c r="Q42" s="451"/>
      <c r="R42" s="451"/>
      <c r="S42" s="449"/>
    </row>
    <row r="43" spans="1:20" ht="12" customHeight="1">
      <c r="A43" s="462">
        <v>37</v>
      </c>
      <c r="C43" s="448"/>
      <c r="D43" s="448"/>
      <c r="E43" s="448"/>
      <c r="F43" s="448"/>
      <c r="G43" s="448"/>
      <c r="H43" s="448"/>
      <c r="I43" s="448"/>
      <c r="J43" s="451"/>
      <c r="K43" s="451"/>
      <c r="L43" s="451"/>
      <c r="M43" s="451"/>
      <c r="N43" s="451"/>
      <c r="O43" s="451"/>
      <c r="P43" s="451"/>
      <c r="Q43" s="451"/>
      <c r="R43" s="451"/>
      <c r="S43" s="449"/>
    </row>
    <row r="44" spans="1:20" s="452" customFormat="1" ht="45" customHeight="1">
      <c r="A44" s="462">
        <v>38</v>
      </c>
      <c r="B44" s="462"/>
      <c r="C44" s="854" t="s">
        <v>62</v>
      </c>
      <c r="D44" s="854"/>
      <c r="E44" s="854"/>
      <c r="F44" s="854"/>
      <c r="G44" s="854"/>
      <c r="H44" s="854"/>
      <c r="I44" s="854"/>
      <c r="J44" s="451"/>
      <c r="K44" s="451"/>
      <c r="L44" s="451"/>
      <c r="M44" s="451"/>
      <c r="N44" s="451"/>
      <c r="O44" s="451"/>
      <c r="P44" s="451"/>
      <c r="Q44" s="451"/>
      <c r="R44" s="451"/>
    </row>
    <row r="45" spans="1:20" s="452" customFormat="1">
      <c r="A45" s="462"/>
      <c r="B45" s="462"/>
      <c r="E45" s="450"/>
      <c r="F45" s="451"/>
      <c r="G45" s="451"/>
      <c r="H45" s="451"/>
      <c r="I45" s="451"/>
      <c r="J45" s="451"/>
      <c r="K45" s="451"/>
      <c r="L45" s="451"/>
      <c r="M45" s="451"/>
      <c r="N45" s="451"/>
      <c r="O45" s="451"/>
      <c r="P45" s="451"/>
      <c r="Q45" s="451"/>
      <c r="R45" s="451"/>
    </row>
    <row r="46" spans="1:20" ht="29.25" hidden="1" customHeight="1">
      <c r="C46" s="853" t="s">
        <v>61</v>
      </c>
      <c r="D46" s="853"/>
      <c r="E46" s="853"/>
      <c r="F46" s="853"/>
      <c r="G46" s="853"/>
      <c r="H46" s="853"/>
      <c r="I46" s="853"/>
      <c r="J46" s="453"/>
      <c r="K46" s="453"/>
      <c r="L46" s="453"/>
      <c r="M46" s="453"/>
      <c r="N46" s="453"/>
      <c r="Q46" s="454"/>
    </row>
    <row r="47" spans="1:20" ht="18">
      <c r="F47" s="455"/>
      <c r="Q47" s="459"/>
    </row>
    <row r="48" spans="1:20" ht="25.5">
      <c r="A48" s="463"/>
      <c r="B48" s="463"/>
      <c r="N48" s="456"/>
      <c r="O48" s="456"/>
      <c r="P48" s="456"/>
      <c r="Q48" s="457"/>
    </row>
    <row r="49" spans="1:17">
      <c r="A49" s="463"/>
      <c r="B49" s="463"/>
      <c r="I49" s="459"/>
      <c r="Q49" s="459"/>
    </row>
    <row r="50" spans="1:17">
      <c r="A50" s="463"/>
      <c r="B50" s="463"/>
      <c r="G50" s="458"/>
      <c r="Q50" s="458"/>
    </row>
    <row r="51" spans="1:17">
      <c r="A51" s="463"/>
      <c r="B51" s="463"/>
      <c r="G51" s="458"/>
      <c r="H51" s="459"/>
    </row>
    <row r="52" spans="1:17">
      <c r="A52" s="463"/>
      <c r="B52" s="463"/>
      <c r="F52" s="459"/>
    </row>
    <row r="53" spans="1:17">
      <c r="A53" s="463"/>
      <c r="B53" s="463"/>
      <c r="K53" s="481"/>
    </row>
    <row r="54" spans="1:17">
      <c r="A54" s="463"/>
      <c r="B54" s="463"/>
      <c r="K54" s="481"/>
    </row>
    <row r="55" spans="1:17">
      <c r="A55" s="463"/>
      <c r="B55" s="463"/>
      <c r="K55" s="481"/>
    </row>
    <row r="56" spans="1:17">
      <c r="A56" s="463"/>
      <c r="B56" s="463"/>
      <c r="K56" s="481"/>
    </row>
    <row r="57" spans="1:17">
      <c r="A57" s="463"/>
      <c r="B57" s="463"/>
    </row>
    <row r="58" spans="1:17">
      <c r="A58" s="463"/>
      <c r="B58" s="463"/>
      <c r="K58" s="460"/>
    </row>
    <row r="59" spans="1:17">
      <c r="A59" s="463"/>
      <c r="B59" s="463"/>
    </row>
    <row r="60" spans="1:17">
      <c r="A60" s="463"/>
      <c r="B60" s="463"/>
    </row>
    <row r="61" spans="1:17">
      <c r="A61" s="463"/>
      <c r="B61" s="463"/>
    </row>
    <row r="62" spans="1:17">
      <c r="A62" s="463"/>
      <c r="B62" s="463"/>
    </row>
    <row r="63" spans="1:17">
      <c r="A63" s="463"/>
      <c r="B63" s="463"/>
    </row>
    <row r="64" spans="1:17">
      <c r="A64" s="463"/>
      <c r="B64" s="463"/>
    </row>
    <row r="65" spans="1:2">
      <c r="A65" s="463"/>
      <c r="B65" s="463"/>
    </row>
    <row r="66" spans="1:2">
      <c r="A66" s="463"/>
      <c r="B66" s="463"/>
    </row>
    <row r="67" spans="1:2">
      <c r="A67" s="463"/>
      <c r="B67" s="463"/>
    </row>
    <row r="68" spans="1:2">
      <c r="A68" s="463"/>
      <c r="B68" s="463"/>
    </row>
    <row r="69" spans="1:2">
      <c r="A69" s="461"/>
      <c r="B69" s="461"/>
    </row>
    <row r="70" spans="1:2">
      <c r="A70" s="461"/>
      <c r="B70" s="461"/>
    </row>
    <row r="71" spans="1:2">
      <c r="A71" s="461"/>
      <c r="B71" s="461"/>
    </row>
    <row r="72" spans="1:2">
      <c r="A72" s="461"/>
      <c r="B72" s="461"/>
    </row>
    <row r="73" spans="1:2">
      <c r="A73" s="461"/>
      <c r="B73" s="461"/>
    </row>
    <row r="74" spans="1:2">
      <c r="A74" s="461"/>
      <c r="B74" s="461"/>
    </row>
    <row r="75" spans="1:2">
      <c r="A75" s="461"/>
      <c r="B75" s="461"/>
    </row>
    <row r="76" spans="1:2">
      <c r="A76" s="461"/>
      <c r="B76" s="461"/>
    </row>
    <row r="77" spans="1:2">
      <c r="A77" s="461"/>
      <c r="B77" s="461"/>
    </row>
    <row r="78" spans="1:2">
      <c r="A78" s="461"/>
      <c r="B78" s="461"/>
    </row>
    <row r="79" spans="1:2">
      <c r="A79" s="461"/>
      <c r="B79" s="461"/>
    </row>
    <row r="80" spans="1:2">
      <c r="A80" s="461"/>
      <c r="B80" s="461"/>
    </row>
    <row r="81" spans="1:2">
      <c r="A81" s="461"/>
      <c r="B81" s="461"/>
    </row>
    <row r="82" spans="1:2">
      <c r="A82" s="461"/>
      <c r="B82" s="461"/>
    </row>
    <row r="83" spans="1:2">
      <c r="A83" s="461"/>
      <c r="B83" s="461"/>
    </row>
    <row r="84" spans="1:2">
      <c r="A84" s="461"/>
      <c r="B84" s="461"/>
    </row>
    <row r="85" spans="1:2">
      <c r="A85" s="461"/>
      <c r="B85" s="461"/>
    </row>
    <row r="86" spans="1:2">
      <c r="A86" s="461"/>
      <c r="B86" s="461"/>
    </row>
    <row r="87" spans="1:2">
      <c r="A87" s="461"/>
      <c r="B87" s="461"/>
    </row>
    <row r="88" spans="1:2">
      <c r="A88" s="461"/>
      <c r="B88" s="461"/>
    </row>
    <row r="89" spans="1:2">
      <c r="A89" s="461"/>
      <c r="B89" s="461"/>
    </row>
    <row r="90" spans="1:2">
      <c r="A90" s="461"/>
      <c r="B90" s="461"/>
    </row>
    <row r="91" spans="1:2">
      <c r="A91" s="461"/>
      <c r="B91" s="461"/>
    </row>
    <row r="92" spans="1:2">
      <c r="A92" s="461"/>
      <c r="B92" s="461"/>
    </row>
    <row r="93" spans="1:2">
      <c r="A93" s="461"/>
      <c r="B93" s="461"/>
    </row>
    <row r="94" spans="1:2">
      <c r="A94" s="461"/>
      <c r="B94" s="461"/>
    </row>
    <row r="95" spans="1:2">
      <c r="A95" s="461"/>
      <c r="B95" s="461"/>
    </row>
    <row r="96" spans="1:2">
      <c r="A96" s="461"/>
      <c r="B96" s="461"/>
    </row>
    <row r="97" spans="1:2">
      <c r="A97" s="461"/>
      <c r="B97" s="461"/>
    </row>
    <row r="98" spans="1:2">
      <c r="A98" s="461"/>
      <c r="B98" s="461"/>
    </row>
    <row r="99" spans="1:2">
      <c r="A99" s="461"/>
      <c r="B99" s="461"/>
    </row>
    <row r="100" spans="1:2">
      <c r="A100" s="461"/>
      <c r="B100" s="461"/>
    </row>
    <row r="101" spans="1:2">
      <c r="A101" s="461"/>
      <c r="B101" s="461"/>
    </row>
    <row r="102" spans="1:2">
      <c r="A102" s="461"/>
      <c r="B102" s="461"/>
    </row>
    <row r="103" spans="1:2">
      <c r="A103" s="461"/>
      <c r="B103" s="461"/>
    </row>
    <row r="104" spans="1:2">
      <c r="A104" s="461"/>
      <c r="B104" s="461"/>
    </row>
    <row r="105" spans="1:2">
      <c r="A105" s="461"/>
      <c r="B105" s="461"/>
    </row>
    <row r="106" spans="1:2">
      <c r="A106" s="461"/>
      <c r="B106" s="461"/>
    </row>
    <row r="107" spans="1:2">
      <c r="A107" s="461"/>
      <c r="B107" s="461"/>
    </row>
    <row r="108" spans="1:2">
      <c r="A108" s="461"/>
      <c r="B108" s="461"/>
    </row>
    <row r="109" spans="1:2">
      <c r="A109" s="461"/>
      <c r="B109" s="461"/>
    </row>
    <row r="110" spans="1:2">
      <c r="A110" s="461"/>
      <c r="B110" s="461"/>
    </row>
    <row r="111" spans="1:2">
      <c r="A111" s="461"/>
      <c r="B111" s="461"/>
    </row>
    <row r="112" spans="1:2">
      <c r="A112" s="461"/>
      <c r="B112" s="461"/>
    </row>
    <row r="113" spans="1:2">
      <c r="A113" s="461"/>
      <c r="B113" s="461"/>
    </row>
    <row r="114" spans="1:2">
      <c r="A114" s="461"/>
      <c r="B114" s="461"/>
    </row>
    <row r="115" spans="1:2">
      <c r="A115" s="461"/>
      <c r="B115" s="461"/>
    </row>
    <row r="116" spans="1:2">
      <c r="A116" s="461"/>
      <c r="B116" s="461"/>
    </row>
    <row r="117" spans="1:2">
      <c r="A117" s="461"/>
      <c r="B117" s="461"/>
    </row>
    <row r="118" spans="1:2">
      <c r="A118" s="461"/>
      <c r="B118" s="461"/>
    </row>
    <row r="119" spans="1:2">
      <c r="A119" s="461"/>
      <c r="B119" s="461"/>
    </row>
    <row r="120" spans="1:2">
      <c r="A120" s="461"/>
      <c r="B120" s="461"/>
    </row>
    <row r="121" spans="1:2">
      <c r="A121" s="461"/>
      <c r="B121" s="461"/>
    </row>
    <row r="122" spans="1:2">
      <c r="A122" s="461"/>
      <c r="B122" s="461"/>
    </row>
    <row r="123" spans="1:2">
      <c r="A123" s="461"/>
      <c r="B123" s="461"/>
    </row>
    <row r="124" spans="1:2">
      <c r="A124" s="461"/>
      <c r="B124" s="461"/>
    </row>
    <row r="125" spans="1:2">
      <c r="A125" s="461"/>
      <c r="B125" s="461"/>
    </row>
    <row r="126" spans="1:2">
      <c r="A126" s="461"/>
      <c r="B126" s="461"/>
    </row>
    <row r="127" spans="1:2">
      <c r="A127" s="461"/>
      <c r="B127" s="461"/>
    </row>
    <row r="128" spans="1:2">
      <c r="A128" s="461"/>
      <c r="B128" s="461"/>
    </row>
    <row r="129" spans="1:2">
      <c r="A129" s="461"/>
      <c r="B129" s="461"/>
    </row>
    <row r="130" spans="1:2">
      <c r="A130" s="461"/>
      <c r="B130" s="461"/>
    </row>
    <row r="131" spans="1:2">
      <c r="A131" s="461"/>
      <c r="B131" s="461"/>
    </row>
    <row r="132" spans="1:2">
      <c r="A132" s="461"/>
      <c r="B132" s="461"/>
    </row>
    <row r="133" spans="1:2">
      <c r="A133" s="461"/>
      <c r="B133" s="461"/>
    </row>
    <row r="134" spans="1:2">
      <c r="A134" s="461"/>
      <c r="B134" s="461"/>
    </row>
    <row r="135" spans="1:2">
      <c r="A135" s="461"/>
      <c r="B135" s="461"/>
    </row>
    <row r="136" spans="1:2">
      <c r="A136" s="461"/>
      <c r="B136" s="461"/>
    </row>
    <row r="137" spans="1:2">
      <c r="A137" s="461"/>
      <c r="B137" s="461"/>
    </row>
    <row r="138" spans="1:2">
      <c r="A138" s="461"/>
      <c r="B138" s="461"/>
    </row>
    <row r="139" spans="1:2">
      <c r="A139" s="461"/>
      <c r="B139" s="461"/>
    </row>
    <row r="140" spans="1:2">
      <c r="A140" s="461"/>
      <c r="B140" s="461"/>
    </row>
    <row r="141" spans="1:2">
      <c r="A141" s="461"/>
      <c r="B141" s="461"/>
    </row>
    <row r="142" spans="1:2">
      <c r="A142" s="461"/>
      <c r="B142" s="461"/>
    </row>
    <row r="143" spans="1:2">
      <c r="A143" s="461"/>
      <c r="B143" s="461"/>
    </row>
    <row r="144" spans="1:2">
      <c r="A144" s="461"/>
      <c r="B144" s="461"/>
    </row>
    <row r="145" spans="1:2">
      <c r="A145" s="461"/>
      <c r="B145" s="461"/>
    </row>
    <row r="146" spans="1:2">
      <c r="A146" s="461"/>
      <c r="B146" s="461"/>
    </row>
    <row r="147" spans="1:2">
      <c r="A147" s="461"/>
      <c r="B147" s="461"/>
    </row>
    <row r="148" spans="1:2">
      <c r="A148" s="461"/>
      <c r="B148" s="461"/>
    </row>
    <row r="149" spans="1:2">
      <c r="A149" s="461"/>
      <c r="B149" s="461"/>
    </row>
    <row r="150" spans="1:2">
      <c r="A150" s="461"/>
      <c r="B150" s="461"/>
    </row>
    <row r="151" spans="1:2">
      <c r="A151" s="461"/>
      <c r="B151" s="461"/>
    </row>
    <row r="152" spans="1:2">
      <c r="A152" s="461"/>
      <c r="B152" s="461"/>
    </row>
    <row r="153" spans="1:2">
      <c r="A153" s="461"/>
      <c r="B153" s="461"/>
    </row>
    <row r="154" spans="1:2">
      <c r="A154" s="461"/>
      <c r="B154" s="461"/>
    </row>
    <row r="155" spans="1:2">
      <c r="A155" s="461"/>
      <c r="B155" s="461"/>
    </row>
    <row r="156" spans="1:2">
      <c r="A156" s="461"/>
      <c r="B156" s="461"/>
    </row>
    <row r="157" spans="1:2">
      <c r="A157" s="461"/>
      <c r="B157" s="461"/>
    </row>
    <row r="158" spans="1:2">
      <c r="A158" s="461"/>
      <c r="B158" s="461"/>
    </row>
    <row r="159" spans="1:2">
      <c r="A159" s="461"/>
      <c r="B159" s="461"/>
    </row>
    <row r="160" spans="1:2">
      <c r="A160" s="461"/>
      <c r="B160" s="461"/>
    </row>
    <row r="161" spans="1:2">
      <c r="A161" s="461"/>
      <c r="B161" s="461"/>
    </row>
    <row r="162" spans="1:2">
      <c r="A162" s="461"/>
      <c r="B162" s="461"/>
    </row>
    <row r="163" spans="1:2">
      <c r="A163" s="461"/>
      <c r="B163" s="461"/>
    </row>
    <row r="164" spans="1:2">
      <c r="A164" s="461"/>
      <c r="B164" s="461"/>
    </row>
    <row r="165" spans="1:2">
      <c r="A165" s="461"/>
      <c r="B165" s="461"/>
    </row>
    <row r="166" spans="1:2">
      <c r="A166" s="461"/>
      <c r="B166" s="461"/>
    </row>
    <row r="167" spans="1:2">
      <c r="A167" s="461"/>
      <c r="B167" s="461"/>
    </row>
    <row r="168" spans="1:2">
      <c r="A168" s="461"/>
      <c r="B168" s="461"/>
    </row>
    <row r="169" spans="1:2">
      <c r="A169" s="461"/>
      <c r="B169" s="461"/>
    </row>
    <row r="170" spans="1:2">
      <c r="A170" s="461"/>
      <c r="B170" s="461"/>
    </row>
    <row r="171" spans="1:2">
      <c r="A171" s="461"/>
      <c r="B171" s="461"/>
    </row>
    <row r="172" spans="1:2">
      <c r="A172" s="461"/>
      <c r="B172" s="461"/>
    </row>
    <row r="173" spans="1:2">
      <c r="A173" s="461"/>
      <c r="B173" s="461"/>
    </row>
    <row r="174" spans="1:2">
      <c r="A174" s="461"/>
      <c r="B174" s="461"/>
    </row>
    <row r="175" spans="1:2">
      <c r="A175" s="461"/>
      <c r="B175" s="461"/>
    </row>
    <row r="176" spans="1:2">
      <c r="A176" s="461"/>
      <c r="B176" s="461"/>
    </row>
    <row r="177" spans="1:2">
      <c r="A177" s="461"/>
      <c r="B177" s="461"/>
    </row>
    <row r="178" spans="1:2">
      <c r="A178" s="461"/>
      <c r="B178" s="461"/>
    </row>
    <row r="179" spans="1:2">
      <c r="A179" s="461"/>
      <c r="B179" s="461"/>
    </row>
    <row r="180" spans="1:2">
      <c r="A180" s="461"/>
      <c r="B180" s="461"/>
    </row>
    <row r="181" spans="1:2">
      <c r="A181" s="461"/>
      <c r="B181" s="461"/>
    </row>
    <row r="182" spans="1:2">
      <c r="A182" s="461"/>
      <c r="B182" s="461"/>
    </row>
    <row r="183" spans="1:2">
      <c r="A183" s="461"/>
      <c r="B183" s="461"/>
    </row>
    <row r="184" spans="1:2">
      <c r="A184" s="461"/>
      <c r="B184" s="461"/>
    </row>
    <row r="185" spans="1:2">
      <c r="A185" s="461"/>
      <c r="B185" s="461"/>
    </row>
    <row r="186" spans="1:2">
      <c r="A186" s="461"/>
      <c r="B186" s="461"/>
    </row>
    <row r="187" spans="1:2">
      <c r="A187" s="461"/>
      <c r="B187" s="461"/>
    </row>
    <row r="188" spans="1:2">
      <c r="A188" s="461"/>
      <c r="B188" s="461"/>
    </row>
    <row r="189" spans="1:2">
      <c r="A189" s="461"/>
      <c r="B189" s="461"/>
    </row>
    <row r="190" spans="1:2">
      <c r="A190" s="461"/>
      <c r="B190" s="461"/>
    </row>
    <row r="191" spans="1:2">
      <c r="A191" s="461"/>
      <c r="B191" s="461"/>
    </row>
    <row r="192" spans="1:2">
      <c r="A192" s="461"/>
      <c r="B192" s="461"/>
    </row>
    <row r="193" spans="1:2">
      <c r="A193" s="461"/>
      <c r="B193" s="461"/>
    </row>
    <row r="194" spans="1:2">
      <c r="A194" s="461"/>
      <c r="B194" s="461"/>
    </row>
    <row r="195" spans="1:2">
      <c r="A195" s="461"/>
      <c r="B195" s="461"/>
    </row>
    <row r="196" spans="1:2">
      <c r="A196" s="461"/>
      <c r="B196" s="461"/>
    </row>
    <row r="197" spans="1:2">
      <c r="A197" s="461"/>
      <c r="B197" s="461"/>
    </row>
    <row r="198" spans="1:2">
      <c r="A198" s="461"/>
      <c r="B198" s="461"/>
    </row>
    <row r="199" spans="1:2">
      <c r="A199" s="461"/>
      <c r="B199" s="461"/>
    </row>
    <row r="200" spans="1:2">
      <c r="A200" s="461"/>
      <c r="B200" s="461"/>
    </row>
    <row r="201" spans="1:2">
      <c r="A201" s="461"/>
      <c r="B201" s="461"/>
    </row>
    <row r="202" spans="1:2">
      <c r="A202" s="461"/>
      <c r="B202" s="461"/>
    </row>
    <row r="203" spans="1:2">
      <c r="A203" s="461"/>
      <c r="B203" s="461"/>
    </row>
    <row r="204" spans="1:2">
      <c r="A204" s="461"/>
      <c r="B204" s="461"/>
    </row>
    <row r="205" spans="1:2">
      <c r="A205" s="461"/>
      <c r="B205" s="461"/>
    </row>
    <row r="206" spans="1:2">
      <c r="A206" s="461"/>
      <c r="B206" s="461"/>
    </row>
    <row r="207" spans="1:2">
      <c r="A207" s="461"/>
      <c r="B207" s="461"/>
    </row>
    <row r="208" spans="1:2">
      <c r="A208" s="461"/>
      <c r="B208" s="461"/>
    </row>
    <row r="209" spans="1:2">
      <c r="A209" s="461"/>
      <c r="B209" s="461"/>
    </row>
    <row r="210" spans="1:2">
      <c r="A210" s="461"/>
      <c r="B210" s="461"/>
    </row>
    <row r="211" spans="1:2">
      <c r="A211" s="461"/>
      <c r="B211" s="461"/>
    </row>
    <row r="212" spans="1:2">
      <c r="A212" s="461"/>
      <c r="B212" s="461"/>
    </row>
    <row r="213" spans="1:2">
      <c r="A213" s="461"/>
      <c r="B213" s="461"/>
    </row>
    <row r="214" spans="1:2">
      <c r="A214" s="461"/>
      <c r="B214" s="461"/>
    </row>
    <row r="215" spans="1:2">
      <c r="A215" s="461"/>
      <c r="B215" s="461"/>
    </row>
    <row r="216" spans="1:2">
      <c r="A216" s="461"/>
      <c r="B216" s="461"/>
    </row>
    <row r="217" spans="1:2">
      <c r="A217" s="461"/>
      <c r="B217" s="461"/>
    </row>
    <row r="218" spans="1:2">
      <c r="A218" s="461"/>
      <c r="B218" s="461"/>
    </row>
    <row r="219" spans="1:2">
      <c r="A219" s="461"/>
      <c r="B219" s="461"/>
    </row>
    <row r="220" spans="1:2">
      <c r="A220" s="461"/>
      <c r="B220" s="461"/>
    </row>
    <row r="221" spans="1:2">
      <c r="A221" s="461"/>
      <c r="B221" s="461"/>
    </row>
    <row r="222" spans="1:2">
      <c r="A222" s="461"/>
      <c r="B222" s="461"/>
    </row>
    <row r="223" spans="1:2">
      <c r="A223" s="461"/>
      <c r="B223" s="461"/>
    </row>
    <row r="224" spans="1:2">
      <c r="A224" s="461"/>
      <c r="B224" s="461"/>
    </row>
    <row r="225" spans="1:2">
      <c r="A225" s="461"/>
      <c r="B225" s="461"/>
    </row>
    <row r="226" spans="1:2">
      <c r="A226" s="461"/>
      <c r="B226" s="461"/>
    </row>
    <row r="227" spans="1:2">
      <c r="A227" s="461"/>
      <c r="B227" s="461"/>
    </row>
    <row r="228" spans="1:2">
      <c r="A228" s="461"/>
      <c r="B228" s="461"/>
    </row>
    <row r="229" spans="1:2">
      <c r="A229" s="461"/>
      <c r="B229" s="461"/>
    </row>
    <row r="230" spans="1:2">
      <c r="A230" s="461"/>
      <c r="B230" s="461"/>
    </row>
    <row r="231" spans="1:2">
      <c r="A231" s="461"/>
      <c r="B231" s="461"/>
    </row>
    <row r="232" spans="1:2">
      <c r="A232" s="461"/>
      <c r="B232" s="461"/>
    </row>
    <row r="233" spans="1:2">
      <c r="A233" s="461"/>
      <c r="B233" s="461"/>
    </row>
    <row r="234" spans="1:2">
      <c r="A234" s="461"/>
      <c r="B234" s="461"/>
    </row>
    <row r="235" spans="1:2">
      <c r="A235" s="461"/>
      <c r="B235" s="461"/>
    </row>
    <row r="236" spans="1:2">
      <c r="A236" s="461"/>
      <c r="B236" s="461"/>
    </row>
    <row r="237" spans="1:2">
      <c r="A237" s="461"/>
      <c r="B237" s="461"/>
    </row>
    <row r="238" spans="1:2">
      <c r="A238" s="461"/>
      <c r="B238" s="461"/>
    </row>
    <row r="239" spans="1:2">
      <c r="A239" s="461"/>
      <c r="B239" s="461"/>
    </row>
    <row r="240" spans="1:2">
      <c r="A240" s="461"/>
      <c r="B240" s="461"/>
    </row>
    <row r="241" spans="1:2">
      <c r="A241" s="461"/>
      <c r="B241" s="461"/>
    </row>
    <row r="242" spans="1:2">
      <c r="A242" s="461"/>
      <c r="B242" s="461"/>
    </row>
    <row r="243" spans="1:2">
      <c r="A243" s="461"/>
      <c r="B243" s="461"/>
    </row>
    <row r="244" spans="1:2">
      <c r="A244" s="461"/>
      <c r="B244" s="461"/>
    </row>
    <row r="245" spans="1:2">
      <c r="A245" s="461"/>
      <c r="B245" s="461"/>
    </row>
    <row r="246" spans="1:2">
      <c r="A246" s="461"/>
      <c r="B246" s="461"/>
    </row>
    <row r="247" spans="1:2">
      <c r="A247" s="461"/>
      <c r="B247" s="461"/>
    </row>
    <row r="248" spans="1:2">
      <c r="A248" s="461"/>
      <c r="B248" s="461"/>
    </row>
    <row r="249" spans="1:2">
      <c r="A249" s="461"/>
      <c r="B249" s="461"/>
    </row>
    <row r="250" spans="1:2">
      <c r="A250" s="461"/>
      <c r="B250" s="461"/>
    </row>
    <row r="251" spans="1:2">
      <c r="A251" s="461"/>
      <c r="B251" s="461"/>
    </row>
    <row r="252" spans="1:2">
      <c r="A252" s="461"/>
      <c r="B252" s="461"/>
    </row>
    <row r="253" spans="1:2">
      <c r="A253" s="461"/>
      <c r="B253" s="461"/>
    </row>
    <row r="254" spans="1:2">
      <c r="A254" s="461"/>
      <c r="B254" s="461"/>
    </row>
    <row r="255" spans="1:2">
      <c r="A255" s="461"/>
      <c r="B255" s="461"/>
    </row>
    <row r="256" spans="1:2">
      <c r="A256" s="461"/>
      <c r="B256" s="461"/>
    </row>
    <row r="257" spans="1:2">
      <c r="A257" s="461"/>
      <c r="B257" s="461"/>
    </row>
    <row r="258" spans="1:2">
      <c r="A258" s="461"/>
      <c r="B258" s="461"/>
    </row>
    <row r="259" spans="1:2">
      <c r="A259" s="461"/>
      <c r="B259" s="461"/>
    </row>
    <row r="260" spans="1:2">
      <c r="A260" s="461"/>
      <c r="B260" s="461"/>
    </row>
    <row r="261" spans="1:2">
      <c r="A261" s="461"/>
      <c r="B261" s="461"/>
    </row>
    <row r="262" spans="1:2">
      <c r="A262" s="461"/>
      <c r="B262" s="461"/>
    </row>
    <row r="263" spans="1:2">
      <c r="A263" s="461"/>
      <c r="B263" s="461"/>
    </row>
    <row r="264" spans="1:2">
      <c r="A264" s="461"/>
      <c r="B264" s="461"/>
    </row>
    <row r="265" spans="1:2">
      <c r="A265" s="461"/>
      <c r="B265" s="461"/>
    </row>
    <row r="266" spans="1:2">
      <c r="A266" s="461"/>
      <c r="B266" s="461"/>
    </row>
    <row r="267" spans="1:2">
      <c r="A267" s="461"/>
      <c r="B267" s="461"/>
    </row>
    <row r="268" spans="1:2">
      <c r="A268" s="461"/>
      <c r="B268" s="461"/>
    </row>
    <row r="269" spans="1:2">
      <c r="A269" s="461"/>
      <c r="B269" s="461"/>
    </row>
    <row r="270" spans="1:2">
      <c r="A270" s="461"/>
      <c r="B270" s="461"/>
    </row>
    <row r="271" spans="1:2">
      <c r="A271" s="461"/>
      <c r="B271" s="461"/>
    </row>
    <row r="272" spans="1:2">
      <c r="A272" s="461"/>
      <c r="B272" s="461"/>
    </row>
    <row r="273" spans="1:2">
      <c r="A273" s="461"/>
      <c r="B273" s="461"/>
    </row>
    <row r="274" spans="1:2">
      <c r="A274" s="461"/>
      <c r="B274" s="461"/>
    </row>
    <row r="275" spans="1:2">
      <c r="A275" s="461"/>
      <c r="B275" s="461"/>
    </row>
    <row r="276" spans="1:2">
      <c r="A276" s="461"/>
      <c r="B276" s="461"/>
    </row>
    <row r="277" spans="1:2">
      <c r="A277" s="461"/>
      <c r="B277" s="461"/>
    </row>
    <row r="278" spans="1:2">
      <c r="A278" s="461"/>
      <c r="B278" s="461"/>
    </row>
    <row r="279" spans="1:2">
      <c r="A279" s="461"/>
      <c r="B279" s="461"/>
    </row>
    <row r="280" spans="1:2">
      <c r="A280" s="461"/>
      <c r="B280" s="461"/>
    </row>
    <row r="281" spans="1:2">
      <c r="A281" s="461"/>
      <c r="B281" s="461"/>
    </row>
    <row r="282" spans="1:2">
      <c r="A282" s="461"/>
      <c r="B282" s="461"/>
    </row>
    <row r="283" spans="1:2">
      <c r="A283" s="461"/>
      <c r="B283" s="461"/>
    </row>
    <row r="284" spans="1:2">
      <c r="A284" s="461"/>
      <c r="B284" s="461"/>
    </row>
    <row r="285" spans="1:2">
      <c r="A285" s="461"/>
      <c r="B285" s="461"/>
    </row>
    <row r="286" spans="1:2">
      <c r="A286" s="461"/>
      <c r="B286" s="461"/>
    </row>
    <row r="287" spans="1:2">
      <c r="A287" s="461"/>
      <c r="B287" s="461"/>
    </row>
    <row r="288" spans="1:2">
      <c r="A288" s="461"/>
      <c r="B288" s="461"/>
    </row>
    <row r="289" spans="1:2">
      <c r="A289" s="461"/>
      <c r="B289" s="461"/>
    </row>
    <row r="290" spans="1:2">
      <c r="A290" s="461"/>
      <c r="B290" s="461"/>
    </row>
    <row r="291" spans="1:2">
      <c r="A291" s="461"/>
      <c r="B291" s="461"/>
    </row>
    <row r="292" spans="1:2">
      <c r="A292" s="461"/>
      <c r="B292" s="461"/>
    </row>
    <row r="293" spans="1:2">
      <c r="A293" s="461"/>
      <c r="B293" s="461"/>
    </row>
    <row r="294" spans="1:2">
      <c r="A294" s="461"/>
      <c r="B294" s="461"/>
    </row>
    <row r="295" spans="1:2">
      <c r="A295" s="461"/>
      <c r="B295" s="461"/>
    </row>
    <row r="296" spans="1:2">
      <c r="A296" s="461"/>
      <c r="B296" s="461"/>
    </row>
    <row r="297" spans="1:2">
      <c r="A297" s="461"/>
      <c r="B297" s="461"/>
    </row>
    <row r="298" spans="1:2">
      <c r="A298" s="461"/>
      <c r="B298" s="461"/>
    </row>
    <row r="299" spans="1:2">
      <c r="A299" s="461"/>
      <c r="B299" s="461"/>
    </row>
    <row r="300" spans="1:2">
      <c r="A300" s="461"/>
      <c r="B300" s="461"/>
    </row>
    <row r="301" spans="1:2">
      <c r="A301" s="461"/>
      <c r="B301" s="461"/>
    </row>
    <row r="302" spans="1:2">
      <c r="A302" s="461"/>
      <c r="B302" s="461"/>
    </row>
    <row r="303" spans="1:2">
      <c r="A303" s="461"/>
      <c r="B303" s="461"/>
    </row>
    <row r="304" spans="1:2">
      <c r="A304" s="461"/>
      <c r="B304" s="461"/>
    </row>
    <row r="305" spans="1:2">
      <c r="A305" s="461"/>
      <c r="B305" s="461"/>
    </row>
    <row r="306" spans="1:2">
      <c r="A306" s="461"/>
      <c r="B306" s="461"/>
    </row>
    <row r="307" spans="1:2">
      <c r="A307" s="461"/>
      <c r="B307" s="461"/>
    </row>
    <row r="308" spans="1:2">
      <c r="A308" s="461"/>
      <c r="B308" s="461"/>
    </row>
    <row r="309" spans="1:2">
      <c r="A309" s="461"/>
      <c r="B309" s="461"/>
    </row>
    <row r="310" spans="1:2">
      <c r="A310" s="461"/>
      <c r="B310" s="461"/>
    </row>
    <row r="311" spans="1:2">
      <c r="A311" s="461"/>
      <c r="B311" s="461"/>
    </row>
    <row r="312" spans="1:2">
      <c r="A312" s="461"/>
      <c r="B312" s="461"/>
    </row>
    <row r="313" spans="1:2">
      <c r="A313" s="461"/>
      <c r="B313" s="461"/>
    </row>
    <row r="314" spans="1:2">
      <c r="A314" s="461"/>
      <c r="B314" s="461"/>
    </row>
    <row r="315" spans="1:2">
      <c r="A315" s="461"/>
      <c r="B315" s="461"/>
    </row>
    <row r="316" spans="1:2">
      <c r="A316" s="461"/>
      <c r="B316" s="461"/>
    </row>
    <row r="317" spans="1:2">
      <c r="A317" s="461"/>
      <c r="B317" s="461"/>
    </row>
    <row r="318" spans="1:2">
      <c r="A318" s="461"/>
      <c r="B318" s="461"/>
    </row>
    <row r="319" spans="1:2">
      <c r="A319" s="461"/>
      <c r="B319" s="461"/>
    </row>
    <row r="320" spans="1:2">
      <c r="A320" s="461"/>
      <c r="B320" s="461"/>
    </row>
    <row r="321" spans="1:2">
      <c r="A321" s="461"/>
      <c r="B321" s="461"/>
    </row>
    <row r="322" spans="1:2">
      <c r="A322" s="461"/>
      <c r="B322" s="461"/>
    </row>
    <row r="323" spans="1:2">
      <c r="A323" s="461"/>
      <c r="B323" s="461"/>
    </row>
    <row r="324" spans="1:2">
      <c r="A324" s="461"/>
      <c r="B324" s="461"/>
    </row>
    <row r="325" spans="1:2">
      <c r="A325" s="461"/>
      <c r="B325" s="461"/>
    </row>
    <row r="326" spans="1:2">
      <c r="A326" s="461"/>
      <c r="B326" s="461"/>
    </row>
    <row r="327" spans="1:2">
      <c r="A327" s="461"/>
      <c r="B327" s="461"/>
    </row>
    <row r="328" spans="1:2">
      <c r="A328" s="461"/>
      <c r="B328" s="461"/>
    </row>
    <row r="329" spans="1:2">
      <c r="A329" s="461"/>
      <c r="B329" s="461"/>
    </row>
    <row r="330" spans="1:2">
      <c r="A330" s="461"/>
      <c r="B330" s="461"/>
    </row>
    <row r="331" spans="1:2">
      <c r="A331" s="461"/>
      <c r="B331" s="461"/>
    </row>
    <row r="332" spans="1:2">
      <c r="A332" s="461"/>
      <c r="B332" s="461"/>
    </row>
    <row r="333" spans="1:2">
      <c r="A333" s="461"/>
      <c r="B333" s="461"/>
    </row>
    <row r="334" spans="1:2">
      <c r="A334" s="461"/>
      <c r="B334" s="461"/>
    </row>
    <row r="335" spans="1:2">
      <c r="A335" s="461"/>
      <c r="B335" s="461"/>
    </row>
    <row r="336" spans="1:2">
      <c r="A336" s="461"/>
      <c r="B336" s="461"/>
    </row>
    <row r="337" spans="1:2">
      <c r="A337" s="461"/>
      <c r="B337" s="461"/>
    </row>
    <row r="338" spans="1:2">
      <c r="A338" s="461"/>
      <c r="B338" s="461"/>
    </row>
    <row r="339" spans="1:2">
      <c r="A339" s="461"/>
      <c r="B339" s="461"/>
    </row>
    <row r="340" spans="1:2">
      <c r="A340" s="461"/>
      <c r="B340" s="461"/>
    </row>
    <row r="341" spans="1:2">
      <c r="A341" s="461"/>
      <c r="B341" s="461"/>
    </row>
    <row r="342" spans="1:2">
      <c r="A342" s="461"/>
      <c r="B342" s="461"/>
    </row>
    <row r="343" spans="1:2">
      <c r="A343" s="461"/>
      <c r="B343" s="461"/>
    </row>
    <row r="344" spans="1:2">
      <c r="A344" s="461"/>
      <c r="B344" s="461"/>
    </row>
    <row r="345" spans="1:2">
      <c r="A345" s="461"/>
      <c r="B345" s="461"/>
    </row>
    <row r="346" spans="1:2">
      <c r="A346" s="461"/>
      <c r="B346" s="461"/>
    </row>
    <row r="347" spans="1:2">
      <c r="A347" s="461"/>
      <c r="B347" s="461"/>
    </row>
    <row r="348" spans="1:2">
      <c r="A348" s="461"/>
      <c r="B348" s="461"/>
    </row>
    <row r="349" spans="1:2">
      <c r="A349" s="461"/>
      <c r="B349" s="461"/>
    </row>
    <row r="350" spans="1:2">
      <c r="A350" s="461"/>
      <c r="B350" s="461"/>
    </row>
    <row r="351" spans="1:2">
      <c r="A351" s="461"/>
      <c r="B351" s="461"/>
    </row>
    <row r="352" spans="1:2">
      <c r="A352" s="461"/>
      <c r="B352" s="461"/>
    </row>
    <row r="353" spans="1:2">
      <c r="A353" s="461"/>
      <c r="B353" s="461"/>
    </row>
    <row r="354" spans="1:2">
      <c r="A354" s="461"/>
      <c r="B354" s="461"/>
    </row>
    <row r="355" spans="1:2">
      <c r="A355" s="461"/>
      <c r="B355" s="461"/>
    </row>
    <row r="356" spans="1:2">
      <c r="A356" s="461"/>
      <c r="B356" s="461"/>
    </row>
    <row r="357" spans="1:2">
      <c r="A357" s="461"/>
      <c r="B357" s="461"/>
    </row>
    <row r="358" spans="1:2">
      <c r="A358" s="461"/>
      <c r="B358" s="461"/>
    </row>
    <row r="359" spans="1:2">
      <c r="A359" s="461"/>
      <c r="B359" s="461"/>
    </row>
    <row r="360" spans="1:2">
      <c r="A360" s="461"/>
      <c r="B360" s="461"/>
    </row>
    <row r="361" spans="1:2">
      <c r="A361" s="461"/>
      <c r="B361" s="461"/>
    </row>
    <row r="362" spans="1:2">
      <c r="A362" s="461"/>
      <c r="B362" s="461"/>
    </row>
    <row r="363" spans="1:2">
      <c r="A363" s="461"/>
      <c r="B363" s="461"/>
    </row>
    <row r="364" spans="1:2">
      <c r="A364" s="461"/>
      <c r="B364" s="461"/>
    </row>
    <row r="365" spans="1:2">
      <c r="A365" s="461"/>
      <c r="B365" s="461"/>
    </row>
    <row r="366" spans="1:2">
      <c r="A366" s="461"/>
      <c r="B366" s="461"/>
    </row>
    <row r="367" spans="1:2">
      <c r="A367" s="461"/>
      <c r="B367" s="461"/>
    </row>
    <row r="368" spans="1:2">
      <c r="A368" s="461"/>
      <c r="B368" s="461"/>
    </row>
    <row r="369" spans="1:2">
      <c r="A369" s="461"/>
      <c r="B369" s="461"/>
    </row>
    <row r="370" spans="1:2">
      <c r="A370" s="461"/>
      <c r="B370" s="461"/>
    </row>
    <row r="371" spans="1:2">
      <c r="A371" s="461"/>
      <c r="B371" s="461"/>
    </row>
    <row r="372" spans="1:2">
      <c r="A372" s="461"/>
      <c r="B372" s="461"/>
    </row>
    <row r="373" spans="1:2">
      <c r="A373" s="461"/>
      <c r="B373" s="461"/>
    </row>
    <row r="374" spans="1:2">
      <c r="A374" s="461"/>
      <c r="B374" s="461"/>
    </row>
    <row r="375" spans="1:2">
      <c r="A375" s="461"/>
      <c r="B375" s="461"/>
    </row>
    <row r="376" spans="1:2">
      <c r="A376" s="461"/>
      <c r="B376" s="461"/>
    </row>
    <row r="377" spans="1:2">
      <c r="A377" s="461"/>
      <c r="B377" s="461"/>
    </row>
    <row r="378" spans="1:2">
      <c r="A378" s="461"/>
      <c r="B378" s="461"/>
    </row>
    <row r="379" spans="1:2">
      <c r="A379" s="461"/>
      <c r="B379" s="461"/>
    </row>
    <row r="380" spans="1:2">
      <c r="A380" s="461"/>
      <c r="B380" s="461"/>
    </row>
    <row r="381" spans="1:2">
      <c r="A381" s="461"/>
      <c r="B381" s="461"/>
    </row>
    <row r="382" spans="1:2">
      <c r="A382" s="461"/>
      <c r="B382" s="461"/>
    </row>
    <row r="383" spans="1:2">
      <c r="A383" s="461"/>
      <c r="B383" s="461"/>
    </row>
    <row r="384" spans="1:2">
      <c r="A384" s="461"/>
      <c r="B384" s="461"/>
    </row>
    <row r="385" spans="1:2">
      <c r="A385" s="461"/>
      <c r="B385" s="461"/>
    </row>
    <row r="386" spans="1:2">
      <c r="A386" s="461"/>
      <c r="B386" s="461"/>
    </row>
    <row r="387" spans="1:2">
      <c r="A387" s="461"/>
      <c r="B387" s="461"/>
    </row>
    <row r="388" spans="1:2">
      <c r="A388" s="461"/>
      <c r="B388" s="461"/>
    </row>
    <row r="389" spans="1:2">
      <c r="A389" s="461"/>
      <c r="B389" s="461"/>
    </row>
    <row r="390" spans="1:2">
      <c r="A390" s="461"/>
      <c r="B390" s="461"/>
    </row>
    <row r="391" spans="1:2">
      <c r="A391" s="461"/>
      <c r="B391" s="461"/>
    </row>
    <row r="392" spans="1:2">
      <c r="A392" s="461"/>
      <c r="B392" s="461"/>
    </row>
    <row r="393" spans="1:2">
      <c r="A393" s="461"/>
      <c r="B393" s="461"/>
    </row>
    <row r="394" spans="1:2">
      <c r="A394" s="461"/>
      <c r="B394" s="461"/>
    </row>
    <row r="395" spans="1:2">
      <c r="A395" s="461"/>
      <c r="B395" s="461"/>
    </row>
    <row r="396" spans="1:2">
      <c r="A396" s="461"/>
      <c r="B396" s="461"/>
    </row>
    <row r="397" spans="1:2">
      <c r="A397" s="461"/>
      <c r="B397" s="461"/>
    </row>
    <row r="398" spans="1:2">
      <c r="A398" s="461"/>
      <c r="B398" s="461"/>
    </row>
    <row r="399" spans="1:2">
      <c r="A399" s="461"/>
      <c r="B399" s="461"/>
    </row>
    <row r="400" spans="1:2">
      <c r="A400" s="461"/>
      <c r="B400" s="461"/>
    </row>
    <row r="401" spans="1:2">
      <c r="A401" s="461"/>
      <c r="B401" s="461"/>
    </row>
    <row r="402" spans="1:2">
      <c r="A402" s="461"/>
      <c r="B402" s="461"/>
    </row>
    <row r="403" spans="1:2">
      <c r="A403" s="461"/>
      <c r="B403" s="461"/>
    </row>
    <row r="404" spans="1:2">
      <c r="A404" s="461"/>
      <c r="B404" s="461"/>
    </row>
    <row r="405" spans="1:2">
      <c r="A405" s="461"/>
      <c r="B405" s="461"/>
    </row>
    <row r="406" spans="1:2">
      <c r="A406" s="461"/>
      <c r="B406" s="461"/>
    </row>
    <row r="407" spans="1:2">
      <c r="A407" s="461"/>
      <c r="B407" s="461"/>
    </row>
    <row r="408" spans="1:2">
      <c r="A408" s="461"/>
      <c r="B408" s="461"/>
    </row>
    <row r="409" spans="1:2">
      <c r="A409" s="461"/>
      <c r="B409" s="461"/>
    </row>
    <row r="410" spans="1:2">
      <c r="A410" s="461"/>
      <c r="B410" s="461"/>
    </row>
    <row r="411" spans="1:2">
      <c r="A411" s="461"/>
      <c r="B411" s="461"/>
    </row>
    <row r="412" spans="1:2">
      <c r="A412" s="461"/>
      <c r="B412" s="461"/>
    </row>
    <row r="413" spans="1:2">
      <c r="A413" s="461"/>
      <c r="B413" s="461"/>
    </row>
    <row r="414" spans="1:2">
      <c r="A414" s="461"/>
      <c r="B414" s="461"/>
    </row>
    <row r="415" spans="1:2">
      <c r="A415" s="461"/>
      <c r="B415" s="461"/>
    </row>
    <row r="416" spans="1:2">
      <c r="A416" s="461"/>
      <c r="B416" s="461"/>
    </row>
    <row r="417" spans="1:2">
      <c r="A417" s="461"/>
      <c r="B417" s="461"/>
    </row>
    <row r="418" spans="1:2">
      <c r="A418" s="461"/>
      <c r="B418" s="461"/>
    </row>
    <row r="419" spans="1:2">
      <c r="A419" s="461"/>
      <c r="B419" s="461"/>
    </row>
    <row r="420" spans="1:2">
      <c r="A420" s="461"/>
      <c r="B420" s="461"/>
    </row>
    <row r="421" spans="1:2">
      <c r="A421" s="461"/>
      <c r="B421" s="461"/>
    </row>
    <row r="422" spans="1:2">
      <c r="A422" s="461"/>
      <c r="B422" s="461"/>
    </row>
    <row r="423" spans="1:2">
      <c r="A423" s="461"/>
      <c r="B423" s="461"/>
    </row>
    <row r="424" spans="1:2">
      <c r="A424" s="461"/>
      <c r="B424" s="461"/>
    </row>
    <row r="425" spans="1:2">
      <c r="A425" s="461"/>
      <c r="B425" s="461"/>
    </row>
    <row r="426" spans="1:2">
      <c r="A426" s="461"/>
      <c r="B426" s="461"/>
    </row>
    <row r="427" spans="1:2">
      <c r="A427" s="461"/>
      <c r="B427" s="461"/>
    </row>
    <row r="428" spans="1:2">
      <c r="A428" s="461"/>
      <c r="B428" s="461"/>
    </row>
    <row r="429" spans="1:2">
      <c r="A429" s="461"/>
      <c r="B429" s="461"/>
    </row>
    <row r="430" spans="1:2">
      <c r="A430" s="461"/>
      <c r="B430" s="461"/>
    </row>
    <row r="431" spans="1:2">
      <c r="A431" s="461"/>
      <c r="B431" s="461"/>
    </row>
    <row r="432" spans="1:2">
      <c r="A432" s="461"/>
      <c r="B432" s="461"/>
    </row>
    <row r="433" spans="1:2">
      <c r="A433" s="461"/>
      <c r="B433" s="461"/>
    </row>
    <row r="434" spans="1:2">
      <c r="A434" s="461"/>
      <c r="B434" s="461"/>
    </row>
    <row r="435" spans="1:2">
      <c r="A435" s="461"/>
      <c r="B435" s="461"/>
    </row>
    <row r="436" spans="1:2">
      <c r="A436" s="461"/>
      <c r="B436" s="461"/>
    </row>
    <row r="437" spans="1:2">
      <c r="A437" s="461"/>
      <c r="B437" s="461"/>
    </row>
    <row r="438" spans="1:2">
      <c r="A438" s="461"/>
      <c r="B438" s="461"/>
    </row>
    <row r="439" spans="1:2">
      <c r="A439" s="461"/>
      <c r="B439" s="461"/>
    </row>
    <row r="440" spans="1:2">
      <c r="A440" s="461"/>
      <c r="B440" s="461"/>
    </row>
    <row r="441" spans="1:2">
      <c r="A441" s="461"/>
      <c r="B441" s="461"/>
    </row>
    <row r="442" spans="1:2">
      <c r="A442" s="461"/>
      <c r="B442" s="461"/>
    </row>
    <row r="443" spans="1:2">
      <c r="A443" s="461"/>
      <c r="B443" s="461"/>
    </row>
    <row r="444" spans="1:2">
      <c r="A444" s="461"/>
      <c r="B444" s="461"/>
    </row>
    <row r="445" spans="1:2">
      <c r="A445" s="461"/>
      <c r="B445" s="461"/>
    </row>
    <row r="446" spans="1:2">
      <c r="A446" s="461"/>
      <c r="B446" s="461"/>
    </row>
    <row r="447" spans="1:2">
      <c r="A447" s="461"/>
      <c r="B447" s="461"/>
    </row>
    <row r="448" spans="1:2">
      <c r="A448" s="461"/>
      <c r="B448" s="461"/>
    </row>
    <row r="449" spans="1:2">
      <c r="A449" s="461"/>
      <c r="B449" s="461"/>
    </row>
    <row r="450" spans="1:2">
      <c r="A450" s="461"/>
      <c r="B450" s="461"/>
    </row>
    <row r="451" spans="1:2">
      <c r="A451" s="461"/>
      <c r="B451" s="461"/>
    </row>
    <row r="452" spans="1:2">
      <c r="A452" s="461"/>
      <c r="B452" s="461"/>
    </row>
    <row r="453" spans="1:2">
      <c r="A453" s="461"/>
      <c r="B453" s="461"/>
    </row>
    <row r="454" spans="1:2">
      <c r="A454" s="461"/>
      <c r="B454" s="461"/>
    </row>
    <row r="455" spans="1:2">
      <c r="A455" s="461"/>
      <c r="B455" s="461"/>
    </row>
    <row r="456" spans="1:2">
      <c r="A456" s="461"/>
      <c r="B456" s="461"/>
    </row>
    <row r="457" spans="1:2">
      <c r="A457" s="461"/>
      <c r="B457" s="461"/>
    </row>
    <row r="458" spans="1:2">
      <c r="A458" s="461"/>
      <c r="B458" s="461"/>
    </row>
    <row r="459" spans="1:2">
      <c r="A459" s="461"/>
      <c r="B459" s="461"/>
    </row>
    <row r="460" spans="1:2">
      <c r="A460" s="461"/>
      <c r="B460" s="461"/>
    </row>
    <row r="461" spans="1:2">
      <c r="A461" s="461"/>
      <c r="B461" s="461"/>
    </row>
    <row r="462" spans="1:2">
      <c r="A462" s="461"/>
      <c r="B462" s="461"/>
    </row>
    <row r="463" spans="1:2">
      <c r="A463" s="461"/>
      <c r="B463" s="461"/>
    </row>
    <row r="464" spans="1:2">
      <c r="A464" s="461"/>
      <c r="B464" s="461"/>
    </row>
    <row r="465" spans="1:2">
      <c r="A465" s="461"/>
      <c r="B465" s="461"/>
    </row>
    <row r="466" spans="1:2">
      <c r="A466" s="461"/>
      <c r="B466" s="461"/>
    </row>
    <row r="467" spans="1:2">
      <c r="A467" s="461"/>
      <c r="B467" s="461"/>
    </row>
    <row r="468" spans="1:2">
      <c r="A468" s="461"/>
      <c r="B468" s="461"/>
    </row>
    <row r="469" spans="1:2">
      <c r="A469" s="461"/>
      <c r="B469" s="461"/>
    </row>
    <row r="470" spans="1:2">
      <c r="A470" s="461"/>
      <c r="B470" s="461"/>
    </row>
    <row r="471" spans="1:2">
      <c r="A471" s="461"/>
      <c r="B471" s="461"/>
    </row>
    <row r="472" spans="1:2">
      <c r="A472" s="461"/>
      <c r="B472" s="461"/>
    </row>
    <row r="473" spans="1:2">
      <c r="A473" s="461"/>
      <c r="B473" s="461"/>
    </row>
    <row r="474" spans="1:2">
      <c r="A474" s="461"/>
      <c r="B474" s="461"/>
    </row>
    <row r="475" spans="1:2">
      <c r="A475" s="461"/>
      <c r="B475" s="461"/>
    </row>
    <row r="476" spans="1:2">
      <c r="A476" s="461"/>
      <c r="B476" s="461"/>
    </row>
    <row r="477" spans="1:2">
      <c r="A477" s="461"/>
      <c r="B477" s="461"/>
    </row>
    <row r="478" spans="1:2">
      <c r="A478" s="461"/>
      <c r="B478" s="461"/>
    </row>
    <row r="479" spans="1:2">
      <c r="A479" s="461"/>
      <c r="B479" s="461"/>
    </row>
    <row r="480" spans="1:2">
      <c r="A480" s="461"/>
      <c r="B480" s="461"/>
    </row>
    <row r="481" spans="1:2">
      <c r="A481" s="461"/>
      <c r="B481" s="461"/>
    </row>
    <row r="482" spans="1:2">
      <c r="A482" s="461"/>
      <c r="B482" s="461"/>
    </row>
    <row r="483" spans="1:2">
      <c r="A483" s="461"/>
      <c r="B483" s="461"/>
    </row>
    <row r="484" spans="1:2">
      <c r="A484" s="461"/>
      <c r="B484" s="461"/>
    </row>
    <row r="485" spans="1:2">
      <c r="A485" s="461"/>
      <c r="B485" s="461"/>
    </row>
    <row r="486" spans="1:2">
      <c r="A486" s="461"/>
      <c r="B486" s="461"/>
    </row>
    <row r="487" spans="1:2">
      <c r="A487" s="461"/>
      <c r="B487" s="461"/>
    </row>
    <row r="488" spans="1:2">
      <c r="A488" s="461"/>
      <c r="B488" s="461"/>
    </row>
    <row r="489" spans="1:2">
      <c r="A489" s="461"/>
      <c r="B489" s="461"/>
    </row>
    <row r="490" spans="1:2">
      <c r="A490" s="461"/>
      <c r="B490" s="461"/>
    </row>
    <row r="491" spans="1:2">
      <c r="A491" s="461"/>
      <c r="B491" s="461"/>
    </row>
    <row r="492" spans="1:2">
      <c r="A492" s="461"/>
      <c r="B492" s="461"/>
    </row>
    <row r="493" spans="1:2">
      <c r="A493" s="461"/>
      <c r="B493" s="461"/>
    </row>
    <row r="494" spans="1:2">
      <c r="A494" s="461"/>
      <c r="B494" s="461"/>
    </row>
    <row r="495" spans="1:2">
      <c r="A495" s="461"/>
      <c r="B495" s="461"/>
    </row>
    <row r="496" spans="1:2">
      <c r="A496" s="461"/>
      <c r="B496" s="461"/>
    </row>
    <row r="497" spans="1:2">
      <c r="A497" s="461"/>
      <c r="B497" s="461"/>
    </row>
    <row r="498" spans="1:2">
      <c r="A498" s="461"/>
      <c r="B498" s="461"/>
    </row>
    <row r="499" spans="1:2">
      <c r="A499" s="461"/>
      <c r="B499" s="461"/>
    </row>
    <row r="500" spans="1:2">
      <c r="A500" s="461"/>
      <c r="B500" s="461"/>
    </row>
    <row r="501" spans="1:2">
      <c r="A501" s="461"/>
      <c r="B501" s="461"/>
    </row>
    <row r="502" spans="1:2">
      <c r="A502" s="461"/>
      <c r="B502" s="461"/>
    </row>
    <row r="503" spans="1:2">
      <c r="A503" s="461"/>
      <c r="B503" s="461"/>
    </row>
    <row r="504" spans="1:2">
      <c r="A504" s="461"/>
      <c r="B504" s="461"/>
    </row>
    <row r="505" spans="1:2">
      <c r="A505" s="461"/>
      <c r="B505" s="461"/>
    </row>
    <row r="506" spans="1:2">
      <c r="A506" s="461"/>
      <c r="B506" s="461"/>
    </row>
    <row r="507" spans="1:2">
      <c r="A507" s="461"/>
      <c r="B507" s="461"/>
    </row>
    <row r="508" spans="1:2">
      <c r="A508" s="461"/>
      <c r="B508" s="461"/>
    </row>
    <row r="509" spans="1:2">
      <c r="A509" s="461"/>
      <c r="B509" s="461"/>
    </row>
    <row r="510" spans="1:2">
      <c r="A510" s="461"/>
      <c r="B510" s="461"/>
    </row>
    <row r="511" spans="1:2">
      <c r="A511" s="461"/>
      <c r="B511" s="461"/>
    </row>
    <row r="512" spans="1:2">
      <c r="A512" s="461"/>
      <c r="B512" s="461"/>
    </row>
    <row r="513" spans="1:2">
      <c r="A513" s="461"/>
      <c r="B513" s="461"/>
    </row>
    <row r="514" spans="1:2">
      <c r="A514" s="461"/>
      <c r="B514" s="461"/>
    </row>
    <row r="515" spans="1:2">
      <c r="A515" s="461"/>
      <c r="B515" s="461"/>
    </row>
    <row r="516" spans="1:2">
      <c r="A516" s="461"/>
      <c r="B516" s="461"/>
    </row>
    <row r="517" spans="1:2">
      <c r="A517" s="461"/>
      <c r="B517" s="461"/>
    </row>
    <row r="518" spans="1:2">
      <c r="A518" s="461"/>
      <c r="B518" s="461"/>
    </row>
    <row r="519" spans="1:2">
      <c r="A519" s="461"/>
      <c r="B519" s="461"/>
    </row>
    <row r="520" spans="1:2">
      <c r="A520" s="461"/>
      <c r="B520" s="461"/>
    </row>
    <row r="521" spans="1:2">
      <c r="A521" s="461"/>
      <c r="B521" s="461"/>
    </row>
    <row r="522" spans="1:2">
      <c r="A522" s="461"/>
      <c r="B522" s="461"/>
    </row>
    <row r="523" spans="1:2">
      <c r="A523" s="461"/>
      <c r="B523" s="461"/>
    </row>
    <row r="524" spans="1:2">
      <c r="A524" s="461"/>
      <c r="B524" s="461"/>
    </row>
    <row r="525" spans="1:2">
      <c r="A525" s="461"/>
      <c r="B525" s="461"/>
    </row>
    <row r="526" spans="1:2">
      <c r="A526" s="461"/>
      <c r="B526" s="461"/>
    </row>
    <row r="527" spans="1:2">
      <c r="A527" s="461"/>
      <c r="B527" s="461"/>
    </row>
    <row r="528" spans="1:2">
      <c r="A528" s="461"/>
      <c r="B528" s="461"/>
    </row>
    <row r="529" spans="1:2">
      <c r="A529" s="461"/>
      <c r="B529" s="461"/>
    </row>
    <row r="530" spans="1:2">
      <c r="A530" s="461"/>
      <c r="B530" s="461"/>
    </row>
    <row r="531" spans="1:2">
      <c r="A531" s="461"/>
      <c r="B531" s="461"/>
    </row>
    <row r="532" spans="1:2">
      <c r="A532" s="461"/>
      <c r="B532" s="461"/>
    </row>
    <row r="533" spans="1:2">
      <c r="A533" s="461"/>
      <c r="B533" s="461"/>
    </row>
    <row r="534" spans="1:2">
      <c r="A534" s="461"/>
      <c r="B534" s="461"/>
    </row>
    <row r="535" spans="1:2">
      <c r="A535" s="461"/>
      <c r="B535" s="461"/>
    </row>
    <row r="536" spans="1:2">
      <c r="A536" s="461"/>
      <c r="B536" s="461"/>
    </row>
    <row r="537" spans="1:2">
      <c r="A537" s="461"/>
      <c r="B537" s="461"/>
    </row>
    <row r="538" spans="1:2">
      <c r="A538" s="461"/>
      <c r="B538" s="461"/>
    </row>
    <row r="539" spans="1:2">
      <c r="A539" s="461"/>
      <c r="B539" s="461"/>
    </row>
    <row r="540" spans="1:2">
      <c r="A540" s="461"/>
      <c r="B540" s="461"/>
    </row>
    <row r="541" spans="1:2">
      <c r="A541" s="461"/>
      <c r="B541" s="461"/>
    </row>
    <row r="542" spans="1:2">
      <c r="A542" s="461"/>
      <c r="B542" s="461"/>
    </row>
    <row r="543" spans="1:2">
      <c r="A543" s="461"/>
      <c r="B543" s="461"/>
    </row>
    <row r="544" spans="1:2">
      <c r="A544" s="461"/>
      <c r="B544" s="461"/>
    </row>
    <row r="545" spans="1:2">
      <c r="A545" s="461"/>
      <c r="B545" s="461"/>
    </row>
    <row r="546" spans="1:2">
      <c r="A546" s="461"/>
      <c r="B546" s="461"/>
    </row>
    <row r="547" spans="1:2">
      <c r="A547" s="461"/>
      <c r="B547" s="461"/>
    </row>
    <row r="548" spans="1:2">
      <c r="A548" s="461"/>
      <c r="B548" s="461"/>
    </row>
    <row r="549" spans="1:2">
      <c r="A549" s="461"/>
      <c r="B549" s="461"/>
    </row>
    <row r="550" spans="1:2">
      <c r="A550" s="461"/>
      <c r="B550" s="461"/>
    </row>
    <row r="551" spans="1:2">
      <c r="A551" s="461"/>
      <c r="B551" s="461"/>
    </row>
    <row r="552" spans="1:2">
      <c r="A552" s="461"/>
      <c r="B552" s="461"/>
    </row>
    <row r="553" spans="1:2">
      <c r="A553" s="461"/>
      <c r="B553" s="461"/>
    </row>
    <row r="554" spans="1:2">
      <c r="A554" s="461"/>
      <c r="B554" s="461"/>
    </row>
    <row r="555" spans="1:2">
      <c r="A555" s="461"/>
      <c r="B555" s="461"/>
    </row>
    <row r="556" spans="1:2">
      <c r="A556" s="461"/>
      <c r="B556" s="461"/>
    </row>
    <row r="557" spans="1:2">
      <c r="A557" s="461"/>
      <c r="B557" s="461"/>
    </row>
    <row r="558" spans="1:2">
      <c r="A558" s="461"/>
      <c r="B558" s="461"/>
    </row>
    <row r="559" spans="1:2">
      <c r="A559" s="461"/>
      <c r="B559" s="461"/>
    </row>
    <row r="560" spans="1:2">
      <c r="A560" s="461"/>
      <c r="B560" s="461"/>
    </row>
    <row r="561" spans="1:2">
      <c r="A561" s="461"/>
      <c r="B561" s="461"/>
    </row>
    <row r="562" spans="1:2">
      <c r="A562" s="461"/>
      <c r="B562" s="461"/>
    </row>
    <row r="563" spans="1:2">
      <c r="A563" s="461"/>
      <c r="B563" s="461"/>
    </row>
    <row r="564" spans="1:2">
      <c r="A564" s="461"/>
      <c r="B564" s="461"/>
    </row>
    <row r="565" spans="1:2">
      <c r="A565" s="461"/>
      <c r="B565" s="461"/>
    </row>
    <row r="566" spans="1:2">
      <c r="A566" s="461"/>
      <c r="B566" s="461"/>
    </row>
    <row r="567" spans="1:2">
      <c r="A567" s="461"/>
      <c r="B567" s="461"/>
    </row>
    <row r="568" spans="1:2">
      <c r="A568" s="461"/>
      <c r="B568" s="461"/>
    </row>
    <row r="569" spans="1:2">
      <c r="A569" s="461"/>
      <c r="B569" s="461"/>
    </row>
    <row r="570" spans="1:2">
      <c r="A570" s="461"/>
      <c r="B570" s="461"/>
    </row>
    <row r="571" spans="1:2">
      <c r="A571" s="461"/>
      <c r="B571" s="461"/>
    </row>
    <row r="572" spans="1:2">
      <c r="A572" s="461"/>
      <c r="B572" s="461"/>
    </row>
    <row r="573" spans="1:2">
      <c r="A573" s="461"/>
      <c r="B573" s="461"/>
    </row>
    <row r="574" spans="1:2">
      <c r="A574" s="461"/>
      <c r="B574" s="461"/>
    </row>
    <row r="575" spans="1:2">
      <c r="A575" s="461"/>
      <c r="B575" s="461"/>
    </row>
    <row r="576" spans="1:2">
      <c r="A576" s="461"/>
      <c r="B576" s="461"/>
    </row>
    <row r="577" spans="1:2">
      <c r="A577" s="461"/>
      <c r="B577" s="461"/>
    </row>
    <row r="578" spans="1:2">
      <c r="A578" s="461"/>
      <c r="B578" s="461"/>
    </row>
    <row r="579" spans="1:2">
      <c r="A579" s="461"/>
      <c r="B579" s="461"/>
    </row>
    <row r="580" spans="1:2">
      <c r="A580" s="461"/>
      <c r="B580" s="461"/>
    </row>
    <row r="581" spans="1:2">
      <c r="A581" s="461"/>
      <c r="B581" s="461"/>
    </row>
    <row r="582" spans="1:2">
      <c r="A582" s="461"/>
      <c r="B582" s="461"/>
    </row>
    <row r="583" spans="1:2">
      <c r="A583" s="461"/>
      <c r="B583" s="461"/>
    </row>
    <row r="584" spans="1:2">
      <c r="A584" s="461"/>
      <c r="B584" s="461"/>
    </row>
    <row r="585" spans="1:2">
      <c r="A585" s="461"/>
      <c r="B585" s="461"/>
    </row>
    <row r="586" spans="1:2">
      <c r="A586" s="461"/>
      <c r="B586" s="461"/>
    </row>
    <row r="587" spans="1:2">
      <c r="A587" s="461"/>
      <c r="B587" s="461"/>
    </row>
    <row r="588" spans="1:2">
      <c r="A588" s="461"/>
      <c r="B588" s="461"/>
    </row>
    <row r="589" spans="1:2">
      <c r="A589" s="461"/>
      <c r="B589" s="461"/>
    </row>
    <row r="590" spans="1:2">
      <c r="A590" s="461"/>
      <c r="B590" s="461"/>
    </row>
    <row r="591" spans="1:2">
      <c r="A591" s="461"/>
      <c r="B591" s="461"/>
    </row>
    <row r="592" spans="1:2">
      <c r="A592" s="461"/>
      <c r="B592" s="461"/>
    </row>
    <row r="593" spans="1:2">
      <c r="A593" s="461"/>
      <c r="B593" s="461"/>
    </row>
    <row r="594" spans="1:2">
      <c r="A594" s="461"/>
      <c r="B594" s="461"/>
    </row>
    <row r="595" spans="1:2">
      <c r="A595" s="461"/>
      <c r="B595" s="461"/>
    </row>
    <row r="596" spans="1:2">
      <c r="A596" s="461"/>
      <c r="B596" s="461"/>
    </row>
    <row r="597" spans="1:2">
      <c r="A597" s="461"/>
      <c r="B597" s="461"/>
    </row>
    <row r="598" spans="1:2">
      <c r="A598" s="461"/>
      <c r="B598" s="461"/>
    </row>
    <row r="599" spans="1:2">
      <c r="A599" s="461"/>
      <c r="B599" s="461"/>
    </row>
    <row r="600" spans="1:2">
      <c r="A600" s="461"/>
      <c r="B600" s="461"/>
    </row>
    <row r="601" spans="1:2">
      <c r="A601" s="461"/>
      <c r="B601" s="461"/>
    </row>
    <row r="602" spans="1:2">
      <c r="A602" s="461"/>
      <c r="B602" s="461"/>
    </row>
    <row r="603" spans="1:2">
      <c r="A603" s="461"/>
      <c r="B603" s="461"/>
    </row>
    <row r="604" spans="1:2">
      <c r="A604" s="461"/>
      <c r="B604" s="461"/>
    </row>
    <row r="605" spans="1:2">
      <c r="A605" s="461"/>
      <c r="B605" s="461"/>
    </row>
    <row r="606" spans="1:2">
      <c r="A606" s="461"/>
      <c r="B606" s="461"/>
    </row>
    <row r="607" spans="1:2">
      <c r="A607" s="461"/>
      <c r="B607" s="461"/>
    </row>
    <row r="608" spans="1:2">
      <c r="A608" s="461"/>
      <c r="B608" s="461"/>
    </row>
    <row r="609" spans="1:2">
      <c r="A609" s="461"/>
      <c r="B609" s="461"/>
    </row>
    <row r="610" spans="1:2">
      <c r="A610" s="461"/>
      <c r="B610" s="461"/>
    </row>
    <row r="611" spans="1:2">
      <c r="A611" s="461"/>
      <c r="B611" s="461"/>
    </row>
    <row r="612" spans="1:2">
      <c r="A612" s="461"/>
      <c r="B612" s="461"/>
    </row>
    <row r="613" spans="1:2">
      <c r="A613" s="461"/>
      <c r="B613" s="461"/>
    </row>
    <row r="614" spans="1:2">
      <c r="A614" s="461"/>
      <c r="B614" s="461"/>
    </row>
    <row r="615" spans="1:2">
      <c r="A615" s="461"/>
      <c r="B615" s="461"/>
    </row>
    <row r="616" spans="1:2">
      <c r="A616" s="461"/>
      <c r="B616" s="461"/>
    </row>
    <row r="617" spans="1:2">
      <c r="A617" s="461"/>
      <c r="B617" s="461"/>
    </row>
    <row r="618" spans="1:2">
      <c r="A618" s="461"/>
      <c r="B618" s="461"/>
    </row>
    <row r="619" spans="1:2">
      <c r="A619" s="461"/>
      <c r="B619" s="461"/>
    </row>
    <row r="620" spans="1:2">
      <c r="A620" s="461"/>
      <c r="B620" s="461"/>
    </row>
    <row r="621" spans="1:2">
      <c r="A621" s="461"/>
      <c r="B621" s="461"/>
    </row>
    <row r="622" spans="1:2">
      <c r="A622" s="461"/>
      <c r="B622" s="461"/>
    </row>
    <row r="623" spans="1:2">
      <c r="A623" s="461"/>
      <c r="B623" s="461"/>
    </row>
    <row r="624" spans="1:2">
      <c r="A624" s="461"/>
      <c r="B624" s="461"/>
    </row>
    <row r="625" spans="1:2">
      <c r="A625" s="461"/>
      <c r="B625" s="461"/>
    </row>
    <row r="626" spans="1:2">
      <c r="A626" s="461"/>
      <c r="B626" s="461"/>
    </row>
    <row r="627" spans="1:2">
      <c r="A627" s="461"/>
      <c r="B627" s="461"/>
    </row>
    <row r="628" spans="1:2">
      <c r="A628" s="461"/>
      <c r="B628" s="461"/>
    </row>
    <row r="629" spans="1:2">
      <c r="A629" s="461"/>
      <c r="B629" s="461"/>
    </row>
    <row r="630" spans="1:2">
      <c r="A630" s="461"/>
      <c r="B630" s="461"/>
    </row>
    <row r="631" spans="1:2">
      <c r="A631" s="461"/>
      <c r="B631" s="461"/>
    </row>
    <row r="632" spans="1:2">
      <c r="A632" s="461"/>
      <c r="B632" s="461"/>
    </row>
    <row r="633" spans="1:2">
      <c r="A633" s="461"/>
      <c r="B633" s="461"/>
    </row>
    <row r="634" spans="1:2">
      <c r="A634" s="461"/>
      <c r="B634" s="461"/>
    </row>
    <row r="635" spans="1:2">
      <c r="A635" s="461"/>
      <c r="B635" s="461"/>
    </row>
    <row r="636" spans="1:2">
      <c r="A636" s="461"/>
      <c r="B636" s="461"/>
    </row>
    <row r="637" spans="1:2">
      <c r="A637" s="461"/>
      <c r="B637" s="461"/>
    </row>
    <row r="638" spans="1:2">
      <c r="A638" s="461"/>
      <c r="B638" s="461"/>
    </row>
    <row r="639" spans="1:2">
      <c r="A639" s="461"/>
      <c r="B639" s="461"/>
    </row>
    <row r="640" spans="1:2">
      <c r="A640" s="461"/>
      <c r="B640" s="461"/>
    </row>
    <row r="641" spans="1:2">
      <c r="A641" s="461"/>
      <c r="B641" s="461"/>
    </row>
    <row r="642" spans="1:2">
      <c r="A642" s="461"/>
      <c r="B642" s="461"/>
    </row>
    <row r="643" spans="1:2">
      <c r="A643" s="461"/>
      <c r="B643" s="461"/>
    </row>
    <row r="644" spans="1:2">
      <c r="A644" s="461"/>
      <c r="B644" s="461"/>
    </row>
    <row r="645" spans="1:2">
      <c r="A645" s="461"/>
      <c r="B645" s="461"/>
    </row>
    <row r="646" spans="1:2">
      <c r="A646" s="461"/>
      <c r="B646" s="461"/>
    </row>
    <row r="647" spans="1:2">
      <c r="A647" s="461"/>
      <c r="B647" s="461"/>
    </row>
    <row r="648" spans="1:2">
      <c r="A648" s="461"/>
      <c r="B648" s="461"/>
    </row>
    <row r="649" spans="1:2">
      <c r="A649" s="461"/>
      <c r="B649" s="461"/>
    </row>
    <row r="650" spans="1:2">
      <c r="A650" s="461"/>
      <c r="B650" s="461"/>
    </row>
    <row r="651" spans="1:2">
      <c r="A651" s="461"/>
      <c r="B651" s="461"/>
    </row>
    <row r="652" spans="1:2">
      <c r="A652" s="461"/>
      <c r="B652" s="461"/>
    </row>
    <row r="653" spans="1:2">
      <c r="A653" s="461"/>
      <c r="B653" s="461"/>
    </row>
    <row r="654" spans="1:2">
      <c r="A654" s="461"/>
      <c r="B654" s="461"/>
    </row>
    <row r="655" spans="1:2">
      <c r="A655" s="461"/>
      <c r="B655" s="461"/>
    </row>
    <row r="656" spans="1:2">
      <c r="A656" s="461"/>
      <c r="B656" s="461"/>
    </row>
    <row r="657" spans="1:2">
      <c r="A657" s="461"/>
      <c r="B657" s="461"/>
    </row>
    <row r="658" spans="1:2">
      <c r="A658" s="461"/>
      <c r="B658" s="461"/>
    </row>
    <row r="659" spans="1:2">
      <c r="A659" s="461"/>
      <c r="B659" s="461"/>
    </row>
    <row r="660" spans="1:2">
      <c r="A660" s="461"/>
      <c r="B660" s="461"/>
    </row>
    <row r="661" spans="1:2">
      <c r="A661" s="461"/>
      <c r="B661" s="461"/>
    </row>
    <row r="662" spans="1:2">
      <c r="A662" s="461"/>
      <c r="B662" s="461"/>
    </row>
    <row r="663" spans="1:2">
      <c r="A663" s="461"/>
      <c r="B663" s="461"/>
    </row>
    <row r="664" spans="1:2">
      <c r="A664" s="461"/>
      <c r="B664" s="461"/>
    </row>
    <row r="665" spans="1:2">
      <c r="A665" s="461"/>
      <c r="B665" s="461"/>
    </row>
    <row r="666" spans="1:2">
      <c r="A666" s="461"/>
      <c r="B666" s="461"/>
    </row>
    <row r="667" spans="1:2">
      <c r="A667" s="461"/>
      <c r="B667" s="461"/>
    </row>
    <row r="668" spans="1:2">
      <c r="A668" s="461"/>
      <c r="B668" s="461"/>
    </row>
    <row r="669" spans="1:2">
      <c r="A669" s="461"/>
      <c r="B669" s="461"/>
    </row>
    <row r="670" spans="1:2">
      <c r="A670" s="461"/>
      <c r="B670" s="461"/>
    </row>
    <row r="671" spans="1:2">
      <c r="A671" s="461"/>
      <c r="B671" s="461"/>
    </row>
    <row r="672" spans="1:2">
      <c r="A672" s="461"/>
      <c r="B672" s="461"/>
    </row>
    <row r="673" spans="1:2">
      <c r="A673" s="461"/>
      <c r="B673" s="461"/>
    </row>
    <row r="674" spans="1:2">
      <c r="A674" s="461"/>
      <c r="B674" s="461"/>
    </row>
    <row r="675" spans="1:2">
      <c r="A675" s="461"/>
      <c r="B675" s="461"/>
    </row>
    <row r="676" spans="1:2">
      <c r="A676" s="461"/>
      <c r="B676" s="461"/>
    </row>
    <row r="677" spans="1:2">
      <c r="A677" s="461"/>
      <c r="B677" s="461"/>
    </row>
    <row r="678" spans="1:2">
      <c r="A678" s="461"/>
      <c r="B678" s="461"/>
    </row>
    <row r="679" spans="1:2">
      <c r="A679" s="461"/>
      <c r="B679" s="461"/>
    </row>
    <row r="680" spans="1:2">
      <c r="A680" s="461"/>
      <c r="B680" s="461"/>
    </row>
    <row r="681" spans="1:2">
      <c r="A681" s="461"/>
      <c r="B681" s="461"/>
    </row>
    <row r="682" spans="1:2">
      <c r="A682" s="461"/>
      <c r="B682" s="461"/>
    </row>
    <row r="683" spans="1:2">
      <c r="A683" s="461"/>
      <c r="B683" s="461"/>
    </row>
    <row r="684" spans="1:2">
      <c r="A684" s="461"/>
      <c r="B684" s="461"/>
    </row>
    <row r="685" spans="1:2">
      <c r="A685" s="461"/>
      <c r="B685" s="461"/>
    </row>
    <row r="686" spans="1:2">
      <c r="A686" s="461"/>
      <c r="B686" s="461"/>
    </row>
    <row r="687" spans="1:2">
      <c r="A687" s="461"/>
      <c r="B687" s="461"/>
    </row>
    <row r="688" spans="1:2">
      <c r="A688" s="461"/>
      <c r="B688" s="461"/>
    </row>
    <row r="689" spans="1:2">
      <c r="A689" s="461"/>
      <c r="B689" s="461"/>
    </row>
    <row r="690" spans="1:2">
      <c r="A690" s="461"/>
      <c r="B690" s="461"/>
    </row>
    <row r="691" spans="1:2">
      <c r="A691" s="461"/>
      <c r="B691" s="461"/>
    </row>
    <row r="692" spans="1:2">
      <c r="A692" s="461"/>
      <c r="B692" s="461"/>
    </row>
    <row r="693" spans="1:2">
      <c r="A693" s="461"/>
      <c r="B693" s="461"/>
    </row>
    <row r="694" spans="1:2">
      <c r="A694" s="461"/>
      <c r="B694" s="461"/>
    </row>
    <row r="695" spans="1:2">
      <c r="A695" s="461"/>
      <c r="B695" s="461"/>
    </row>
    <row r="696" spans="1:2">
      <c r="A696" s="461"/>
      <c r="B696" s="461"/>
    </row>
    <row r="697" spans="1:2">
      <c r="A697" s="461"/>
      <c r="B697" s="461"/>
    </row>
    <row r="698" spans="1:2">
      <c r="A698" s="461"/>
      <c r="B698" s="461"/>
    </row>
    <row r="699" spans="1:2">
      <c r="A699" s="461"/>
      <c r="B699" s="461"/>
    </row>
    <row r="700" spans="1:2">
      <c r="A700" s="461"/>
      <c r="B700" s="461"/>
    </row>
    <row r="701" spans="1:2">
      <c r="A701" s="461"/>
      <c r="B701" s="461"/>
    </row>
    <row r="702" spans="1:2">
      <c r="A702" s="461"/>
      <c r="B702" s="461"/>
    </row>
    <row r="703" spans="1:2">
      <c r="A703" s="461"/>
      <c r="B703" s="461"/>
    </row>
    <row r="704" spans="1:2">
      <c r="A704" s="461"/>
      <c r="B704" s="461"/>
    </row>
    <row r="705" spans="1:2">
      <c r="A705" s="461"/>
      <c r="B705" s="461"/>
    </row>
    <row r="706" spans="1:2">
      <c r="A706" s="461"/>
      <c r="B706" s="461"/>
    </row>
    <row r="707" spans="1:2">
      <c r="A707" s="461"/>
      <c r="B707" s="461"/>
    </row>
    <row r="708" spans="1:2">
      <c r="A708" s="461"/>
      <c r="B708" s="461"/>
    </row>
    <row r="709" spans="1:2">
      <c r="A709" s="461"/>
      <c r="B709" s="461"/>
    </row>
    <row r="710" spans="1:2">
      <c r="A710" s="461"/>
      <c r="B710" s="461"/>
    </row>
    <row r="711" spans="1:2">
      <c r="A711" s="461"/>
      <c r="B711" s="461"/>
    </row>
    <row r="712" spans="1:2">
      <c r="A712" s="461"/>
      <c r="B712" s="461"/>
    </row>
    <row r="713" spans="1:2">
      <c r="A713" s="461"/>
      <c r="B713" s="461"/>
    </row>
    <row r="714" spans="1:2">
      <c r="A714" s="461"/>
      <c r="B714" s="461"/>
    </row>
    <row r="715" spans="1:2">
      <c r="A715" s="461"/>
      <c r="B715" s="461"/>
    </row>
    <row r="716" spans="1:2">
      <c r="A716" s="461"/>
      <c r="B716" s="461"/>
    </row>
    <row r="717" spans="1:2">
      <c r="A717" s="461"/>
      <c r="B717" s="461"/>
    </row>
    <row r="718" spans="1:2">
      <c r="A718" s="461"/>
      <c r="B718" s="461"/>
    </row>
    <row r="719" spans="1:2">
      <c r="A719" s="461"/>
      <c r="B719" s="461"/>
    </row>
    <row r="720" spans="1:2">
      <c r="A720" s="461"/>
      <c r="B720" s="461"/>
    </row>
    <row r="721" spans="1:2">
      <c r="A721" s="461"/>
      <c r="B721" s="461"/>
    </row>
    <row r="722" spans="1:2">
      <c r="A722" s="461"/>
      <c r="B722" s="461"/>
    </row>
    <row r="723" spans="1:2">
      <c r="A723" s="461"/>
      <c r="B723" s="461"/>
    </row>
    <row r="724" spans="1:2">
      <c r="A724" s="461"/>
      <c r="B724" s="461"/>
    </row>
    <row r="725" spans="1:2">
      <c r="A725" s="461"/>
      <c r="B725" s="461"/>
    </row>
    <row r="726" spans="1:2">
      <c r="A726" s="461"/>
      <c r="B726" s="461"/>
    </row>
    <row r="727" spans="1:2">
      <c r="A727" s="461"/>
      <c r="B727" s="461"/>
    </row>
    <row r="728" spans="1:2">
      <c r="A728" s="461"/>
      <c r="B728" s="461"/>
    </row>
    <row r="729" spans="1:2">
      <c r="A729" s="461"/>
      <c r="B729" s="461"/>
    </row>
    <row r="730" spans="1:2">
      <c r="A730" s="461"/>
      <c r="B730" s="461"/>
    </row>
    <row r="731" spans="1:2">
      <c r="A731" s="461"/>
      <c r="B731" s="461"/>
    </row>
    <row r="732" spans="1:2">
      <c r="A732" s="461"/>
      <c r="B732" s="461"/>
    </row>
    <row r="733" spans="1:2">
      <c r="A733" s="461"/>
      <c r="B733" s="461"/>
    </row>
    <row r="734" spans="1:2">
      <c r="A734" s="461"/>
      <c r="B734" s="461"/>
    </row>
    <row r="735" spans="1:2">
      <c r="A735" s="461"/>
      <c r="B735" s="461"/>
    </row>
    <row r="736" spans="1:2">
      <c r="A736" s="461"/>
      <c r="B736" s="461"/>
    </row>
    <row r="737" spans="1:2">
      <c r="A737" s="461"/>
      <c r="B737" s="461"/>
    </row>
    <row r="738" spans="1:2">
      <c r="A738" s="461"/>
      <c r="B738" s="461"/>
    </row>
    <row r="739" spans="1:2">
      <c r="A739" s="461"/>
      <c r="B739" s="461"/>
    </row>
    <row r="740" spans="1:2">
      <c r="A740" s="461"/>
      <c r="B740" s="461"/>
    </row>
    <row r="741" spans="1:2">
      <c r="A741" s="461"/>
      <c r="B741" s="461"/>
    </row>
    <row r="742" spans="1:2">
      <c r="A742" s="461"/>
      <c r="B742" s="461"/>
    </row>
    <row r="743" spans="1:2">
      <c r="A743" s="461"/>
      <c r="B743" s="461"/>
    </row>
    <row r="744" spans="1:2">
      <c r="A744" s="461"/>
      <c r="B744" s="461"/>
    </row>
    <row r="745" spans="1:2">
      <c r="A745" s="461"/>
      <c r="B745" s="461"/>
    </row>
    <row r="746" spans="1:2">
      <c r="A746" s="461"/>
      <c r="B746" s="461"/>
    </row>
    <row r="747" spans="1:2">
      <c r="A747" s="461"/>
      <c r="B747" s="461"/>
    </row>
    <row r="748" spans="1:2">
      <c r="A748" s="461"/>
      <c r="B748" s="461"/>
    </row>
    <row r="749" spans="1:2">
      <c r="A749" s="461"/>
      <c r="B749" s="461"/>
    </row>
    <row r="750" spans="1:2">
      <c r="A750" s="461"/>
      <c r="B750" s="461"/>
    </row>
    <row r="751" spans="1:2">
      <c r="A751" s="461"/>
      <c r="B751" s="461"/>
    </row>
    <row r="752" spans="1:2">
      <c r="A752" s="461"/>
      <c r="B752" s="461"/>
    </row>
    <row r="753" spans="1:2">
      <c r="A753" s="461"/>
      <c r="B753" s="461"/>
    </row>
    <row r="754" spans="1:2">
      <c r="A754" s="461"/>
      <c r="B754" s="461"/>
    </row>
    <row r="755" spans="1:2">
      <c r="A755" s="461"/>
      <c r="B755" s="461"/>
    </row>
    <row r="756" spans="1:2">
      <c r="A756" s="461"/>
      <c r="B756" s="461"/>
    </row>
    <row r="757" spans="1:2">
      <c r="A757" s="461"/>
      <c r="B757" s="461"/>
    </row>
    <row r="758" spans="1:2">
      <c r="A758" s="461"/>
      <c r="B758" s="461"/>
    </row>
    <row r="759" spans="1:2">
      <c r="A759" s="461"/>
      <c r="B759" s="461"/>
    </row>
    <row r="760" spans="1:2">
      <c r="A760" s="461"/>
      <c r="B760" s="461"/>
    </row>
    <row r="761" spans="1:2">
      <c r="A761" s="461"/>
      <c r="B761" s="461"/>
    </row>
    <row r="762" spans="1:2">
      <c r="A762" s="461"/>
      <c r="B762" s="461"/>
    </row>
    <row r="763" spans="1:2">
      <c r="A763" s="461"/>
      <c r="B763" s="461"/>
    </row>
    <row r="764" spans="1:2">
      <c r="A764" s="461"/>
      <c r="B764" s="461"/>
    </row>
    <row r="765" spans="1:2">
      <c r="A765" s="461"/>
      <c r="B765" s="461"/>
    </row>
    <row r="766" spans="1:2">
      <c r="A766" s="461"/>
      <c r="B766" s="461"/>
    </row>
    <row r="767" spans="1:2">
      <c r="A767" s="461"/>
      <c r="B767" s="461"/>
    </row>
    <row r="768" spans="1:2">
      <c r="A768" s="461"/>
      <c r="B768" s="461"/>
    </row>
    <row r="769" spans="1:2">
      <c r="A769" s="461"/>
      <c r="B769" s="461"/>
    </row>
    <row r="770" spans="1:2">
      <c r="A770" s="461"/>
      <c r="B770" s="461"/>
    </row>
    <row r="771" spans="1:2">
      <c r="A771" s="461"/>
      <c r="B771" s="461"/>
    </row>
    <row r="772" spans="1:2">
      <c r="A772" s="461"/>
      <c r="B772" s="461"/>
    </row>
    <row r="773" spans="1:2">
      <c r="A773" s="461"/>
      <c r="B773" s="461"/>
    </row>
    <row r="774" spans="1:2">
      <c r="A774" s="461"/>
      <c r="B774" s="461"/>
    </row>
    <row r="775" spans="1:2">
      <c r="A775" s="461"/>
      <c r="B775" s="461"/>
    </row>
    <row r="776" spans="1:2">
      <c r="A776" s="461"/>
      <c r="B776" s="461"/>
    </row>
    <row r="777" spans="1:2">
      <c r="A777" s="461"/>
      <c r="B777" s="461"/>
    </row>
    <row r="778" spans="1:2">
      <c r="A778" s="461"/>
      <c r="B778" s="461"/>
    </row>
    <row r="779" spans="1:2">
      <c r="A779" s="461"/>
      <c r="B779" s="461"/>
    </row>
    <row r="780" spans="1:2">
      <c r="A780" s="461"/>
      <c r="B780" s="461"/>
    </row>
    <row r="781" spans="1:2">
      <c r="A781" s="461"/>
      <c r="B781" s="461"/>
    </row>
    <row r="782" spans="1:2">
      <c r="A782" s="461"/>
      <c r="B782" s="461"/>
    </row>
    <row r="783" spans="1:2">
      <c r="A783" s="461"/>
      <c r="B783" s="461"/>
    </row>
    <row r="784" spans="1:2">
      <c r="A784" s="461"/>
      <c r="B784" s="461"/>
    </row>
    <row r="785" spans="1:2">
      <c r="A785" s="461"/>
      <c r="B785" s="461"/>
    </row>
    <row r="786" spans="1:2">
      <c r="A786" s="461"/>
      <c r="B786" s="461"/>
    </row>
    <row r="787" spans="1:2">
      <c r="A787" s="461"/>
      <c r="B787" s="461"/>
    </row>
    <row r="788" spans="1:2">
      <c r="A788" s="461"/>
      <c r="B788" s="461"/>
    </row>
    <row r="789" spans="1:2">
      <c r="A789" s="461"/>
      <c r="B789" s="461"/>
    </row>
    <row r="790" spans="1:2">
      <c r="A790" s="461"/>
      <c r="B790" s="461"/>
    </row>
    <row r="791" spans="1:2">
      <c r="A791" s="461"/>
      <c r="B791" s="461"/>
    </row>
    <row r="792" spans="1:2">
      <c r="A792" s="461"/>
      <c r="B792" s="461"/>
    </row>
    <row r="793" spans="1:2">
      <c r="A793" s="461"/>
      <c r="B793" s="461"/>
    </row>
    <row r="794" spans="1:2">
      <c r="A794" s="461"/>
      <c r="B794" s="461"/>
    </row>
    <row r="795" spans="1:2">
      <c r="A795" s="461"/>
      <c r="B795" s="461"/>
    </row>
    <row r="796" spans="1:2">
      <c r="A796" s="461"/>
      <c r="B796" s="461"/>
    </row>
    <row r="797" spans="1:2">
      <c r="A797" s="461"/>
      <c r="B797" s="461"/>
    </row>
    <row r="798" spans="1:2">
      <c r="A798" s="461"/>
      <c r="B798" s="461"/>
    </row>
    <row r="799" spans="1:2">
      <c r="A799" s="461"/>
      <c r="B799" s="461"/>
    </row>
    <row r="800" spans="1:2">
      <c r="A800" s="461"/>
      <c r="B800" s="461"/>
    </row>
    <row r="801" spans="1:2">
      <c r="A801" s="461"/>
      <c r="B801" s="461"/>
    </row>
    <row r="802" spans="1:2">
      <c r="A802" s="461"/>
      <c r="B802" s="461"/>
    </row>
    <row r="803" spans="1:2">
      <c r="A803" s="461"/>
      <c r="B803" s="461"/>
    </row>
    <row r="804" spans="1:2">
      <c r="A804" s="461"/>
      <c r="B804" s="461"/>
    </row>
    <row r="805" spans="1:2">
      <c r="A805" s="461"/>
      <c r="B805" s="461"/>
    </row>
    <row r="806" spans="1:2">
      <c r="A806" s="461"/>
      <c r="B806" s="461"/>
    </row>
    <row r="807" spans="1:2">
      <c r="A807" s="461"/>
      <c r="B807" s="461"/>
    </row>
    <row r="808" spans="1:2">
      <c r="A808" s="461"/>
      <c r="B808" s="461"/>
    </row>
    <row r="809" spans="1:2">
      <c r="A809" s="461"/>
      <c r="B809" s="461"/>
    </row>
    <row r="810" spans="1:2">
      <c r="A810" s="461"/>
      <c r="B810" s="461"/>
    </row>
    <row r="811" spans="1:2">
      <c r="A811" s="461"/>
      <c r="B811" s="461"/>
    </row>
    <row r="812" spans="1:2">
      <c r="A812" s="461"/>
      <c r="B812" s="461"/>
    </row>
    <row r="813" spans="1:2">
      <c r="A813" s="461"/>
      <c r="B813" s="461"/>
    </row>
    <row r="814" spans="1:2">
      <c r="A814" s="461"/>
      <c r="B814" s="461"/>
    </row>
    <row r="815" spans="1:2">
      <c r="A815" s="461"/>
      <c r="B815" s="461"/>
    </row>
    <row r="816" spans="1:2">
      <c r="A816" s="461"/>
      <c r="B816" s="461"/>
    </row>
    <row r="817" spans="1:2">
      <c r="A817" s="461"/>
      <c r="B817" s="461"/>
    </row>
    <row r="818" spans="1:2">
      <c r="A818" s="461"/>
      <c r="B818" s="461"/>
    </row>
    <row r="819" spans="1:2">
      <c r="A819" s="461"/>
      <c r="B819" s="461"/>
    </row>
    <row r="820" spans="1:2">
      <c r="A820" s="461"/>
      <c r="B820" s="461"/>
    </row>
    <row r="821" spans="1:2">
      <c r="A821" s="461"/>
      <c r="B821" s="461"/>
    </row>
    <row r="822" spans="1:2">
      <c r="A822" s="461"/>
      <c r="B822" s="461"/>
    </row>
    <row r="823" spans="1:2">
      <c r="A823" s="461"/>
      <c r="B823" s="461"/>
    </row>
    <row r="824" spans="1:2">
      <c r="A824" s="461"/>
      <c r="B824" s="461"/>
    </row>
    <row r="825" spans="1:2">
      <c r="A825" s="461"/>
      <c r="B825" s="461"/>
    </row>
    <row r="826" spans="1:2">
      <c r="A826" s="461"/>
      <c r="B826" s="461"/>
    </row>
    <row r="827" spans="1:2">
      <c r="A827" s="461"/>
      <c r="B827" s="461"/>
    </row>
    <row r="828" spans="1:2">
      <c r="A828" s="461"/>
      <c r="B828" s="461"/>
    </row>
    <row r="829" spans="1:2">
      <c r="A829" s="461"/>
      <c r="B829" s="461"/>
    </row>
    <row r="830" spans="1:2">
      <c r="A830" s="461"/>
      <c r="B830" s="461"/>
    </row>
    <row r="831" spans="1:2">
      <c r="A831" s="461"/>
      <c r="B831" s="461"/>
    </row>
    <row r="832" spans="1:2">
      <c r="A832" s="461"/>
      <c r="B832" s="461"/>
    </row>
    <row r="833" spans="1:2">
      <c r="A833" s="461"/>
      <c r="B833" s="461"/>
    </row>
    <row r="834" spans="1:2">
      <c r="A834" s="461"/>
      <c r="B834" s="461"/>
    </row>
    <row r="835" spans="1:2">
      <c r="A835" s="461"/>
      <c r="B835" s="461"/>
    </row>
    <row r="836" spans="1:2">
      <c r="A836" s="461"/>
      <c r="B836" s="461"/>
    </row>
    <row r="837" spans="1:2">
      <c r="A837" s="461"/>
      <c r="B837" s="461"/>
    </row>
    <row r="838" spans="1:2">
      <c r="A838" s="461"/>
      <c r="B838" s="461"/>
    </row>
    <row r="839" spans="1:2">
      <c r="A839" s="461"/>
      <c r="B839" s="461"/>
    </row>
    <row r="840" spans="1:2">
      <c r="A840" s="461"/>
      <c r="B840" s="461"/>
    </row>
    <row r="841" spans="1:2">
      <c r="A841" s="461"/>
      <c r="B841" s="461"/>
    </row>
    <row r="842" spans="1:2">
      <c r="A842" s="461"/>
      <c r="B842" s="461"/>
    </row>
    <row r="843" spans="1:2">
      <c r="A843" s="461"/>
      <c r="B843" s="461"/>
    </row>
    <row r="844" spans="1:2">
      <c r="A844" s="461"/>
      <c r="B844" s="461"/>
    </row>
    <row r="845" spans="1:2">
      <c r="A845" s="461"/>
      <c r="B845" s="461"/>
    </row>
    <row r="846" spans="1:2">
      <c r="A846" s="461"/>
      <c r="B846" s="461"/>
    </row>
    <row r="847" spans="1:2">
      <c r="A847" s="461"/>
      <c r="B847" s="461"/>
    </row>
    <row r="848" spans="1:2">
      <c r="A848" s="461"/>
      <c r="B848" s="461"/>
    </row>
    <row r="849" spans="1:2">
      <c r="A849" s="461"/>
      <c r="B849" s="461"/>
    </row>
    <row r="850" spans="1:2">
      <c r="A850" s="461"/>
      <c r="B850" s="461"/>
    </row>
    <row r="851" spans="1:2">
      <c r="A851" s="461"/>
      <c r="B851" s="461"/>
    </row>
    <row r="852" spans="1:2">
      <c r="A852" s="461"/>
      <c r="B852" s="461"/>
    </row>
    <row r="853" spans="1:2">
      <c r="A853" s="461"/>
      <c r="B853" s="461"/>
    </row>
    <row r="854" spans="1:2">
      <c r="A854" s="461"/>
      <c r="B854" s="461"/>
    </row>
    <row r="855" spans="1:2">
      <c r="A855" s="461"/>
      <c r="B855" s="461"/>
    </row>
    <row r="856" spans="1:2">
      <c r="A856" s="461"/>
      <c r="B856" s="461"/>
    </row>
    <row r="857" spans="1:2">
      <c r="A857" s="461"/>
      <c r="B857" s="461"/>
    </row>
    <row r="858" spans="1:2">
      <c r="A858" s="461"/>
      <c r="B858" s="461"/>
    </row>
    <row r="859" spans="1:2">
      <c r="A859" s="461"/>
      <c r="B859" s="461"/>
    </row>
    <row r="860" spans="1:2">
      <c r="A860" s="461"/>
      <c r="B860" s="461"/>
    </row>
    <row r="861" spans="1:2">
      <c r="A861" s="461"/>
      <c r="B861" s="461"/>
    </row>
    <row r="862" spans="1:2">
      <c r="A862" s="461"/>
      <c r="B862" s="461"/>
    </row>
    <row r="863" spans="1:2">
      <c r="A863" s="461"/>
      <c r="B863" s="461"/>
    </row>
    <row r="864" spans="1:2">
      <c r="A864" s="461"/>
      <c r="B864" s="461"/>
    </row>
    <row r="865" spans="1:2">
      <c r="A865" s="461"/>
      <c r="B865" s="461"/>
    </row>
    <row r="866" spans="1:2">
      <c r="A866" s="461"/>
      <c r="B866" s="461"/>
    </row>
    <row r="867" spans="1:2">
      <c r="A867" s="461"/>
      <c r="B867" s="461"/>
    </row>
    <row r="868" spans="1:2">
      <c r="A868" s="461"/>
      <c r="B868" s="461"/>
    </row>
    <row r="869" spans="1:2">
      <c r="A869" s="461"/>
      <c r="B869" s="461"/>
    </row>
    <row r="870" spans="1:2">
      <c r="A870" s="461"/>
      <c r="B870" s="461"/>
    </row>
    <row r="871" spans="1:2">
      <c r="A871" s="461"/>
      <c r="B871" s="461"/>
    </row>
    <row r="872" spans="1:2">
      <c r="A872" s="461"/>
      <c r="B872" s="461"/>
    </row>
    <row r="873" spans="1:2">
      <c r="A873" s="461"/>
      <c r="B873" s="461"/>
    </row>
    <row r="874" spans="1:2">
      <c r="A874" s="461"/>
      <c r="B874" s="461"/>
    </row>
    <row r="875" spans="1:2">
      <c r="A875" s="461"/>
      <c r="B875" s="461"/>
    </row>
    <row r="876" spans="1:2">
      <c r="A876" s="461"/>
      <c r="B876" s="461"/>
    </row>
    <row r="877" spans="1:2">
      <c r="A877" s="461"/>
      <c r="B877" s="461"/>
    </row>
    <row r="878" spans="1:2">
      <c r="A878" s="461"/>
      <c r="B878" s="461"/>
    </row>
    <row r="879" spans="1:2">
      <c r="A879" s="461"/>
      <c r="B879" s="461"/>
    </row>
    <row r="880" spans="1:2">
      <c r="A880" s="461"/>
      <c r="B880" s="461"/>
    </row>
    <row r="881" spans="1:2">
      <c r="A881" s="461"/>
      <c r="B881" s="461"/>
    </row>
    <row r="882" spans="1:2">
      <c r="A882" s="461"/>
      <c r="B882" s="461"/>
    </row>
    <row r="883" spans="1:2">
      <c r="A883" s="461"/>
      <c r="B883" s="461"/>
    </row>
    <row r="884" spans="1:2">
      <c r="A884" s="461"/>
      <c r="B884" s="461"/>
    </row>
    <row r="885" spans="1:2">
      <c r="A885" s="461"/>
      <c r="B885" s="461"/>
    </row>
    <row r="886" spans="1:2">
      <c r="A886" s="461"/>
      <c r="B886" s="461"/>
    </row>
    <row r="887" spans="1:2">
      <c r="A887" s="461"/>
      <c r="B887" s="461"/>
    </row>
    <row r="888" spans="1:2">
      <c r="A888" s="461"/>
      <c r="B888" s="461"/>
    </row>
    <row r="889" spans="1:2">
      <c r="A889" s="461"/>
      <c r="B889" s="461"/>
    </row>
    <row r="890" spans="1:2">
      <c r="A890" s="461"/>
      <c r="B890" s="461"/>
    </row>
    <row r="891" spans="1:2">
      <c r="A891" s="461"/>
      <c r="B891" s="461"/>
    </row>
    <row r="892" spans="1:2">
      <c r="A892" s="461"/>
      <c r="B892" s="461"/>
    </row>
    <row r="893" spans="1:2">
      <c r="A893" s="461"/>
      <c r="B893" s="461"/>
    </row>
    <row r="894" spans="1:2">
      <c r="A894" s="461"/>
      <c r="B894" s="461"/>
    </row>
    <row r="895" spans="1:2">
      <c r="A895" s="461"/>
      <c r="B895" s="461"/>
    </row>
    <row r="896" spans="1:2">
      <c r="A896" s="461"/>
      <c r="B896" s="461"/>
    </row>
    <row r="897" spans="1:2">
      <c r="A897" s="461"/>
      <c r="B897" s="461"/>
    </row>
    <row r="898" spans="1:2">
      <c r="A898" s="461"/>
      <c r="B898" s="461"/>
    </row>
    <row r="899" spans="1:2">
      <c r="A899" s="461"/>
      <c r="B899" s="461"/>
    </row>
    <row r="900" spans="1:2">
      <c r="A900" s="461"/>
      <c r="B900" s="461"/>
    </row>
    <row r="901" spans="1:2">
      <c r="A901" s="461"/>
      <c r="B901" s="461"/>
    </row>
    <row r="902" spans="1:2">
      <c r="A902" s="461"/>
      <c r="B902" s="461"/>
    </row>
    <row r="903" spans="1:2">
      <c r="A903" s="461"/>
      <c r="B903" s="461"/>
    </row>
    <row r="904" spans="1:2">
      <c r="A904" s="461"/>
      <c r="B904" s="461"/>
    </row>
    <row r="905" spans="1:2">
      <c r="A905" s="461"/>
      <c r="B905" s="461"/>
    </row>
    <row r="906" spans="1:2">
      <c r="A906" s="461"/>
      <c r="B906" s="461"/>
    </row>
    <row r="907" spans="1:2">
      <c r="A907" s="461"/>
      <c r="B907" s="461"/>
    </row>
    <row r="908" spans="1:2">
      <c r="A908" s="461"/>
      <c r="B908" s="461"/>
    </row>
    <row r="909" spans="1:2">
      <c r="A909" s="461"/>
      <c r="B909" s="461"/>
    </row>
    <row r="910" spans="1:2">
      <c r="A910" s="461"/>
      <c r="B910" s="461"/>
    </row>
    <row r="911" spans="1:2">
      <c r="A911" s="461"/>
      <c r="B911" s="461"/>
    </row>
    <row r="912" spans="1:2">
      <c r="A912" s="461"/>
      <c r="B912" s="461"/>
    </row>
    <row r="913" spans="1:2">
      <c r="A913" s="461"/>
      <c r="B913" s="461"/>
    </row>
    <row r="914" spans="1:2">
      <c r="A914" s="461"/>
      <c r="B914" s="461"/>
    </row>
    <row r="915" spans="1:2">
      <c r="A915" s="461"/>
      <c r="B915" s="461"/>
    </row>
    <row r="916" spans="1:2">
      <c r="A916" s="461"/>
      <c r="B916" s="461"/>
    </row>
    <row r="917" spans="1:2">
      <c r="A917" s="461"/>
      <c r="B917" s="461"/>
    </row>
    <row r="918" spans="1:2">
      <c r="A918" s="461"/>
      <c r="B918" s="461"/>
    </row>
    <row r="919" spans="1:2">
      <c r="A919" s="461"/>
      <c r="B919" s="461"/>
    </row>
    <row r="920" spans="1:2">
      <c r="A920" s="461"/>
      <c r="B920" s="461"/>
    </row>
    <row r="921" spans="1:2">
      <c r="A921" s="461"/>
      <c r="B921" s="461"/>
    </row>
    <row r="922" spans="1:2">
      <c r="A922" s="461"/>
      <c r="B922" s="461"/>
    </row>
    <row r="923" spans="1:2">
      <c r="A923" s="461"/>
      <c r="B923" s="461"/>
    </row>
    <row r="924" spans="1:2">
      <c r="A924" s="461"/>
      <c r="B924" s="461"/>
    </row>
    <row r="925" spans="1:2">
      <c r="A925" s="461"/>
      <c r="B925" s="461"/>
    </row>
    <row r="926" spans="1:2">
      <c r="A926" s="461"/>
      <c r="B926" s="461"/>
    </row>
    <row r="927" spans="1:2">
      <c r="A927" s="461"/>
      <c r="B927" s="461"/>
    </row>
    <row r="928" spans="1:2">
      <c r="A928" s="461"/>
      <c r="B928" s="461"/>
    </row>
    <row r="929" spans="1:2">
      <c r="A929" s="461"/>
      <c r="B929" s="461"/>
    </row>
    <row r="930" spans="1:2">
      <c r="A930" s="461"/>
      <c r="B930" s="461"/>
    </row>
    <row r="931" spans="1:2">
      <c r="A931" s="461"/>
      <c r="B931" s="461"/>
    </row>
    <row r="932" spans="1:2">
      <c r="A932" s="461"/>
      <c r="B932" s="461"/>
    </row>
    <row r="933" spans="1:2">
      <c r="A933" s="461"/>
      <c r="B933" s="461"/>
    </row>
    <row r="934" spans="1:2">
      <c r="A934" s="461"/>
      <c r="B934" s="461"/>
    </row>
    <row r="935" spans="1:2">
      <c r="A935" s="461"/>
      <c r="B935" s="461"/>
    </row>
    <row r="936" spans="1:2">
      <c r="A936" s="461"/>
      <c r="B936" s="461"/>
    </row>
    <row r="937" spans="1:2">
      <c r="A937" s="461"/>
      <c r="B937" s="461"/>
    </row>
    <row r="938" spans="1:2">
      <c r="A938" s="461"/>
      <c r="B938" s="461"/>
    </row>
    <row r="939" spans="1:2">
      <c r="A939" s="461"/>
      <c r="B939" s="461"/>
    </row>
    <row r="940" spans="1:2">
      <c r="A940" s="461"/>
      <c r="B940" s="461"/>
    </row>
    <row r="941" spans="1:2">
      <c r="A941" s="461"/>
      <c r="B941" s="461"/>
    </row>
    <row r="942" spans="1:2">
      <c r="A942" s="461"/>
      <c r="B942" s="461"/>
    </row>
    <row r="943" spans="1:2">
      <c r="A943" s="461"/>
      <c r="B943" s="461"/>
    </row>
    <row r="944" spans="1:2">
      <c r="A944" s="461"/>
      <c r="B944" s="461"/>
    </row>
    <row r="945" spans="1:2">
      <c r="A945" s="461"/>
      <c r="B945" s="461"/>
    </row>
    <row r="946" spans="1:2">
      <c r="A946" s="461"/>
      <c r="B946" s="461"/>
    </row>
    <row r="947" spans="1:2">
      <c r="A947" s="461"/>
      <c r="B947" s="461"/>
    </row>
    <row r="948" spans="1:2">
      <c r="A948" s="461"/>
      <c r="B948" s="461"/>
    </row>
    <row r="949" spans="1:2">
      <c r="A949" s="461"/>
      <c r="B949" s="461"/>
    </row>
    <row r="950" spans="1:2">
      <c r="A950" s="461"/>
      <c r="B950" s="461"/>
    </row>
    <row r="951" spans="1:2">
      <c r="A951" s="461"/>
      <c r="B951" s="461"/>
    </row>
    <row r="952" spans="1:2">
      <c r="A952" s="461"/>
      <c r="B952" s="461"/>
    </row>
    <row r="953" spans="1:2">
      <c r="A953" s="461"/>
      <c r="B953" s="461"/>
    </row>
    <row r="954" spans="1:2">
      <c r="A954" s="461"/>
      <c r="B954" s="461"/>
    </row>
    <row r="955" spans="1:2">
      <c r="A955" s="461"/>
      <c r="B955" s="461"/>
    </row>
    <row r="956" spans="1:2">
      <c r="A956" s="461"/>
      <c r="B956" s="461"/>
    </row>
    <row r="957" spans="1:2">
      <c r="A957" s="461"/>
      <c r="B957" s="461"/>
    </row>
    <row r="958" spans="1:2">
      <c r="A958" s="461"/>
      <c r="B958" s="461"/>
    </row>
    <row r="959" spans="1:2">
      <c r="A959" s="461"/>
      <c r="B959" s="461"/>
    </row>
    <row r="960" spans="1:2">
      <c r="A960" s="461"/>
      <c r="B960" s="461"/>
    </row>
    <row r="961" spans="1:2">
      <c r="A961" s="461"/>
      <c r="B961" s="461"/>
    </row>
    <row r="962" spans="1:2">
      <c r="A962" s="461"/>
      <c r="B962" s="461"/>
    </row>
    <row r="963" spans="1:2">
      <c r="A963" s="461"/>
      <c r="B963" s="461"/>
    </row>
    <row r="964" spans="1:2">
      <c r="A964" s="461"/>
      <c r="B964" s="461"/>
    </row>
    <row r="965" spans="1:2">
      <c r="A965" s="461"/>
      <c r="B965" s="461"/>
    </row>
    <row r="966" spans="1:2">
      <c r="A966" s="461"/>
      <c r="B966" s="461"/>
    </row>
    <row r="967" spans="1:2">
      <c r="A967" s="461"/>
      <c r="B967" s="461"/>
    </row>
    <row r="968" spans="1:2">
      <c r="A968" s="461"/>
      <c r="B968" s="461"/>
    </row>
    <row r="969" spans="1:2">
      <c r="A969" s="461"/>
      <c r="B969" s="461"/>
    </row>
    <row r="970" spans="1:2">
      <c r="A970" s="461"/>
      <c r="B970" s="461"/>
    </row>
    <row r="971" spans="1:2">
      <c r="A971" s="461"/>
      <c r="B971" s="461"/>
    </row>
    <row r="972" spans="1:2">
      <c r="A972" s="461"/>
      <c r="B972" s="461"/>
    </row>
    <row r="973" spans="1:2">
      <c r="A973" s="461"/>
      <c r="B973" s="461"/>
    </row>
    <row r="974" spans="1:2">
      <c r="A974" s="461"/>
      <c r="B974" s="461"/>
    </row>
    <row r="975" spans="1:2">
      <c r="A975" s="461"/>
      <c r="B975" s="461"/>
    </row>
    <row r="976" spans="1:2">
      <c r="A976" s="461"/>
      <c r="B976" s="461"/>
    </row>
    <row r="977" spans="1:2">
      <c r="A977" s="461"/>
      <c r="B977" s="461"/>
    </row>
    <row r="978" spans="1:2">
      <c r="A978" s="461"/>
      <c r="B978" s="461"/>
    </row>
    <row r="979" spans="1:2">
      <c r="A979" s="461"/>
      <c r="B979" s="461"/>
    </row>
    <row r="980" spans="1:2">
      <c r="A980" s="461"/>
      <c r="B980" s="461"/>
    </row>
    <row r="981" spans="1:2">
      <c r="A981" s="461"/>
      <c r="B981" s="461"/>
    </row>
    <row r="982" spans="1:2">
      <c r="A982" s="461"/>
      <c r="B982" s="461"/>
    </row>
    <row r="983" spans="1:2">
      <c r="A983" s="461"/>
      <c r="B983" s="461"/>
    </row>
    <row r="984" spans="1:2">
      <c r="A984" s="461"/>
      <c r="B984" s="461"/>
    </row>
    <row r="985" spans="1:2">
      <c r="A985" s="461"/>
      <c r="B985" s="461"/>
    </row>
    <row r="986" spans="1:2">
      <c r="A986" s="461"/>
      <c r="B986" s="461"/>
    </row>
    <row r="987" spans="1:2">
      <c r="A987" s="461"/>
      <c r="B987" s="461"/>
    </row>
    <row r="988" spans="1:2">
      <c r="A988" s="461"/>
      <c r="B988" s="461"/>
    </row>
    <row r="989" spans="1:2">
      <c r="A989" s="461"/>
      <c r="B989" s="461"/>
    </row>
    <row r="990" spans="1:2">
      <c r="A990" s="461"/>
      <c r="B990" s="461"/>
    </row>
    <row r="991" spans="1:2">
      <c r="A991" s="461"/>
      <c r="B991" s="461"/>
    </row>
    <row r="992" spans="1:2">
      <c r="A992" s="461"/>
      <c r="B992" s="461"/>
    </row>
    <row r="993" spans="1:2">
      <c r="A993" s="461"/>
      <c r="B993" s="461"/>
    </row>
    <row r="994" spans="1:2">
      <c r="A994" s="461"/>
      <c r="B994" s="461"/>
    </row>
    <row r="995" spans="1:2">
      <c r="A995" s="461"/>
      <c r="B995" s="461"/>
    </row>
    <row r="996" spans="1:2">
      <c r="A996" s="461"/>
      <c r="B996" s="461"/>
    </row>
    <row r="997" spans="1:2">
      <c r="A997" s="461"/>
      <c r="B997" s="461"/>
    </row>
    <row r="998" spans="1:2">
      <c r="A998" s="461"/>
      <c r="B998" s="461"/>
    </row>
    <row r="999" spans="1:2">
      <c r="A999" s="461"/>
      <c r="B999" s="461"/>
    </row>
    <row r="1000" spans="1:2">
      <c r="A1000" s="461"/>
      <c r="B1000" s="461"/>
    </row>
    <row r="1001" spans="1:2">
      <c r="A1001" s="461"/>
      <c r="B1001" s="461"/>
    </row>
    <row r="1002" spans="1:2">
      <c r="A1002" s="461"/>
      <c r="B1002" s="461"/>
    </row>
    <row r="1003" spans="1:2">
      <c r="A1003" s="461"/>
      <c r="B1003" s="461"/>
    </row>
    <row r="1004" spans="1:2">
      <c r="A1004" s="461"/>
      <c r="B1004" s="461"/>
    </row>
    <row r="1005" spans="1:2">
      <c r="A1005" s="461"/>
      <c r="B1005" s="461"/>
    </row>
    <row r="1006" spans="1:2">
      <c r="A1006" s="461"/>
      <c r="B1006" s="461"/>
    </row>
    <row r="1007" spans="1:2">
      <c r="A1007" s="461"/>
      <c r="B1007" s="461"/>
    </row>
    <row r="1008" spans="1:2">
      <c r="A1008" s="461"/>
      <c r="B1008" s="461"/>
    </row>
    <row r="1009" spans="1:2">
      <c r="A1009" s="461"/>
      <c r="B1009" s="461"/>
    </row>
    <row r="1010" spans="1:2">
      <c r="A1010" s="461"/>
      <c r="B1010" s="461"/>
    </row>
    <row r="1011" spans="1:2">
      <c r="A1011" s="461"/>
      <c r="B1011" s="461"/>
    </row>
    <row r="1012" spans="1:2">
      <c r="A1012" s="461"/>
      <c r="B1012" s="461"/>
    </row>
    <row r="1013" spans="1:2">
      <c r="A1013" s="461"/>
      <c r="B1013" s="461"/>
    </row>
    <row r="1014" spans="1:2">
      <c r="A1014" s="461"/>
      <c r="B1014" s="461"/>
    </row>
    <row r="1015" spans="1:2">
      <c r="A1015" s="461"/>
      <c r="B1015" s="461"/>
    </row>
    <row r="1016" spans="1:2">
      <c r="A1016" s="461"/>
      <c r="B1016" s="461"/>
    </row>
    <row r="1017" spans="1:2">
      <c r="A1017" s="461"/>
      <c r="B1017" s="461"/>
    </row>
    <row r="1018" spans="1:2">
      <c r="A1018" s="461"/>
      <c r="B1018" s="461"/>
    </row>
    <row r="1019" spans="1:2">
      <c r="A1019" s="461"/>
      <c r="B1019" s="461"/>
    </row>
    <row r="1020" spans="1:2">
      <c r="A1020" s="461"/>
      <c r="B1020" s="461"/>
    </row>
    <row r="1021" spans="1:2">
      <c r="A1021" s="461"/>
      <c r="B1021" s="461"/>
    </row>
    <row r="1022" spans="1:2">
      <c r="A1022" s="461"/>
      <c r="B1022" s="461"/>
    </row>
    <row r="1023" spans="1:2">
      <c r="A1023" s="461"/>
      <c r="B1023" s="461"/>
    </row>
    <row r="1024" spans="1:2">
      <c r="A1024" s="461"/>
      <c r="B1024" s="461"/>
    </row>
    <row r="1025" spans="1:2">
      <c r="A1025" s="461"/>
      <c r="B1025" s="461"/>
    </row>
    <row r="1026" spans="1:2">
      <c r="A1026" s="461"/>
      <c r="B1026" s="461"/>
    </row>
    <row r="1027" spans="1:2">
      <c r="A1027" s="461"/>
      <c r="B1027" s="461"/>
    </row>
    <row r="1028" spans="1:2">
      <c r="A1028" s="461"/>
      <c r="B1028" s="461"/>
    </row>
    <row r="1029" spans="1:2">
      <c r="A1029" s="461"/>
      <c r="B1029" s="461"/>
    </row>
    <row r="1030" spans="1:2">
      <c r="A1030" s="461"/>
      <c r="B1030" s="461"/>
    </row>
    <row r="1031" spans="1:2">
      <c r="A1031" s="461"/>
      <c r="B1031" s="461"/>
    </row>
    <row r="1032" spans="1:2">
      <c r="A1032" s="461"/>
      <c r="B1032" s="461"/>
    </row>
    <row r="1033" spans="1:2">
      <c r="A1033" s="461"/>
      <c r="B1033" s="461"/>
    </row>
    <row r="1034" spans="1:2">
      <c r="A1034" s="461"/>
      <c r="B1034" s="461"/>
    </row>
    <row r="1035" spans="1:2">
      <c r="A1035" s="461"/>
      <c r="B1035" s="461"/>
    </row>
    <row r="1036" spans="1:2">
      <c r="A1036" s="461"/>
      <c r="B1036" s="461"/>
    </row>
    <row r="1037" spans="1:2">
      <c r="A1037" s="461"/>
      <c r="B1037" s="461"/>
    </row>
    <row r="1038" spans="1:2">
      <c r="A1038" s="461"/>
      <c r="B1038" s="461"/>
    </row>
    <row r="1039" spans="1:2">
      <c r="A1039" s="461"/>
      <c r="B1039" s="461"/>
    </row>
    <row r="1040" spans="1:2">
      <c r="A1040" s="461"/>
      <c r="B1040" s="461"/>
    </row>
    <row r="1041" spans="1:2">
      <c r="A1041" s="461"/>
      <c r="B1041" s="461"/>
    </row>
    <row r="1042" spans="1:2">
      <c r="A1042" s="461"/>
      <c r="B1042" s="461"/>
    </row>
    <row r="1043" spans="1:2">
      <c r="A1043" s="461"/>
      <c r="B1043" s="461"/>
    </row>
    <row r="1044" spans="1:2">
      <c r="A1044" s="461"/>
      <c r="B1044" s="461"/>
    </row>
    <row r="1045" spans="1:2">
      <c r="A1045" s="461"/>
      <c r="B1045" s="461"/>
    </row>
    <row r="1046" spans="1:2">
      <c r="A1046" s="461"/>
      <c r="B1046" s="461"/>
    </row>
    <row r="1047" spans="1:2">
      <c r="A1047" s="461"/>
      <c r="B1047" s="461"/>
    </row>
    <row r="1048" spans="1:2">
      <c r="A1048" s="461"/>
      <c r="B1048" s="461"/>
    </row>
    <row r="1049" spans="1:2">
      <c r="A1049" s="461"/>
      <c r="B1049" s="461"/>
    </row>
    <row r="1050" spans="1:2">
      <c r="A1050" s="461"/>
      <c r="B1050" s="461"/>
    </row>
    <row r="1051" spans="1:2">
      <c r="A1051" s="461"/>
      <c r="B1051" s="461"/>
    </row>
    <row r="1052" spans="1:2">
      <c r="A1052" s="461"/>
      <c r="B1052" s="461"/>
    </row>
    <row r="1053" spans="1:2">
      <c r="A1053" s="461"/>
      <c r="B1053" s="461"/>
    </row>
    <row r="1054" spans="1:2">
      <c r="A1054" s="461"/>
      <c r="B1054" s="461"/>
    </row>
    <row r="1055" spans="1:2">
      <c r="A1055" s="461"/>
      <c r="B1055" s="461"/>
    </row>
    <row r="1056" spans="1:2">
      <c r="A1056" s="461"/>
      <c r="B1056" s="461"/>
    </row>
    <row r="1057" spans="1:2">
      <c r="A1057" s="461"/>
      <c r="B1057" s="461"/>
    </row>
    <row r="1058" spans="1:2">
      <c r="A1058" s="461"/>
      <c r="B1058" s="461"/>
    </row>
    <row r="1059" spans="1:2">
      <c r="A1059" s="461"/>
      <c r="B1059" s="461"/>
    </row>
    <row r="1060" spans="1:2">
      <c r="A1060" s="461"/>
      <c r="B1060" s="461"/>
    </row>
    <row r="1061" spans="1:2">
      <c r="A1061" s="461"/>
      <c r="B1061" s="461"/>
    </row>
    <row r="1062" spans="1:2">
      <c r="A1062" s="461"/>
      <c r="B1062" s="461"/>
    </row>
    <row r="1063" spans="1:2">
      <c r="A1063" s="461"/>
      <c r="B1063" s="461"/>
    </row>
    <row r="1064" spans="1:2">
      <c r="A1064" s="461"/>
      <c r="B1064" s="461"/>
    </row>
    <row r="1065" spans="1:2">
      <c r="A1065" s="461"/>
      <c r="B1065" s="461"/>
    </row>
    <row r="1066" spans="1:2">
      <c r="A1066" s="461"/>
      <c r="B1066" s="461"/>
    </row>
    <row r="1067" spans="1:2">
      <c r="A1067" s="461"/>
      <c r="B1067" s="461"/>
    </row>
    <row r="1068" spans="1:2">
      <c r="A1068" s="461"/>
      <c r="B1068" s="461"/>
    </row>
    <row r="1069" spans="1:2">
      <c r="A1069" s="461"/>
      <c r="B1069" s="461"/>
    </row>
    <row r="1070" spans="1:2">
      <c r="A1070" s="461"/>
      <c r="B1070" s="461"/>
    </row>
    <row r="1071" spans="1:2">
      <c r="A1071" s="461"/>
      <c r="B1071" s="461"/>
    </row>
    <row r="1072" spans="1:2">
      <c r="A1072" s="461"/>
      <c r="B1072" s="461"/>
    </row>
    <row r="1073" spans="1:2">
      <c r="A1073" s="461"/>
      <c r="B1073" s="461"/>
    </row>
    <row r="1074" spans="1:2">
      <c r="A1074" s="461"/>
      <c r="B1074" s="461"/>
    </row>
    <row r="1075" spans="1:2">
      <c r="A1075" s="461"/>
      <c r="B1075" s="461"/>
    </row>
    <row r="1076" spans="1:2">
      <c r="A1076" s="461"/>
      <c r="B1076" s="461"/>
    </row>
    <row r="1077" spans="1:2">
      <c r="A1077" s="461"/>
      <c r="B1077" s="461"/>
    </row>
    <row r="1078" spans="1:2">
      <c r="A1078" s="461"/>
      <c r="B1078" s="461"/>
    </row>
    <row r="1079" spans="1:2">
      <c r="A1079" s="461"/>
      <c r="B1079" s="461"/>
    </row>
    <row r="1080" spans="1:2">
      <c r="A1080" s="461"/>
      <c r="B1080" s="461"/>
    </row>
    <row r="1081" spans="1:2">
      <c r="A1081" s="461"/>
      <c r="B1081" s="461"/>
    </row>
    <row r="1082" spans="1:2">
      <c r="A1082" s="461"/>
      <c r="B1082" s="461"/>
    </row>
    <row r="1083" spans="1:2">
      <c r="A1083" s="461"/>
      <c r="B1083" s="461"/>
    </row>
    <row r="1084" spans="1:2">
      <c r="A1084" s="461"/>
      <c r="B1084" s="461"/>
    </row>
    <row r="1085" spans="1:2">
      <c r="A1085" s="461"/>
      <c r="B1085" s="461"/>
    </row>
    <row r="1086" spans="1:2">
      <c r="A1086" s="461"/>
      <c r="B1086" s="461"/>
    </row>
    <row r="1087" spans="1:2">
      <c r="A1087" s="461"/>
      <c r="B1087" s="461"/>
    </row>
    <row r="1088" spans="1:2">
      <c r="A1088" s="461"/>
      <c r="B1088" s="461"/>
    </row>
    <row r="1089" spans="1:2">
      <c r="A1089" s="461"/>
      <c r="B1089" s="461"/>
    </row>
    <row r="1090" spans="1:2">
      <c r="A1090" s="461"/>
      <c r="B1090" s="461"/>
    </row>
    <row r="1091" spans="1:2">
      <c r="A1091" s="461"/>
      <c r="B1091" s="461"/>
    </row>
    <row r="1092" spans="1:2">
      <c r="A1092" s="461"/>
      <c r="B1092" s="461"/>
    </row>
    <row r="1093" spans="1:2">
      <c r="A1093" s="461"/>
      <c r="B1093" s="461"/>
    </row>
    <row r="1094" spans="1:2">
      <c r="A1094" s="461"/>
      <c r="B1094" s="461"/>
    </row>
    <row r="1095" spans="1:2">
      <c r="A1095" s="461"/>
      <c r="B1095" s="461"/>
    </row>
    <row r="1096" spans="1:2">
      <c r="A1096" s="461"/>
      <c r="B1096" s="461"/>
    </row>
    <row r="1097" spans="1:2">
      <c r="A1097" s="461"/>
      <c r="B1097" s="461"/>
    </row>
    <row r="1098" spans="1:2">
      <c r="A1098" s="461"/>
      <c r="B1098" s="461"/>
    </row>
    <row r="1099" spans="1:2">
      <c r="A1099" s="461"/>
      <c r="B1099" s="461"/>
    </row>
    <row r="1100" spans="1:2">
      <c r="A1100" s="461"/>
      <c r="B1100" s="461"/>
    </row>
    <row r="1101" spans="1:2">
      <c r="A1101" s="461"/>
      <c r="B1101" s="461"/>
    </row>
    <row r="1102" spans="1:2">
      <c r="A1102" s="461"/>
      <c r="B1102" s="461"/>
    </row>
    <row r="1103" spans="1:2">
      <c r="A1103" s="461"/>
      <c r="B1103" s="461"/>
    </row>
    <row r="1104" spans="1:2">
      <c r="A1104" s="461"/>
      <c r="B1104" s="461"/>
    </row>
    <row r="1105" spans="1:2">
      <c r="A1105" s="461"/>
      <c r="B1105" s="461"/>
    </row>
    <row r="1106" spans="1:2">
      <c r="A1106" s="461"/>
      <c r="B1106" s="461"/>
    </row>
    <row r="1107" spans="1:2">
      <c r="A1107" s="461"/>
      <c r="B1107" s="461"/>
    </row>
    <row r="1108" spans="1:2">
      <c r="A1108" s="461"/>
      <c r="B1108" s="461"/>
    </row>
    <row r="1109" spans="1:2">
      <c r="A1109" s="461"/>
      <c r="B1109" s="461"/>
    </row>
    <row r="1110" spans="1:2">
      <c r="A1110" s="461"/>
      <c r="B1110" s="461"/>
    </row>
    <row r="1111" spans="1:2">
      <c r="A1111" s="461"/>
      <c r="B1111" s="461"/>
    </row>
    <row r="1112" spans="1:2">
      <c r="A1112" s="461"/>
      <c r="B1112" s="461"/>
    </row>
    <row r="1113" spans="1:2">
      <c r="A1113" s="461"/>
      <c r="B1113" s="461"/>
    </row>
    <row r="1114" spans="1:2">
      <c r="A1114" s="461"/>
      <c r="B1114" s="461"/>
    </row>
    <row r="1115" spans="1:2">
      <c r="A1115" s="461"/>
      <c r="B1115" s="461"/>
    </row>
    <row r="1116" spans="1:2">
      <c r="A1116" s="461"/>
      <c r="B1116" s="461"/>
    </row>
    <row r="1117" spans="1:2">
      <c r="A1117" s="461"/>
      <c r="B1117" s="461"/>
    </row>
    <row r="1118" spans="1:2">
      <c r="A1118" s="461"/>
      <c r="B1118" s="461"/>
    </row>
    <row r="1119" spans="1:2">
      <c r="A1119" s="461"/>
      <c r="B1119" s="461"/>
    </row>
    <row r="1120" spans="1:2">
      <c r="A1120" s="461"/>
      <c r="B1120" s="461"/>
    </row>
    <row r="1121" spans="1:2">
      <c r="A1121" s="461"/>
      <c r="B1121" s="461"/>
    </row>
    <row r="1122" spans="1:2">
      <c r="A1122" s="461"/>
      <c r="B1122" s="461"/>
    </row>
    <row r="1123" spans="1:2">
      <c r="A1123" s="461"/>
      <c r="B1123" s="461"/>
    </row>
    <row r="1124" spans="1:2">
      <c r="A1124" s="461"/>
      <c r="B1124" s="461"/>
    </row>
    <row r="1125" spans="1:2">
      <c r="A1125" s="461"/>
      <c r="B1125" s="461"/>
    </row>
    <row r="1126" spans="1:2">
      <c r="A1126" s="461"/>
      <c r="B1126" s="461"/>
    </row>
    <row r="1127" spans="1:2">
      <c r="A1127" s="461"/>
      <c r="B1127" s="461"/>
    </row>
    <row r="1128" spans="1:2">
      <c r="A1128" s="461"/>
      <c r="B1128" s="461"/>
    </row>
    <row r="1129" spans="1:2">
      <c r="A1129" s="461"/>
      <c r="B1129" s="461"/>
    </row>
    <row r="1130" spans="1:2">
      <c r="A1130" s="461"/>
      <c r="B1130" s="461"/>
    </row>
    <row r="1131" spans="1:2">
      <c r="A1131" s="461"/>
      <c r="B1131" s="461"/>
    </row>
    <row r="1132" spans="1:2">
      <c r="A1132" s="461"/>
      <c r="B1132" s="461"/>
    </row>
    <row r="1133" spans="1:2">
      <c r="A1133" s="461"/>
      <c r="B1133" s="461"/>
    </row>
    <row r="1134" spans="1:2">
      <c r="A1134" s="461"/>
      <c r="B1134" s="461"/>
    </row>
    <row r="1135" spans="1:2">
      <c r="A1135" s="461"/>
      <c r="B1135" s="461"/>
    </row>
    <row r="1136" spans="1:2">
      <c r="A1136" s="461"/>
      <c r="B1136" s="461"/>
    </row>
    <row r="1137" spans="1:2">
      <c r="A1137" s="461"/>
      <c r="B1137" s="461"/>
    </row>
    <row r="1138" spans="1:2">
      <c r="A1138" s="461"/>
      <c r="B1138" s="461"/>
    </row>
    <row r="1139" spans="1:2">
      <c r="A1139" s="461"/>
      <c r="B1139" s="461"/>
    </row>
    <row r="1140" spans="1:2">
      <c r="A1140" s="461"/>
      <c r="B1140" s="461"/>
    </row>
    <row r="1141" spans="1:2">
      <c r="A1141" s="461"/>
      <c r="B1141" s="461"/>
    </row>
    <row r="1142" spans="1:2">
      <c r="A1142" s="461"/>
      <c r="B1142" s="461"/>
    </row>
    <row r="1143" spans="1:2">
      <c r="A1143" s="461"/>
      <c r="B1143" s="461"/>
    </row>
    <row r="1144" spans="1:2">
      <c r="A1144" s="461"/>
      <c r="B1144" s="461"/>
    </row>
    <row r="1145" spans="1:2">
      <c r="A1145" s="461"/>
      <c r="B1145" s="461"/>
    </row>
    <row r="1146" spans="1:2">
      <c r="A1146" s="461"/>
      <c r="B1146" s="461"/>
    </row>
    <row r="1147" spans="1:2">
      <c r="A1147" s="461"/>
      <c r="B1147" s="461"/>
    </row>
    <row r="1148" spans="1:2">
      <c r="A1148" s="461"/>
      <c r="B1148" s="461"/>
    </row>
    <row r="1149" spans="1:2">
      <c r="A1149" s="461"/>
      <c r="B1149" s="461"/>
    </row>
    <row r="1150" spans="1:2">
      <c r="A1150" s="461"/>
      <c r="B1150" s="461"/>
    </row>
    <row r="1151" spans="1:2">
      <c r="A1151" s="461"/>
      <c r="B1151" s="461"/>
    </row>
    <row r="1152" spans="1:2">
      <c r="A1152" s="461"/>
      <c r="B1152" s="461"/>
    </row>
    <row r="1153" spans="1:2">
      <c r="A1153" s="461"/>
      <c r="B1153" s="461"/>
    </row>
    <row r="1154" spans="1:2">
      <c r="A1154" s="461"/>
      <c r="B1154" s="461"/>
    </row>
    <row r="1155" spans="1:2">
      <c r="A1155" s="461"/>
      <c r="B1155" s="461"/>
    </row>
    <row r="1156" spans="1:2">
      <c r="A1156" s="461"/>
      <c r="B1156" s="461"/>
    </row>
    <row r="1157" spans="1:2">
      <c r="A1157" s="461"/>
      <c r="B1157" s="461"/>
    </row>
    <row r="1158" spans="1:2">
      <c r="A1158" s="461"/>
      <c r="B1158" s="461"/>
    </row>
    <row r="1159" spans="1:2">
      <c r="A1159" s="461"/>
      <c r="B1159" s="461"/>
    </row>
    <row r="1160" spans="1:2">
      <c r="A1160" s="461"/>
      <c r="B1160" s="461"/>
    </row>
    <row r="1161" spans="1:2">
      <c r="A1161" s="461"/>
      <c r="B1161" s="461"/>
    </row>
    <row r="1162" spans="1:2">
      <c r="A1162" s="461"/>
      <c r="B1162" s="461"/>
    </row>
    <row r="1163" spans="1:2">
      <c r="A1163" s="461"/>
      <c r="B1163" s="461"/>
    </row>
    <row r="1164" spans="1:2">
      <c r="A1164" s="461"/>
      <c r="B1164" s="461"/>
    </row>
    <row r="1165" spans="1:2">
      <c r="A1165" s="461"/>
      <c r="B1165" s="461"/>
    </row>
    <row r="1166" spans="1:2">
      <c r="A1166" s="461"/>
      <c r="B1166" s="461"/>
    </row>
    <row r="1167" spans="1:2">
      <c r="A1167" s="461"/>
      <c r="B1167" s="461"/>
    </row>
    <row r="1168" spans="1:2">
      <c r="A1168" s="461"/>
      <c r="B1168" s="461"/>
    </row>
    <row r="1169" spans="1:2">
      <c r="A1169" s="461"/>
      <c r="B1169" s="461"/>
    </row>
    <row r="1170" spans="1:2">
      <c r="A1170" s="461"/>
      <c r="B1170" s="461"/>
    </row>
    <row r="1171" spans="1:2">
      <c r="A1171" s="461"/>
      <c r="B1171" s="461"/>
    </row>
    <row r="1172" spans="1:2">
      <c r="A1172" s="461"/>
      <c r="B1172" s="461"/>
    </row>
    <row r="1173" spans="1:2">
      <c r="A1173" s="461"/>
      <c r="B1173" s="461"/>
    </row>
    <row r="1174" spans="1:2">
      <c r="A1174" s="461"/>
      <c r="B1174" s="461"/>
    </row>
    <row r="1175" spans="1:2">
      <c r="A1175" s="461"/>
      <c r="B1175" s="461"/>
    </row>
    <row r="1176" spans="1:2">
      <c r="A1176" s="461"/>
      <c r="B1176" s="461"/>
    </row>
    <row r="1177" spans="1:2">
      <c r="A1177" s="461"/>
      <c r="B1177" s="461"/>
    </row>
    <row r="1178" spans="1:2">
      <c r="A1178" s="461"/>
      <c r="B1178" s="461"/>
    </row>
    <row r="1179" spans="1:2">
      <c r="A1179" s="461"/>
      <c r="B1179" s="461"/>
    </row>
    <row r="1180" spans="1:2">
      <c r="A1180" s="461"/>
      <c r="B1180" s="461"/>
    </row>
    <row r="1181" spans="1:2">
      <c r="A1181" s="461"/>
      <c r="B1181" s="461"/>
    </row>
    <row r="1182" spans="1:2">
      <c r="A1182" s="461"/>
      <c r="B1182" s="461"/>
    </row>
    <row r="1183" spans="1:2">
      <c r="A1183" s="461"/>
      <c r="B1183" s="461"/>
    </row>
    <row r="1184" spans="1:2">
      <c r="A1184" s="461"/>
      <c r="B1184" s="461"/>
    </row>
    <row r="1185" spans="1:2">
      <c r="A1185" s="461"/>
      <c r="B1185" s="461"/>
    </row>
    <row r="1186" spans="1:2">
      <c r="A1186" s="461"/>
      <c r="B1186" s="461"/>
    </row>
    <row r="1187" spans="1:2">
      <c r="A1187" s="461"/>
      <c r="B1187" s="461"/>
    </row>
    <row r="1188" spans="1:2">
      <c r="A1188" s="461"/>
      <c r="B1188" s="461"/>
    </row>
    <row r="1189" spans="1:2">
      <c r="A1189" s="461"/>
      <c r="B1189" s="461"/>
    </row>
    <row r="1190" spans="1:2">
      <c r="A1190" s="461"/>
      <c r="B1190" s="461"/>
    </row>
    <row r="1191" spans="1:2">
      <c r="A1191" s="461"/>
      <c r="B1191" s="461"/>
    </row>
    <row r="1192" spans="1:2">
      <c r="A1192" s="461"/>
      <c r="B1192" s="461"/>
    </row>
    <row r="1193" spans="1:2">
      <c r="A1193" s="461"/>
      <c r="B1193" s="461"/>
    </row>
    <row r="1194" spans="1:2">
      <c r="A1194" s="461"/>
      <c r="B1194" s="461"/>
    </row>
    <row r="1195" spans="1:2">
      <c r="A1195" s="461"/>
      <c r="B1195" s="461"/>
    </row>
    <row r="1196" spans="1:2">
      <c r="A1196" s="461"/>
      <c r="B1196" s="461"/>
    </row>
    <row r="1197" spans="1:2">
      <c r="A1197" s="461"/>
      <c r="B1197" s="461"/>
    </row>
    <row r="1198" spans="1:2">
      <c r="A1198" s="461"/>
      <c r="B1198" s="461"/>
    </row>
    <row r="1199" spans="1:2">
      <c r="A1199" s="461"/>
      <c r="B1199" s="461"/>
    </row>
    <row r="1200" spans="1:2">
      <c r="A1200" s="461"/>
      <c r="B1200" s="461"/>
    </row>
    <row r="1201" spans="1:2">
      <c r="A1201" s="461"/>
      <c r="B1201" s="461"/>
    </row>
    <row r="1202" spans="1:2">
      <c r="A1202" s="461"/>
      <c r="B1202" s="461"/>
    </row>
    <row r="1203" spans="1:2">
      <c r="A1203" s="461"/>
      <c r="B1203" s="461"/>
    </row>
    <row r="1204" spans="1:2">
      <c r="A1204" s="461"/>
      <c r="B1204" s="461"/>
    </row>
    <row r="1205" spans="1:2">
      <c r="A1205" s="461"/>
      <c r="B1205" s="461"/>
    </row>
    <row r="1206" spans="1:2">
      <c r="A1206" s="461"/>
      <c r="B1206" s="461"/>
    </row>
    <row r="1207" spans="1:2">
      <c r="A1207" s="461"/>
      <c r="B1207" s="461"/>
    </row>
    <row r="1208" spans="1:2">
      <c r="A1208" s="461"/>
      <c r="B1208" s="461"/>
    </row>
    <row r="1209" spans="1:2">
      <c r="A1209" s="461"/>
      <c r="B1209" s="461"/>
    </row>
    <row r="1210" spans="1:2">
      <c r="A1210" s="461"/>
      <c r="B1210" s="461"/>
    </row>
    <row r="1211" spans="1:2">
      <c r="A1211" s="461"/>
      <c r="B1211" s="461"/>
    </row>
    <row r="1212" spans="1:2">
      <c r="A1212" s="461"/>
      <c r="B1212" s="461"/>
    </row>
    <row r="1213" spans="1:2">
      <c r="A1213" s="461"/>
      <c r="B1213" s="461"/>
    </row>
    <row r="1214" spans="1:2">
      <c r="A1214" s="461"/>
      <c r="B1214" s="461"/>
    </row>
    <row r="1215" spans="1:2">
      <c r="A1215" s="461"/>
      <c r="B1215" s="461"/>
    </row>
    <row r="1216" spans="1:2">
      <c r="A1216" s="461"/>
      <c r="B1216" s="461"/>
    </row>
    <row r="1217" spans="1:2">
      <c r="A1217" s="461"/>
      <c r="B1217" s="461"/>
    </row>
    <row r="1218" spans="1:2">
      <c r="A1218" s="461"/>
      <c r="B1218" s="461"/>
    </row>
    <row r="1219" spans="1:2">
      <c r="A1219" s="461"/>
      <c r="B1219" s="461"/>
    </row>
    <row r="1220" spans="1:2">
      <c r="A1220" s="461"/>
      <c r="B1220" s="461"/>
    </row>
    <row r="1221" spans="1:2">
      <c r="A1221" s="461"/>
      <c r="B1221" s="461"/>
    </row>
    <row r="1222" spans="1:2">
      <c r="A1222" s="461"/>
      <c r="B1222" s="461"/>
    </row>
    <row r="1223" spans="1:2">
      <c r="A1223" s="461"/>
      <c r="B1223" s="461"/>
    </row>
    <row r="1224" spans="1:2">
      <c r="A1224" s="461"/>
      <c r="B1224" s="461"/>
    </row>
    <row r="1225" spans="1:2">
      <c r="A1225" s="461"/>
      <c r="B1225" s="461"/>
    </row>
    <row r="1226" spans="1:2">
      <c r="A1226" s="461"/>
      <c r="B1226" s="461"/>
    </row>
    <row r="1227" spans="1:2">
      <c r="A1227" s="461"/>
      <c r="B1227" s="461"/>
    </row>
    <row r="1228" spans="1:2">
      <c r="A1228" s="461"/>
      <c r="B1228" s="461"/>
    </row>
    <row r="1229" spans="1:2">
      <c r="A1229" s="461"/>
      <c r="B1229" s="461"/>
    </row>
    <row r="1230" spans="1:2">
      <c r="A1230" s="461"/>
      <c r="B1230" s="461"/>
    </row>
    <row r="1231" spans="1:2">
      <c r="A1231" s="461"/>
      <c r="B1231" s="461"/>
    </row>
    <row r="1232" spans="1:2">
      <c r="A1232" s="461"/>
      <c r="B1232" s="461"/>
    </row>
    <row r="1233" spans="1:2">
      <c r="A1233" s="461"/>
      <c r="B1233" s="461"/>
    </row>
    <row r="1234" spans="1:2">
      <c r="A1234" s="461"/>
      <c r="B1234" s="461"/>
    </row>
    <row r="1235" spans="1:2">
      <c r="A1235" s="461"/>
      <c r="B1235" s="461"/>
    </row>
    <row r="1236" spans="1:2">
      <c r="A1236" s="461"/>
      <c r="B1236" s="461"/>
    </row>
    <row r="1237" spans="1:2">
      <c r="A1237" s="461"/>
      <c r="B1237" s="461"/>
    </row>
    <row r="1238" spans="1:2">
      <c r="A1238" s="461"/>
      <c r="B1238" s="461"/>
    </row>
    <row r="1239" spans="1:2">
      <c r="A1239" s="461"/>
      <c r="B1239" s="461"/>
    </row>
    <row r="1240" spans="1:2">
      <c r="A1240" s="461"/>
      <c r="B1240" s="461"/>
    </row>
    <row r="1241" spans="1:2">
      <c r="A1241" s="461"/>
      <c r="B1241" s="461"/>
    </row>
    <row r="1242" spans="1:2">
      <c r="A1242" s="461"/>
      <c r="B1242" s="461"/>
    </row>
    <row r="1243" spans="1:2">
      <c r="A1243" s="461"/>
      <c r="B1243" s="461"/>
    </row>
    <row r="1244" spans="1:2">
      <c r="A1244" s="461"/>
      <c r="B1244" s="461"/>
    </row>
    <row r="1245" spans="1:2">
      <c r="A1245" s="461"/>
      <c r="B1245" s="461"/>
    </row>
    <row r="1246" spans="1:2">
      <c r="A1246" s="461"/>
      <c r="B1246" s="461"/>
    </row>
    <row r="1247" spans="1:2">
      <c r="A1247" s="461"/>
      <c r="B1247" s="461"/>
    </row>
    <row r="1248" spans="1:2">
      <c r="A1248" s="461"/>
      <c r="B1248" s="461"/>
    </row>
    <row r="1249" spans="1:2">
      <c r="A1249" s="461"/>
      <c r="B1249" s="461"/>
    </row>
    <row r="1250" spans="1:2">
      <c r="A1250" s="461"/>
      <c r="B1250" s="461"/>
    </row>
    <row r="1251" spans="1:2">
      <c r="A1251" s="461"/>
      <c r="B1251" s="461"/>
    </row>
    <row r="1252" spans="1:2">
      <c r="A1252" s="461"/>
      <c r="B1252" s="461"/>
    </row>
    <row r="1253" spans="1:2">
      <c r="A1253" s="461"/>
      <c r="B1253" s="461"/>
    </row>
    <row r="1254" spans="1:2">
      <c r="A1254" s="461"/>
      <c r="B1254" s="461"/>
    </row>
    <row r="1255" spans="1:2">
      <c r="A1255" s="461"/>
      <c r="B1255" s="461"/>
    </row>
    <row r="1256" spans="1:2">
      <c r="A1256" s="461"/>
      <c r="B1256" s="461"/>
    </row>
    <row r="1257" spans="1:2">
      <c r="A1257" s="461"/>
      <c r="B1257" s="461"/>
    </row>
    <row r="1258" spans="1:2">
      <c r="A1258" s="461"/>
      <c r="B1258" s="461"/>
    </row>
    <row r="1259" spans="1:2">
      <c r="A1259" s="461"/>
      <c r="B1259" s="461"/>
    </row>
    <row r="1260" spans="1:2">
      <c r="A1260" s="461"/>
      <c r="B1260" s="461"/>
    </row>
    <row r="1261" spans="1:2">
      <c r="A1261" s="461"/>
      <c r="B1261" s="461"/>
    </row>
    <row r="1262" spans="1:2">
      <c r="A1262" s="461"/>
      <c r="B1262" s="461"/>
    </row>
    <row r="1263" spans="1:2">
      <c r="A1263" s="461"/>
      <c r="B1263" s="461"/>
    </row>
    <row r="1264" spans="1:2">
      <c r="A1264" s="461"/>
      <c r="B1264" s="461"/>
    </row>
    <row r="1265" spans="1:2">
      <c r="A1265" s="461"/>
      <c r="B1265" s="461"/>
    </row>
    <row r="1266" spans="1:2">
      <c r="A1266" s="461"/>
      <c r="B1266" s="461"/>
    </row>
    <row r="1267" spans="1:2">
      <c r="A1267" s="461"/>
      <c r="B1267" s="461"/>
    </row>
    <row r="1268" spans="1:2">
      <c r="A1268" s="461"/>
      <c r="B1268" s="461"/>
    </row>
    <row r="1269" spans="1:2">
      <c r="A1269" s="461"/>
      <c r="B1269" s="461"/>
    </row>
    <row r="1270" spans="1:2">
      <c r="A1270" s="461"/>
      <c r="B1270" s="461"/>
    </row>
    <row r="1271" spans="1:2">
      <c r="A1271" s="461"/>
      <c r="B1271" s="461"/>
    </row>
    <row r="1272" spans="1:2">
      <c r="A1272" s="461"/>
      <c r="B1272" s="461"/>
    </row>
    <row r="1273" spans="1:2">
      <c r="A1273" s="461"/>
      <c r="B1273" s="461"/>
    </row>
    <row r="1274" spans="1:2">
      <c r="A1274" s="461"/>
      <c r="B1274" s="461"/>
    </row>
    <row r="1275" spans="1:2">
      <c r="A1275" s="461"/>
      <c r="B1275" s="461"/>
    </row>
    <row r="1276" spans="1:2">
      <c r="A1276" s="461"/>
      <c r="B1276" s="461"/>
    </row>
    <row r="1277" spans="1:2">
      <c r="A1277" s="461"/>
      <c r="B1277" s="461"/>
    </row>
    <row r="1278" spans="1:2">
      <c r="A1278" s="461"/>
      <c r="B1278" s="461"/>
    </row>
    <row r="1279" spans="1:2">
      <c r="A1279" s="461"/>
      <c r="B1279" s="461"/>
    </row>
    <row r="1280" spans="1:2">
      <c r="A1280" s="461"/>
      <c r="B1280" s="461"/>
    </row>
    <row r="1281" spans="1:2">
      <c r="A1281" s="461"/>
      <c r="B1281" s="461"/>
    </row>
    <row r="1282" spans="1:2">
      <c r="A1282" s="461"/>
      <c r="B1282" s="461"/>
    </row>
    <row r="1283" spans="1:2">
      <c r="A1283" s="461"/>
      <c r="B1283" s="461"/>
    </row>
    <row r="1284" spans="1:2">
      <c r="A1284" s="461"/>
      <c r="B1284" s="461"/>
    </row>
    <row r="1285" spans="1:2">
      <c r="A1285" s="461"/>
      <c r="B1285" s="461"/>
    </row>
    <row r="1286" spans="1:2">
      <c r="A1286" s="461"/>
      <c r="B1286" s="461"/>
    </row>
    <row r="1287" spans="1:2">
      <c r="A1287" s="461"/>
      <c r="B1287" s="461"/>
    </row>
    <row r="1288" spans="1:2">
      <c r="A1288" s="461"/>
      <c r="B1288" s="461"/>
    </row>
    <row r="1289" spans="1:2">
      <c r="A1289" s="461"/>
      <c r="B1289" s="461"/>
    </row>
    <row r="1290" spans="1:2">
      <c r="A1290" s="461"/>
      <c r="B1290" s="461"/>
    </row>
    <row r="1291" spans="1:2">
      <c r="A1291" s="461"/>
      <c r="B1291" s="461"/>
    </row>
    <row r="1292" spans="1:2">
      <c r="A1292" s="461"/>
      <c r="B1292" s="461"/>
    </row>
    <row r="1293" spans="1:2">
      <c r="A1293" s="461"/>
      <c r="B1293" s="461"/>
    </row>
    <row r="1294" spans="1:2">
      <c r="A1294" s="461"/>
      <c r="B1294" s="461"/>
    </row>
    <row r="1295" spans="1:2">
      <c r="A1295" s="461"/>
      <c r="B1295" s="461"/>
    </row>
    <row r="1296" spans="1:2">
      <c r="A1296" s="461"/>
      <c r="B1296" s="461"/>
    </row>
    <row r="1297" spans="1:2">
      <c r="A1297" s="461"/>
      <c r="B1297" s="461"/>
    </row>
    <row r="1298" spans="1:2">
      <c r="A1298" s="461"/>
      <c r="B1298" s="461"/>
    </row>
    <row r="1299" spans="1:2">
      <c r="A1299" s="461"/>
      <c r="B1299" s="461"/>
    </row>
    <row r="1300" spans="1:2">
      <c r="A1300" s="461"/>
      <c r="B1300" s="461"/>
    </row>
    <row r="1301" spans="1:2">
      <c r="A1301" s="461"/>
      <c r="B1301" s="461"/>
    </row>
    <row r="1302" spans="1:2">
      <c r="A1302" s="461"/>
      <c r="B1302" s="461"/>
    </row>
    <row r="1303" spans="1:2">
      <c r="A1303" s="461"/>
      <c r="B1303" s="461"/>
    </row>
    <row r="1304" spans="1:2">
      <c r="A1304" s="461"/>
      <c r="B1304" s="461"/>
    </row>
    <row r="1305" spans="1:2">
      <c r="A1305" s="461"/>
      <c r="B1305" s="461"/>
    </row>
    <row r="1306" spans="1:2">
      <c r="A1306" s="461"/>
      <c r="B1306" s="461"/>
    </row>
    <row r="1307" spans="1:2">
      <c r="A1307" s="461"/>
      <c r="B1307" s="461"/>
    </row>
    <row r="1308" spans="1:2">
      <c r="A1308" s="461"/>
      <c r="B1308" s="461"/>
    </row>
    <row r="1309" spans="1:2">
      <c r="A1309" s="461"/>
      <c r="B1309" s="461"/>
    </row>
    <row r="1310" spans="1:2">
      <c r="A1310" s="461"/>
      <c r="B1310" s="461"/>
    </row>
    <row r="1311" spans="1:2">
      <c r="A1311" s="461"/>
      <c r="B1311" s="461"/>
    </row>
    <row r="1312" spans="1:2">
      <c r="A1312" s="461"/>
      <c r="B1312" s="461"/>
    </row>
    <row r="1313" spans="1:2">
      <c r="A1313" s="461"/>
      <c r="B1313" s="461"/>
    </row>
    <row r="1314" spans="1:2">
      <c r="A1314" s="461"/>
      <c r="B1314" s="461"/>
    </row>
    <row r="1315" spans="1:2">
      <c r="A1315" s="461"/>
      <c r="B1315" s="461"/>
    </row>
    <row r="1316" spans="1:2">
      <c r="A1316" s="461"/>
      <c r="B1316" s="461"/>
    </row>
    <row r="1317" spans="1:2">
      <c r="A1317" s="461"/>
      <c r="B1317" s="461"/>
    </row>
    <row r="1318" spans="1:2">
      <c r="A1318" s="461"/>
      <c r="B1318" s="461"/>
    </row>
    <row r="1319" spans="1:2">
      <c r="A1319" s="461"/>
      <c r="B1319" s="461"/>
    </row>
    <row r="1320" spans="1:2">
      <c r="A1320" s="461"/>
      <c r="B1320" s="461"/>
    </row>
    <row r="1321" spans="1:2">
      <c r="A1321" s="461"/>
      <c r="B1321" s="461"/>
    </row>
    <row r="1322" spans="1:2">
      <c r="A1322" s="461"/>
      <c r="B1322" s="461"/>
    </row>
    <row r="1323" spans="1:2">
      <c r="A1323" s="461"/>
      <c r="B1323" s="461"/>
    </row>
    <row r="1324" spans="1:2">
      <c r="A1324" s="461"/>
      <c r="B1324" s="461"/>
    </row>
    <row r="1325" spans="1:2">
      <c r="A1325" s="461"/>
      <c r="B1325" s="461"/>
    </row>
    <row r="1326" spans="1:2">
      <c r="A1326" s="461"/>
      <c r="B1326" s="461"/>
    </row>
    <row r="1327" spans="1:2">
      <c r="A1327" s="461"/>
      <c r="B1327" s="461"/>
    </row>
    <row r="1328" spans="1:2">
      <c r="A1328" s="461"/>
      <c r="B1328" s="461"/>
    </row>
    <row r="1329" spans="1:2">
      <c r="A1329" s="461"/>
      <c r="B1329" s="461"/>
    </row>
    <row r="1330" spans="1:2">
      <c r="A1330" s="461"/>
      <c r="B1330" s="461"/>
    </row>
    <row r="1331" spans="1:2">
      <c r="A1331" s="461"/>
      <c r="B1331" s="461"/>
    </row>
    <row r="1332" spans="1:2">
      <c r="A1332" s="461"/>
      <c r="B1332" s="461"/>
    </row>
    <row r="1333" spans="1:2">
      <c r="A1333" s="461"/>
      <c r="B1333" s="461"/>
    </row>
    <row r="1334" spans="1:2">
      <c r="A1334" s="461"/>
      <c r="B1334" s="461"/>
    </row>
    <row r="1335" spans="1:2">
      <c r="A1335" s="461"/>
      <c r="B1335" s="461"/>
    </row>
    <row r="1336" spans="1:2">
      <c r="A1336" s="461"/>
      <c r="B1336" s="461"/>
    </row>
    <row r="1337" spans="1:2">
      <c r="A1337" s="461"/>
      <c r="B1337" s="461"/>
    </row>
    <row r="1338" spans="1:2">
      <c r="A1338" s="461"/>
      <c r="B1338" s="461"/>
    </row>
    <row r="1339" spans="1:2">
      <c r="A1339" s="461"/>
      <c r="B1339" s="461"/>
    </row>
    <row r="1340" spans="1:2">
      <c r="A1340" s="461"/>
      <c r="B1340" s="461"/>
    </row>
    <row r="1341" spans="1:2">
      <c r="A1341" s="461"/>
      <c r="B1341" s="461"/>
    </row>
    <row r="1342" spans="1:2">
      <c r="A1342" s="461"/>
      <c r="B1342" s="461"/>
    </row>
    <row r="1343" spans="1:2">
      <c r="A1343" s="461"/>
      <c r="B1343" s="461"/>
    </row>
    <row r="1344" spans="1:2">
      <c r="A1344" s="461"/>
      <c r="B1344" s="461"/>
    </row>
    <row r="1345" spans="1:2">
      <c r="A1345" s="461"/>
      <c r="B1345" s="461"/>
    </row>
    <row r="1346" spans="1:2">
      <c r="A1346" s="461"/>
      <c r="B1346" s="461"/>
    </row>
    <row r="1347" spans="1:2">
      <c r="A1347" s="461"/>
      <c r="B1347" s="461"/>
    </row>
    <row r="1348" spans="1:2">
      <c r="A1348" s="461"/>
      <c r="B1348" s="461"/>
    </row>
    <row r="1349" spans="1:2">
      <c r="A1349" s="461"/>
      <c r="B1349" s="461"/>
    </row>
    <row r="1350" spans="1:2">
      <c r="A1350" s="461"/>
      <c r="B1350" s="461"/>
    </row>
    <row r="1351" spans="1:2">
      <c r="A1351" s="461"/>
      <c r="B1351" s="461"/>
    </row>
    <row r="1352" spans="1:2">
      <c r="A1352" s="461"/>
      <c r="B1352" s="461"/>
    </row>
    <row r="1353" spans="1:2">
      <c r="A1353" s="461"/>
      <c r="B1353" s="461"/>
    </row>
    <row r="1354" spans="1:2">
      <c r="A1354" s="461"/>
      <c r="B1354" s="461"/>
    </row>
    <row r="1355" spans="1:2">
      <c r="A1355" s="461"/>
      <c r="B1355" s="461"/>
    </row>
    <row r="1356" spans="1:2">
      <c r="A1356" s="461"/>
      <c r="B1356" s="461"/>
    </row>
    <row r="1357" spans="1:2">
      <c r="A1357" s="461"/>
      <c r="B1357" s="461"/>
    </row>
    <row r="1358" spans="1:2">
      <c r="A1358" s="461"/>
      <c r="B1358" s="461"/>
    </row>
    <row r="1359" spans="1:2">
      <c r="A1359" s="461"/>
      <c r="B1359" s="461"/>
    </row>
    <row r="1360" spans="1:2">
      <c r="A1360" s="461"/>
      <c r="B1360" s="461"/>
    </row>
    <row r="1361" spans="1:2">
      <c r="A1361" s="461"/>
      <c r="B1361" s="461"/>
    </row>
    <row r="1362" spans="1:2">
      <c r="A1362" s="461"/>
      <c r="B1362" s="461"/>
    </row>
    <row r="1363" spans="1:2">
      <c r="A1363" s="461"/>
      <c r="B1363" s="461"/>
    </row>
    <row r="1364" spans="1:2">
      <c r="A1364" s="461"/>
      <c r="B1364" s="461"/>
    </row>
    <row r="1365" spans="1:2">
      <c r="A1365" s="461"/>
      <c r="B1365" s="461"/>
    </row>
    <row r="1366" spans="1:2">
      <c r="A1366" s="461"/>
      <c r="B1366" s="461"/>
    </row>
    <row r="1367" spans="1:2">
      <c r="A1367" s="461"/>
      <c r="B1367" s="461"/>
    </row>
    <row r="1368" spans="1:2">
      <c r="A1368" s="461"/>
      <c r="B1368" s="461"/>
    </row>
    <row r="1369" spans="1:2">
      <c r="A1369" s="461"/>
      <c r="B1369" s="461"/>
    </row>
    <row r="1370" spans="1:2">
      <c r="A1370" s="461"/>
      <c r="B1370" s="461"/>
    </row>
    <row r="1371" spans="1:2">
      <c r="A1371" s="461"/>
      <c r="B1371" s="461"/>
    </row>
    <row r="1372" spans="1:2">
      <c r="A1372" s="461"/>
      <c r="B1372" s="461"/>
    </row>
    <row r="1373" spans="1:2">
      <c r="A1373" s="461"/>
      <c r="B1373" s="461"/>
    </row>
    <row r="1374" spans="1:2">
      <c r="A1374" s="461"/>
      <c r="B1374" s="461"/>
    </row>
    <row r="1375" spans="1:2">
      <c r="A1375" s="461"/>
      <c r="B1375" s="461"/>
    </row>
    <row r="1376" spans="1:2">
      <c r="A1376" s="461"/>
      <c r="B1376" s="461"/>
    </row>
    <row r="1377" spans="1:2">
      <c r="A1377" s="461"/>
      <c r="B1377" s="461"/>
    </row>
    <row r="1378" spans="1:2">
      <c r="A1378" s="461"/>
      <c r="B1378" s="461"/>
    </row>
    <row r="1379" spans="1:2">
      <c r="A1379" s="461"/>
      <c r="B1379" s="461"/>
    </row>
    <row r="1380" spans="1:2">
      <c r="A1380" s="461"/>
      <c r="B1380" s="461"/>
    </row>
    <row r="1381" spans="1:2">
      <c r="A1381" s="461"/>
      <c r="B1381" s="461"/>
    </row>
    <row r="1382" spans="1:2">
      <c r="A1382" s="461"/>
      <c r="B1382" s="461"/>
    </row>
    <row r="1383" spans="1:2">
      <c r="A1383" s="461"/>
      <c r="B1383" s="461"/>
    </row>
    <row r="1384" spans="1:2">
      <c r="A1384" s="461"/>
      <c r="B1384" s="461"/>
    </row>
    <row r="1385" spans="1:2">
      <c r="A1385" s="461"/>
      <c r="B1385" s="461"/>
    </row>
    <row r="1386" spans="1:2">
      <c r="A1386" s="461"/>
      <c r="B1386" s="461"/>
    </row>
    <row r="1387" spans="1:2">
      <c r="A1387" s="461"/>
      <c r="B1387" s="461"/>
    </row>
    <row r="1388" spans="1:2">
      <c r="A1388" s="461"/>
      <c r="B1388" s="461"/>
    </row>
    <row r="1389" spans="1:2">
      <c r="A1389" s="461"/>
      <c r="B1389" s="461"/>
    </row>
    <row r="1390" spans="1:2">
      <c r="A1390" s="461"/>
      <c r="B1390" s="461"/>
    </row>
    <row r="1391" spans="1:2">
      <c r="A1391" s="461"/>
      <c r="B1391" s="461"/>
    </row>
    <row r="1392" spans="1:2">
      <c r="A1392" s="461"/>
      <c r="B1392" s="461"/>
    </row>
    <row r="1393" spans="1:2">
      <c r="A1393" s="461"/>
      <c r="B1393" s="461"/>
    </row>
    <row r="1394" spans="1:2">
      <c r="A1394" s="461"/>
      <c r="B1394" s="461"/>
    </row>
    <row r="1395" spans="1:2">
      <c r="A1395" s="461"/>
      <c r="B1395" s="461"/>
    </row>
    <row r="1396" spans="1:2">
      <c r="A1396" s="461"/>
      <c r="B1396" s="461"/>
    </row>
    <row r="1397" spans="1:2">
      <c r="A1397" s="461"/>
      <c r="B1397" s="461"/>
    </row>
    <row r="1398" spans="1:2">
      <c r="A1398" s="461"/>
      <c r="B1398" s="461"/>
    </row>
    <row r="1399" spans="1:2">
      <c r="A1399" s="461"/>
      <c r="B1399" s="461"/>
    </row>
    <row r="1400" spans="1:2">
      <c r="A1400" s="461"/>
      <c r="B1400" s="461"/>
    </row>
    <row r="1401" spans="1:2">
      <c r="A1401" s="461"/>
      <c r="B1401" s="461"/>
    </row>
    <row r="1402" spans="1:2">
      <c r="A1402" s="461"/>
      <c r="B1402" s="461"/>
    </row>
    <row r="1403" spans="1:2">
      <c r="A1403" s="461"/>
      <c r="B1403" s="461"/>
    </row>
    <row r="1404" spans="1:2">
      <c r="A1404" s="461"/>
      <c r="B1404" s="461"/>
    </row>
    <row r="1405" spans="1:2">
      <c r="A1405" s="461"/>
      <c r="B1405" s="461"/>
    </row>
    <row r="1406" spans="1:2">
      <c r="A1406" s="461"/>
      <c r="B1406" s="461"/>
    </row>
    <row r="1407" spans="1:2">
      <c r="A1407" s="461"/>
      <c r="B1407" s="461"/>
    </row>
    <row r="1408" spans="1:2">
      <c r="A1408" s="461"/>
      <c r="B1408" s="461"/>
    </row>
    <row r="1409" spans="1:2">
      <c r="A1409" s="461"/>
      <c r="B1409" s="461"/>
    </row>
    <row r="1410" spans="1:2">
      <c r="A1410" s="461"/>
      <c r="B1410" s="461"/>
    </row>
    <row r="1411" spans="1:2">
      <c r="A1411" s="461"/>
      <c r="B1411" s="461"/>
    </row>
    <row r="1412" spans="1:2">
      <c r="A1412" s="461"/>
      <c r="B1412" s="461"/>
    </row>
    <row r="1413" spans="1:2">
      <c r="A1413" s="461"/>
      <c r="B1413" s="461"/>
    </row>
    <row r="1414" spans="1:2">
      <c r="A1414" s="461"/>
      <c r="B1414" s="461"/>
    </row>
    <row r="1415" spans="1:2">
      <c r="A1415" s="461"/>
      <c r="B1415" s="461"/>
    </row>
    <row r="1416" spans="1:2">
      <c r="A1416" s="461"/>
      <c r="B1416" s="461"/>
    </row>
    <row r="1417" spans="1:2">
      <c r="A1417" s="461"/>
      <c r="B1417" s="461"/>
    </row>
    <row r="1418" spans="1:2">
      <c r="A1418" s="461"/>
      <c r="B1418" s="461"/>
    </row>
    <row r="1419" spans="1:2">
      <c r="A1419" s="461"/>
      <c r="B1419" s="461"/>
    </row>
    <row r="1420" spans="1:2">
      <c r="A1420" s="461"/>
      <c r="B1420" s="461"/>
    </row>
    <row r="1421" spans="1:2">
      <c r="A1421" s="461"/>
      <c r="B1421" s="461"/>
    </row>
    <row r="1422" spans="1:2">
      <c r="A1422" s="461"/>
      <c r="B1422" s="461"/>
    </row>
    <row r="1423" spans="1:2">
      <c r="A1423" s="461"/>
      <c r="B1423" s="461"/>
    </row>
    <row r="1424" spans="1:2">
      <c r="A1424" s="461"/>
      <c r="B1424" s="461"/>
    </row>
    <row r="1425" spans="1:2">
      <c r="A1425" s="461"/>
      <c r="B1425" s="461"/>
    </row>
    <row r="1426" spans="1:2">
      <c r="A1426" s="461"/>
      <c r="B1426" s="461"/>
    </row>
    <row r="1427" spans="1:2">
      <c r="A1427" s="461"/>
      <c r="B1427" s="461"/>
    </row>
    <row r="1428" spans="1:2">
      <c r="A1428" s="461"/>
      <c r="B1428" s="461"/>
    </row>
    <row r="1429" spans="1:2">
      <c r="A1429" s="461"/>
      <c r="B1429" s="461"/>
    </row>
    <row r="1430" spans="1:2">
      <c r="A1430" s="461"/>
      <c r="B1430" s="461"/>
    </row>
    <row r="1431" spans="1:2">
      <c r="A1431" s="461"/>
      <c r="B1431" s="461"/>
    </row>
    <row r="1432" spans="1:2">
      <c r="A1432" s="461"/>
      <c r="B1432" s="461"/>
    </row>
    <row r="1433" spans="1:2">
      <c r="A1433" s="461"/>
      <c r="B1433" s="461"/>
    </row>
    <row r="1434" spans="1:2">
      <c r="A1434" s="461"/>
      <c r="B1434" s="461"/>
    </row>
    <row r="1435" spans="1:2">
      <c r="A1435" s="461"/>
      <c r="B1435" s="461"/>
    </row>
    <row r="1436" spans="1:2">
      <c r="A1436" s="461"/>
      <c r="B1436" s="461"/>
    </row>
    <row r="1437" spans="1:2">
      <c r="A1437" s="461"/>
      <c r="B1437" s="461"/>
    </row>
    <row r="1438" spans="1:2">
      <c r="A1438" s="461"/>
      <c r="B1438" s="461"/>
    </row>
    <row r="1439" spans="1:2">
      <c r="A1439" s="461"/>
      <c r="B1439" s="461"/>
    </row>
    <row r="1440" spans="1:2">
      <c r="A1440" s="461"/>
      <c r="B1440" s="461"/>
    </row>
    <row r="1441" spans="1:2">
      <c r="A1441" s="461"/>
      <c r="B1441" s="461"/>
    </row>
    <row r="1442" spans="1:2">
      <c r="A1442" s="461"/>
      <c r="B1442" s="461"/>
    </row>
    <row r="1443" spans="1:2">
      <c r="A1443" s="461"/>
      <c r="B1443" s="461"/>
    </row>
    <row r="1444" spans="1:2">
      <c r="A1444" s="461"/>
      <c r="B1444" s="461"/>
    </row>
    <row r="1445" spans="1:2">
      <c r="A1445" s="461"/>
      <c r="B1445" s="461"/>
    </row>
    <row r="1446" spans="1:2">
      <c r="A1446" s="461"/>
      <c r="B1446" s="461"/>
    </row>
    <row r="1447" spans="1:2">
      <c r="A1447" s="461"/>
      <c r="B1447" s="461"/>
    </row>
    <row r="1448" spans="1:2">
      <c r="A1448" s="461"/>
      <c r="B1448" s="461"/>
    </row>
    <row r="1449" spans="1:2">
      <c r="A1449" s="461"/>
      <c r="B1449" s="461"/>
    </row>
    <row r="1450" spans="1:2">
      <c r="A1450" s="461"/>
      <c r="B1450" s="461"/>
    </row>
    <row r="1451" spans="1:2">
      <c r="A1451" s="461"/>
      <c r="B1451" s="461"/>
    </row>
    <row r="1452" spans="1:2">
      <c r="A1452" s="461"/>
      <c r="B1452" s="461"/>
    </row>
    <row r="1453" spans="1:2">
      <c r="A1453" s="461"/>
      <c r="B1453" s="461"/>
    </row>
    <row r="1454" spans="1:2">
      <c r="A1454" s="461"/>
      <c r="B1454" s="461"/>
    </row>
    <row r="1455" spans="1:2">
      <c r="A1455" s="461"/>
      <c r="B1455" s="461"/>
    </row>
    <row r="1456" spans="1:2">
      <c r="A1456" s="461"/>
      <c r="B1456" s="461"/>
    </row>
    <row r="1457" spans="1:2">
      <c r="A1457" s="461"/>
      <c r="B1457" s="461"/>
    </row>
    <row r="1458" spans="1:2">
      <c r="A1458" s="461"/>
      <c r="B1458" s="461"/>
    </row>
    <row r="1459" spans="1:2">
      <c r="A1459" s="461"/>
      <c r="B1459" s="461"/>
    </row>
    <row r="1460" spans="1:2">
      <c r="A1460" s="461"/>
      <c r="B1460" s="461"/>
    </row>
    <row r="1461" spans="1:2">
      <c r="A1461" s="461"/>
      <c r="B1461" s="461"/>
    </row>
    <row r="1462" spans="1:2">
      <c r="A1462" s="461"/>
      <c r="B1462" s="461"/>
    </row>
    <row r="1463" spans="1:2">
      <c r="A1463" s="461"/>
      <c r="B1463" s="461"/>
    </row>
    <row r="1464" spans="1:2">
      <c r="A1464" s="461"/>
      <c r="B1464" s="461"/>
    </row>
    <row r="1465" spans="1:2">
      <c r="A1465" s="461"/>
      <c r="B1465" s="461"/>
    </row>
    <row r="1466" spans="1:2">
      <c r="A1466" s="461"/>
      <c r="B1466" s="461"/>
    </row>
    <row r="1467" spans="1:2">
      <c r="A1467" s="461"/>
      <c r="B1467" s="461"/>
    </row>
    <row r="1468" spans="1:2">
      <c r="A1468" s="461"/>
      <c r="B1468" s="461"/>
    </row>
    <row r="1469" spans="1:2">
      <c r="A1469" s="461"/>
      <c r="B1469" s="461"/>
    </row>
    <row r="1470" spans="1:2">
      <c r="A1470" s="461"/>
      <c r="B1470" s="461"/>
    </row>
    <row r="1471" spans="1:2">
      <c r="A1471" s="461"/>
      <c r="B1471" s="461"/>
    </row>
    <row r="1472" spans="1:2">
      <c r="A1472" s="461"/>
      <c r="B1472" s="461"/>
    </row>
    <row r="1473" spans="1:2">
      <c r="A1473" s="461"/>
      <c r="B1473" s="461"/>
    </row>
    <row r="1474" spans="1:2">
      <c r="A1474" s="461"/>
      <c r="B1474" s="461"/>
    </row>
    <row r="1475" spans="1:2">
      <c r="A1475" s="461"/>
      <c r="B1475" s="461"/>
    </row>
    <row r="1476" spans="1:2">
      <c r="A1476" s="461"/>
      <c r="B1476" s="461"/>
    </row>
    <row r="1477" spans="1:2">
      <c r="A1477" s="461"/>
      <c r="B1477" s="461"/>
    </row>
    <row r="1478" spans="1:2">
      <c r="A1478" s="461"/>
      <c r="B1478" s="461"/>
    </row>
    <row r="1479" spans="1:2">
      <c r="A1479" s="461"/>
      <c r="B1479" s="461"/>
    </row>
    <row r="1480" spans="1:2">
      <c r="A1480" s="461"/>
      <c r="B1480" s="461"/>
    </row>
    <row r="1481" spans="1:2">
      <c r="A1481" s="461"/>
      <c r="B1481" s="461"/>
    </row>
    <row r="1482" spans="1:2">
      <c r="A1482" s="461"/>
      <c r="B1482" s="461"/>
    </row>
    <row r="1483" spans="1:2">
      <c r="A1483" s="461"/>
      <c r="B1483" s="461"/>
    </row>
    <row r="1484" spans="1:2">
      <c r="A1484" s="461"/>
      <c r="B1484" s="461"/>
    </row>
    <row r="1485" spans="1:2">
      <c r="A1485" s="461"/>
      <c r="B1485" s="461"/>
    </row>
    <row r="1486" spans="1:2">
      <c r="A1486" s="461"/>
      <c r="B1486" s="461"/>
    </row>
    <row r="1487" spans="1:2">
      <c r="A1487" s="461"/>
      <c r="B1487" s="461"/>
    </row>
    <row r="1488" spans="1:2">
      <c r="A1488" s="461"/>
      <c r="B1488" s="461"/>
    </row>
    <row r="1489" spans="1:2">
      <c r="A1489" s="461"/>
      <c r="B1489" s="461"/>
    </row>
    <row r="1490" spans="1:2">
      <c r="A1490" s="461"/>
      <c r="B1490" s="461"/>
    </row>
    <row r="1491" spans="1:2">
      <c r="A1491" s="461"/>
      <c r="B1491" s="461"/>
    </row>
    <row r="1492" spans="1:2">
      <c r="A1492" s="461"/>
      <c r="B1492" s="461"/>
    </row>
    <row r="1493" spans="1:2">
      <c r="A1493" s="461"/>
      <c r="B1493" s="461"/>
    </row>
    <row r="1494" spans="1:2">
      <c r="A1494" s="461"/>
      <c r="B1494" s="461"/>
    </row>
    <row r="1495" spans="1:2">
      <c r="A1495" s="461"/>
      <c r="B1495" s="461"/>
    </row>
    <row r="1496" spans="1:2">
      <c r="A1496" s="461"/>
      <c r="B1496" s="461"/>
    </row>
    <row r="1497" spans="1:2">
      <c r="A1497" s="461"/>
      <c r="B1497" s="461"/>
    </row>
    <row r="1498" spans="1:2">
      <c r="A1498" s="461"/>
      <c r="B1498" s="461"/>
    </row>
    <row r="1499" spans="1:2">
      <c r="A1499" s="461"/>
      <c r="B1499" s="461"/>
    </row>
    <row r="1500" spans="1:2">
      <c r="A1500" s="461"/>
      <c r="B1500" s="461"/>
    </row>
    <row r="1501" spans="1:2">
      <c r="A1501" s="461"/>
      <c r="B1501" s="461"/>
    </row>
    <row r="1502" spans="1:2">
      <c r="A1502" s="461"/>
      <c r="B1502" s="461"/>
    </row>
    <row r="1503" spans="1:2">
      <c r="A1503" s="461"/>
      <c r="B1503" s="461"/>
    </row>
    <row r="1504" spans="1:2">
      <c r="A1504" s="461"/>
      <c r="B1504" s="461"/>
    </row>
    <row r="1505" spans="1:2">
      <c r="A1505" s="461"/>
      <c r="B1505" s="461"/>
    </row>
    <row r="1506" spans="1:2">
      <c r="A1506" s="461"/>
      <c r="B1506" s="461"/>
    </row>
    <row r="1507" spans="1:2">
      <c r="A1507" s="461"/>
      <c r="B1507" s="461"/>
    </row>
    <row r="1508" spans="1:2">
      <c r="A1508" s="461"/>
      <c r="B1508" s="461"/>
    </row>
    <row r="1509" spans="1:2">
      <c r="A1509" s="461"/>
      <c r="B1509" s="461"/>
    </row>
    <row r="1510" spans="1:2">
      <c r="A1510" s="461"/>
      <c r="B1510" s="461"/>
    </row>
    <row r="1511" spans="1:2">
      <c r="A1511" s="461"/>
      <c r="B1511" s="461"/>
    </row>
    <row r="1512" spans="1:2">
      <c r="A1512" s="461"/>
      <c r="B1512" s="461"/>
    </row>
    <row r="1513" spans="1:2">
      <c r="A1513" s="461"/>
      <c r="B1513" s="461"/>
    </row>
    <row r="1514" spans="1:2">
      <c r="A1514" s="461"/>
      <c r="B1514" s="461"/>
    </row>
    <row r="1515" spans="1:2">
      <c r="A1515" s="461"/>
      <c r="B1515" s="461"/>
    </row>
    <row r="1516" spans="1:2">
      <c r="A1516" s="461"/>
      <c r="B1516" s="461"/>
    </row>
    <row r="1517" spans="1:2">
      <c r="A1517" s="461"/>
      <c r="B1517" s="461"/>
    </row>
    <row r="1518" spans="1:2">
      <c r="A1518" s="461"/>
      <c r="B1518" s="461"/>
    </row>
    <row r="1519" spans="1:2">
      <c r="A1519" s="461"/>
      <c r="B1519" s="461"/>
    </row>
    <row r="1520" spans="1:2">
      <c r="A1520" s="461"/>
      <c r="B1520" s="461"/>
    </row>
    <row r="1521" spans="1:2">
      <c r="A1521" s="461"/>
      <c r="B1521" s="461"/>
    </row>
    <row r="1522" spans="1:2">
      <c r="A1522" s="461"/>
      <c r="B1522" s="461"/>
    </row>
    <row r="1523" spans="1:2">
      <c r="A1523" s="461"/>
      <c r="B1523" s="461"/>
    </row>
    <row r="1524" spans="1:2">
      <c r="A1524" s="461"/>
      <c r="B1524" s="461"/>
    </row>
    <row r="1525" spans="1:2">
      <c r="A1525" s="461"/>
      <c r="B1525" s="461"/>
    </row>
    <row r="1526" spans="1:2">
      <c r="A1526" s="461"/>
      <c r="B1526" s="461"/>
    </row>
    <row r="1527" spans="1:2">
      <c r="A1527" s="461"/>
      <c r="B1527" s="461"/>
    </row>
    <row r="1528" spans="1:2">
      <c r="A1528" s="461"/>
      <c r="B1528" s="461"/>
    </row>
    <row r="1529" spans="1:2">
      <c r="A1529" s="461"/>
      <c r="B1529" s="461"/>
    </row>
    <row r="1530" spans="1:2">
      <c r="A1530" s="461"/>
      <c r="B1530" s="461"/>
    </row>
    <row r="1531" spans="1:2">
      <c r="A1531" s="461"/>
      <c r="B1531" s="461"/>
    </row>
    <row r="1532" spans="1:2">
      <c r="A1532" s="461"/>
      <c r="B1532" s="461"/>
    </row>
    <row r="1533" spans="1:2">
      <c r="A1533" s="461"/>
      <c r="B1533" s="461"/>
    </row>
    <row r="1534" spans="1:2">
      <c r="A1534" s="461"/>
      <c r="B1534" s="461"/>
    </row>
    <row r="1535" spans="1:2">
      <c r="A1535" s="461"/>
      <c r="B1535" s="461"/>
    </row>
    <row r="1536" spans="1:2">
      <c r="A1536" s="461"/>
      <c r="B1536" s="461"/>
    </row>
    <row r="1537" spans="1:2">
      <c r="A1537" s="461"/>
      <c r="B1537" s="461"/>
    </row>
    <row r="1538" spans="1:2">
      <c r="A1538" s="461"/>
      <c r="B1538" s="461"/>
    </row>
    <row r="1539" spans="1:2">
      <c r="A1539" s="461"/>
      <c r="B1539" s="461"/>
    </row>
    <row r="1540" spans="1:2">
      <c r="A1540" s="461"/>
      <c r="B1540" s="461"/>
    </row>
    <row r="1541" spans="1:2">
      <c r="A1541" s="461"/>
      <c r="B1541" s="461"/>
    </row>
    <row r="1542" spans="1:2">
      <c r="A1542" s="461"/>
      <c r="B1542" s="461"/>
    </row>
    <row r="1543" spans="1:2">
      <c r="A1543" s="461"/>
      <c r="B1543" s="461"/>
    </row>
    <row r="1544" spans="1:2">
      <c r="A1544" s="461"/>
      <c r="B1544" s="461"/>
    </row>
    <row r="1545" spans="1:2">
      <c r="A1545" s="461"/>
      <c r="B1545" s="461"/>
    </row>
    <row r="1546" spans="1:2">
      <c r="A1546" s="461"/>
      <c r="B1546" s="461"/>
    </row>
    <row r="1547" spans="1:2">
      <c r="A1547" s="461"/>
      <c r="B1547" s="461"/>
    </row>
    <row r="1548" spans="1:2">
      <c r="A1548" s="461"/>
      <c r="B1548" s="461"/>
    </row>
    <row r="1549" spans="1:2">
      <c r="A1549" s="461"/>
      <c r="B1549" s="461"/>
    </row>
    <row r="1550" spans="1:2">
      <c r="A1550" s="461"/>
      <c r="B1550" s="461"/>
    </row>
    <row r="1551" spans="1:2">
      <c r="A1551" s="461"/>
      <c r="B1551" s="461"/>
    </row>
    <row r="1552" spans="1:2">
      <c r="A1552" s="461"/>
      <c r="B1552" s="461"/>
    </row>
    <row r="1553" spans="1:2">
      <c r="A1553" s="461"/>
      <c r="B1553" s="461"/>
    </row>
    <row r="1554" spans="1:2">
      <c r="A1554" s="461"/>
      <c r="B1554" s="461"/>
    </row>
    <row r="1555" spans="1:2">
      <c r="A1555" s="461"/>
      <c r="B1555" s="461"/>
    </row>
    <row r="1556" spans="1:2">
      <c r="A1556" s="461"/>
      <c r="B1556" s="461"/>
    </row>
    <row r="1557" spans="1:2">
      <c r="A1557" s="461"/>
      <c r="B1557" s="461"/>
    </row>
    <row r="1558" spans="1:2">
      <c r="A1558" s="461"/>
      <c r="B1558" s="461"/>
    </row>
    <row r="1559" spans="1:2">
      <c r="A1559" s="461"/>
      <c r="B1559" s="461"/>
    </row>
    <row r="1560" spans="1:2">
      <c r="A1560" s="461"/>
      <c r="B1560" s="461"/>
    </row>
    <row r="1561" spans="1:2">
      <c r="A1561" s="461"/>
      <c r="B1561" s="461"/>
    </row>
    <row r="1562" spans="1:2">
      <c r="A1562" s="461"/>
      <c r="B1562" s="461"/>
    </row>
    <row r="1563" spans="1:2">
      <c r="A1563" s="461"/>
      <c r="B1563" s="461"/>
    </row>
    <row r="1564" spans="1:2">
      <c r="A1564" s="461"/>
      <c r="B1564" s="461"/>
    </row>
    <row r="1565" spans="1:2">
      <c r="A1565" s="461"/>
      <c r="B1565" s="461"/>
    </row>
    <row r="1566" spans="1:2">
      <c r="A1566" s="461"/>
      <c r="B1566" s="461"/>
    </row>
    <row r="1567" spans="1:2">
      <c r="A1567" s="461"/>
      <c r="B1567" s="461"/>
    </row>
    <row r="1568" spans="1:2">
      <c r="A1568" s="461"/>
      <c r="B1568" s="461"/>
    </row>
    <row r="1569" spans="1:2">
      <c r="A1569" s="461"/>
      <c r="B1569" s="461"/>
    </row>
    <row r="1570" spans="1:2">
      <c r="A1570" s="461"/>
      <c r="B1570" s="461"/>
    </row>
    <row r="1571" spans="1:2">
      <c r="A1571" s="461"/>
      <c r="B1571" s="461"/>
    </row>
    <row r="1572" spans="1:2">
      <c r="A1572" s="461"/>
      <c r="B1572" s="461"/>
    </row>
    <row r="1573" spans="1:2">
      <c r="A1573" s="461"/>
      <c r="B1573" s="461"/>
    </row>
    <row r="1574" spans="1:2">
      <c r="A1574" s="461"/>
      <c r="B1574" s="461"/>
    </row>
    <row r="1575" spans="1:2">
      <c r="A1575" s="461"/>
      <c r="B1575" s="461"/>
    </row>
    <row r="1576" spans="1:2">
      <c r="A1576" s="461"/>
      <c r="B1576" s="461"/>
    </row>
    <row r="1577" spans="1:2">
      <c r="A1577" s="461"/>
      <c r="B1577" s="461"/>
    </row>
    <row r="1578" spans="1:2">
      <c r="A1578" s="461"/>
      <c r="B1578" s="461"/>
    </row>
    <row r="1579" spans="1:2">
      <c r="A1579" s="461"/>
      <c r="B1579" s="461"/>
    </row>
    <row r="1580" spans="1:2">
      <c r="A1580" s="461"/>
      <c r="B1580" s="461"/>
    </row>
    <row r="1581" spans="1:2">
      <c r="A1581" s="461"/>
      <c r="B1581" s="461"/>
    </row>
    <row r="1582" spans="1:2">
      <c r="A1582" s="461"/>
      <c r="B1582" s="461"/>
    </row>
    <row r="1583" spans="1:2">
      <c r="A1583" s="461"/>
      <c r="B1583" s="461"/>
    </row>
    <row r="1584" spans="1:2">
      <c r="A1584" s="461"/>
      <c r="B1584" s="461"/>
    </row>
    <row r="1585" spans="1:2">
      <c r="A1585" s="461"/>
      <c r="B1585" s="461"/>
    </row>
    <row r="1586" spans="1:2">
      <c r="A1586" s="461"/>
      <c r="B1586" s="461"/>
    </row>
    <row r="1587" spans="1:2">
      <c r="A1587" s="461"/>
      <c r="B1587" s="461"/>
    </row>
    <row r="1588" spans="1:2">
      <c r="A1588" s="461"/>
      <c r="B1588" s="461"/>
    </row>
    <row r="1589" spans="1:2">
      <c r="A1589" s="461"/>
      <c r="B1589" s="461"/>
    </row>
    <row r="1590" spans="1:2">
      <c r="A1590" s="461"/>
      <c r="B1590" s="461"/>
    </row>
    <row r="1591" spans="1:2">
      <c r="A1591" s="461"/>
      <c r="B1591" s="461"/>
    </row>
    <row r="1592" spans="1:2">
      <c r="A1592" s="461"/>
      <c r="B1592" s="461"/>
    </row>
    <row r="1593" spans="1:2">
      <c r="A1593" s="461"/>
      <c r="B1593" s="461"/>
    </row>
    <row r="1594" spans="1:2">
      <c r="A1594" s="461"/>
      <c r="B1594" s="461"/>
    </row>
    <row r="1595" spans="1:2">
      <c r="A1595" s="461"/>
      <c r="B1595" s="461"/>
    </row>
    <row r="1596" spans="1:2">
      <c r="A1596" s="461"/>
      <c r="B1596" s="461"/>
    </row>
    <row r="1597" spans="1:2">
      <c r="A1597" s="461"/>
      <c r="B1597" s="461"/>
    </row>
    <row r="1598" spans="1:2">
      <c r="A1598" s="461"/>
      <c r="B1598" s="461"/>
    </row>
    <row r="1599" spans="1:2">
      <c r="A1599" s="461"/>
      <c r="B1599" s="461"/>
    </row>
    <row r="1600" spans="1:2">
      <c r="A1600" s="461"/>
      <c r="B1600" s="461"/>
    </row>
    <row r="1601" spans="1:2">
      <c r="A1601" s="461"/>
      <c r="B1601" s="461"/>
    </row>
    <row r="1602" spans="1:2">
      <c r="A1602" s="461"/>
      <c r="B1602" s="461"/>
    </row>
    <row r="1603" spans="1:2">
      <c r="A1603" s="461"/>
      <c r="B1603" s="461"/>
    </row>
    <row r="1604" spans="1:2">
      <c r="A1604" s="461"/>
      <c r="B1604" s="461"/>
    </row>
    <row r="1605" spans="1:2">
      <c r="A1605" s="461"/>
      <c r="B1605" s="461"/>
    </row>
    <row r="1606" spans="1:2">
      <c r="A1606" s="461"/>
      <c r="B1606" s="461"/>
    </row>
    <row r="1607" spans="1:2">
      <c r="A1607" s="461"/>
      <c r="B1607" s="461"/>
    </row>
    <row r="1608" spans="1:2">
      <c r="A1608" s="461"/>
      <c r="B1608" s="461"/>
    </row>
    <row r="1609" spans="1:2">
      <c r="A1609" s="461"/>
      <c r="B1609" s="461"/>
    </row>
    <row r="1610" spans="1:2">
      <c r="A1610" s="461"/>
      <c r="B1610" s="461"/>
    </row>
    <row r="1611" spans="1:2">
      <c r="A1611" s="461"/>
      <c r="B1611" s="461"/>
    </row>
    <row r="1612" spans="1:2">
      <c r="A1612" s="461"/>
      <c r="B1612" s="461"/>
    </row>
    <row r="1613" spans="1:2">
      <c r="A1613" s="461"/>
      <c r="B1613" s="461"/>
    </row>
    <row r="1614" spans="1:2">
      <c r="A1614" s="461"/>
      <c r="B1614" s="461"/>
    </row>
    <row r="1615" spans="1:2">
      <c r="A1615" s="461"/>
      <c r="B1615" s="461"/>
    </row>
    <row r="1616" spans="1:2">
      <c r="A1616" s="461"/>
      <c r="B1616" s="461"/>
    </row>
    <row r="1617" spans="1:2">
      <c r="A1617" s="461"/>
      <c r="B1617" s="461"/>
    </row>
    <row r="1618" spans="1:2">
      <c r="A1618" s="461"/>
      <c r="B1618" s="461"/>
    </row>
    <row r="1619" spans="1:2">
      <c r="A1619" s="461"/>
      <c r="B1619" s="461"/>
    </row>
    <row r="1620" spans="1:2">
      <c r="A1620" s="461"/>
      <c r="B1620" s="461"/>
    </row>
    <row r="1621" spans="1:2">
      <c r="A1621" s="461"/>
      <c r="B1621" s="461"/>
    </row>
    <row r="1622" spans="1:2">
      <c r="A1622" s="461"/>
      <c r="B1622" s="461"/>
    </row>
    <row r="1623" spans="1:2">
      <c r="A1623" s="461"/>
      <c r="B1623" s="461"/>
    </row>
    <row r="1624" spans="1:2">
      <c r="A1624" s="461"/>
      <c r="B1624" s="461"/>
    </row>
    <row r="1625" spans="1:2">
      <c r="A1625" s="461"/>
      <c r="B1625" s="461"/>
    </row>
    <row r="1626" spans="1:2">
      <c r="A1626" s="461"/>
      <c r="B1626" s="461"/>
    </row>
    <row r="1627" spans="1:2">
      <c r="A1627" s="461"/>
      <c r="B1627" s="461"/>
    </row>
    <row r="1628" spans="1:2">
      <c r="A1628" s="461"/>
      <c r="B1628" s="461"/>
    </row>
    <row r="1629" spans="1:2">
      <c r="A1629" s="461"/>
      <c r="B1629" s="461"/>
    </row>
    <row r="1630" spans="1:2">
      <c r="A1630" s="461"/>
      <c r="B1630" s="461"/>
    </row>
    <row r="1631" spans="1:2">
      <c r="A1631" s="461"/>
      <c r="B1631" s="461"/>
    </row>
    <row r="1632" spans="1:2">
      <c r="A1632" s="461"/>
      <c r="B1632" s="461"/>
    </row>
    <row r="1633" spans="1:2">
      <c r="A1633" s="461"/>
      <c r="B1633" s="461"/>
    </row>
    <row r="1634" spans="1:2">
      <c r="A1634" s="461"/>
      <c r="B1634" s="461"/>
    </row>
    <row r="1635" spans="1:2">
      <c r="A1635" s="461"/>
      <c r="B1635" s="461"/>
    </row>
    <row r="1636" spans="1:2">
      <c r="A1636" s="461"/>
      <c r="B1636" s="461"/>
    </row>
    <row r="1637" spans="1:2">
      <c r="A1637" s="461"/>
      <c r="B1637" s="461"/>
    </row>
    <row r="1638" spans="1:2">
      <c r="A1638" s="461"/>
      <c r="B1638" s="461"/>
    </row>
    <row r="1639" spans="1:2">
      <c r="A1639" s="461"/>
      <c r="B1639" s="461"/>
    </row>
    <row r="1640" spans="1:2">
      <c r="A1640" s="461"/>
      <c r="B1640" s="461"/>
    </row>
    <row r="1641" spans="1:2">
      <c r="A1641" s="461"/>
      <c r="B1641" s="461"/>
    </row>
    <row r="1642" spans="1:2">
      <c r="A1642" s="461"/>
      <c r="B1642" s="461"/>
    </row>
    <row r="1643" spans="1:2">
      <c r="A1643" s="461"/>
      <c r="B1643" s="461"/>
    </row>
    <row r="1644" spans="1:2">
      <c r="A1644" s="461"/>
      <c r="B1644" s="461"/>
    </row>
    <row r="1645" spans="1:2">
      <c r="A1645" s="461"/>
      <c r="B1645" s="461"/>
    </row>
    <row r="1646" spans="1:2">
      <c r="A1646" s="461"/>
      <c r="B1646" s="461"/>
    </row>
    <row r="1647" spans="1:2">
      <c r="A1647" s="461"/>
      <c r="B1647" s="461"/>
    </row>
    <row r="1648" spans="1:2">
      <c r="A1648" s="461"/>
      <c r="B1648" s="461"/>
    </row>
    <row r="1649" spans="1:2">
      <c r="A1649" s="461"/>
      <c r="B1649" s="461"/>
    </row>
    <row r="1650" spans="1:2">
      <c r="A1650" s="461"/>
      <c r="B1650" s="461"/>
    </row>
    <row r="1651" spans="1:2">
      <c r="A1651" s="461"/>
      <c r="B1651" s="461"/>
    </row>
    <row r="1652" spans="1:2">
      <c r="A1652" s="461"/>
      <c r="B1652" s="461"/>
    </row>
    <row r="1653" spans="1:2">
      <c r="A1653" s="461"/>
      <c r="B1653" s="461"/>
    </row>
    <row r="1654" spans="1:2">
      <c r="A1654" s="461"/>
      <c r="B1654" s="461"/>
    </row>
    <row r="1655" spans="1:2">
      <c r="A1655" s="461"/>
      <c r="B1655" s="461"/>
    </row>
    <row r="1656" spans="1:2">
      <c r="A1656" s="461"/>
      <c r="B1656" s="461"/>
    </row>
    <row r="1657" spans="1:2">
      <c r="A1657" s="461"/>
      <c r="B1657" s="461"/>
    </row>
    <row r="1658" spans="1:2">
      <c r="A1658" s="461"/>
      <c r="B1658" s="461"/>
    </row>
    <row r="1659" spans="1:2">
      <c r="A1659" s="461"/>
      <c r="B1659" s="461"/>
    </row>
    <row r="1660" spans="1:2">
      <c r="A1660" s="461"/>
      <c r="B1660" s="461"/>
    </row>
    <row r="1661" spans="1:2">
      <c r="A1661" s="461"/>
      <c r="B1661" s="461"/>
    </row>
    <row r="1662" spans="1:2">
      <c r="A1662" s="461"/>
      <c r="B1662" s="461"/>
    </row>
    <row r="1663" spans="1:2">
      <c r="A1663" s="461"/>
      <c r="B1663" s="461"/>
    </row>
    <row r="1664" spans="1:2">
      <c r="A1664" s="461"/>
      <c r="B1664" s="461"/>
    </row>
    <row r="1665" spans="1:2">
      <c r="A1665" s="461"/>
      <c r="B1665" s="461"/>
    </row>
    <row r="1666" spans="1:2">
      <c r="A1666" s="461"/>
      <c r="B1666" s="461"/>
    </row>
    <row r="1667" spans="1:2">
      <c r="A1667" s="461"/>
      <c r="B1667" s="461"/>
    </row>
    <row r="1668" spans="1:2">
      <c r="A1668" s="461"/>
      <c r="B1668" s="461"/>
    </row>
    <row r="1669" spans="1:2">
      <c r="A1669" s="461"/>
      <c r="B1669" s="461"/>
    </row>
    <row r="1670" spans="1:2">
      <c r="A1670" s="461"/>
      <c r="B1670" s="461"/>
    </row>
    <row r="1671" spans="1:2">
      <c r="A1671" s="461"/>
      <c r="B1671" s="461"/>
    </row>
    <row r="1672" spans="1:2">
      <c r="A1672" s="461"/>
      <c r="B1672" s="461"/>
    </row>
    <row r="1673" spans="1:2">
      <c r="A1673" s="461"/>
      <c r="B1673" s="461"/>
    </row>
    <row r="1674" spans="1:2">
      <c r="A1674" s="461"/>
      <c r="B1674" s="461"/>
    </row>
    <row r="1675" spans="1:2">
      <c r="A1675" s="461"/>
      <c r="B1675" s="461"/>
    </row>
    <row r="1676" spans="1:2">
      <c r="A1676" s="461"/>
      <c r="B1676" s="461"/>
    </row>
    <row r="1677" spans="1:2">
      <c r="A1677" s="461"/>
      <c r="B1677" s="461"/>
    </row>
    <row r="1678" spans="1:2">
      <c r="A1678" s="461"/>
      <c r="B1678" s="461"/>
    </row>
    <row r="1679" spans="1:2">
      <c r="A1679" s="461"/>
      <c r="B1679" s="461"/>
    </row>
    <row r="1680" spans="1:2">
      <c r="A1680" s="461"/>
      <c r="B1680" s="461"/>
    </row>
    <row r="1681" spans="1:2">
      <c r="A1681" s="461"/>
      <c r="B1681" s="461"/>
    </row>
    <row r="1682" spans="1:2">
      <c r="A1682" s="461"/>
      <c r="B1682" s="461"/>
    </row>
    <row r="1683" spans="1:2">
      <c r="A1683" s="461"/>
      <c r="B1683" s="461"/>
    </row>
    <row r="1684" spans="1:2">
      <c r="A1684" s="461"/>
      <c r="B1684" s="461"/>
    </row>
    <row r="1685" spans="1:2">
      <c r="A1685" s="461"/>
      <c r="B1685" s="461"/>
    </row>
    <row r="1686" spans="1:2">
      <c r="A1686" s="461"/>
      <c r="B1686" s="461"/>
    </row>
    <row r="1687" spans="1:2">
      <c r="A1687" s="461"/>
      <c r="B1687" s="461"/>
    </row>
    <row r="1688" spans="1:2">
      <c r="A1688" s="461"/>
      <c r="B1688" s="461"/>
    </row>
    <row r="1689" spans="1:2">
      <c r="A1689" s="461"/>
      <c r="B1689" s="461"/>
    </row>
    <row r="1690" spans="1:2">
      <c r="A1690" s="461"/>
      <c r="B1690" s="461"/>
    </row>
    <row r="1691" spans="1:2">
      <c r="A1691" s="461"/>
      <c r="B1691" s="461"/>
    </row>
    <row r="1692" spans="1:2">
      <c r="A1692" s="461"/>
      <c r="B1692" s="461"/>
    </row>
    <row r="1693" spans="1:2">
      <c r="A1693" s="461"/>
      <c r="B1693" s="461"/>
    </row>
    <row r="1694" spans="1:2">
      <c r="A1694" s="461"/>
      <c r="B1694" s="461"/>
    </row>
    <row r="1695" spans="1:2">
      <c r="A1695" s="461"/>
      <c r="B1695" s="461"/>
    </row>
    <row r="1696" spans="1:2">
      <c r="A1696" s="461"/>
      <c r="B1696" s="461"/>
    </row>
    <row r="1697" spans="1:2">
      <c r="A1697" s="461"/>
      <c r="B1697" s="461"/>
    </row>
    <row r="1698" spans="1:2">
      <c r="A1698" s="461"/>
      <c r="B1698" s="461"/>
    </row>
    <row r="1699" spans="1:2">
      <c r="A1699" s="461"/>
      <c r="B1699" s="461"/>
    </row>
    <row r="1700" spans="1:2">
      <c r="A1700" s="461"/>
      <c r="B1700" s="461"/>
    </row>
    <row r="1701" spans="1:2">
      <c r="A1701" s="461"/>
      <c r="B1701" s="461"/>
    </row>
    <row r="1702" spans="1:2">
      <c r="A1702" s="461"/>
      <c r="B1702" s="461"/>
    </row>
    <row r="1703" spans="1:2">
      <c r="A1703" s="461"/>
      <c r="B1703" s="461"/>
    </row>
    <row r="1704" spans="1:2">
      <c r="A1704" s="461"/>
      <c r="B1704" s="461"/>
    </row>
    <row r="1705" spans="1:2">
      <c r="A1705" s="461"/>
      <c r="B1705" s="461"/>
    </row>
    <row r="1706" spans="1:2">
      <c r="A1706" s="461"/>
      <c r="B1706" s="461"/>
    </row>
    <row r="1707" spans="1:2">
      <c r="A1707" s="461"/>
      <c r="B1707" s="461"/>
    </row>
    <row r="1708" spans="1:2">
      <c r="A1708" s="461"/>
      <c r="B1708" s="461"/>
    </row>
    <row r="1709" spans="1:2">
      <c r="A1709" s="461"/>
      <c r="B1709" s="461"/>
    </row>
    <row r="1710" spans="1:2">
      <c r="A1710" s="461"/>
      <c r="B1710" s="461"/>
    </row>
    <row r="1711" spans="1:2">
      <c r="A1711" s="461"/>
      <c r="B1711" s="461"/>
    </row>
    <row r="1712" spans="1:2">
      <c r="A1712" s="461"/>
      <c r="B1712" s="461"/>
    </row>
    <row r="1713" spans="1:2">
      <c r="A1713" s="461"/>
      <c r="B1713" s="461"/>
    </row>
    <row r="1714" spans="1:2">
      <c r="A1714" s="461"/>
      <c r="B1714" s="461"/>
    </row>
    <row r="1715" spans="1:2">
      <c r="A1715" s="461"/>
      <c r="B1715" s="461"/>
    </row>
    <row r="1716" spans="1:2">
      <c r="A1716" s="461"/>
      <c r="B1716" s="461"/>
    </row>
    <row r="1717" spans="1:2">
      <c r="A1717" s="461"/>
      <c r="B1717" s="461"/>
    </row>
    <row r="1718" spans="1:2">
      <c r="A1718" s="461"/>
      <c r="B1718" s="461"/>
    </row>
    <row r="1719" spans="1:2">
      <c r="A1719" s="461"/>
      <c r="B1719" s="461"/>
    </row>
    <row r="1720" spans="1:2">
      <c r="A1720" s="461"/>
      <c r="B1720" s="461"/>
    </row>
    <row r="1721" spans="1:2">
      <c r="A1721" s="461"/>
      <c r="B1721" s="461"/>
    </row>
    <row r="1722" spans="1:2">
      <c r="A1722" s="461"/>
      <c r="B1722" s="461"/>
    </row>
    <row r="1723" spans="1:2">
      <c r="A1723" s="461"/>
      <c r="B1723" s="461"/>
    </row>
    <row r="1724" spans="1:2">
      <c r="A1724" s="461"/>
      <c r="B1724" s="461"/>
    </row>
    <row r="1725" spans="1:2">
      <c r="A1725" s="461"/>
      <c r="B1725" s="461"/>
    </row>
    <row r="1726" spans="1:2">
      <c r="A1726" s="461"/>
      <c r="B1726" s="461"/>
    </row>
    <row r="1727" spans="1:2">
      <c r="A1727" s="461"/>
      <c r="B1727" s="461"/>
    </row>
    <row r="1728" spans="1:2">
      <c r="A1728" s="461"/>
      <c r="B1728" s="461"/>
    </row>
    <row r="1729" spans="1:2">
      <c r="A1729" s="461"/>
      <c r="B1729" s="461"/>
    </row>
    <row r="1730" spans="1:2">
      <c r="A1730" s="461"/>
      <c r="B1730" s="461"/>
    </row>
    <row r="1731" spans="1:2">
      <c r="A1731" s="461"/>
      <c r="B1731" s="461"/>
    </row>
    <row r="1732" spans="1:2">
      <c r="A1732" s="461"/>
      <c r="B1732" s="461"/>
    </row>
    <row r="1733" spans="1:2">
      <c r="A1733" s="461"/>
      <c r="B1733" s="461"/>
    </row>
    <row r="1734" spans="1:2">
      <c r="A1734" s="461"/>
      <c r="B1734" s="461"/>
    </row>
    <row r="1735" spans="1:2">
      <c r="A1735" s="461"/>
      <c r="B1735" s="461"/>
    </row>
    <row r="1736" spans="1:2">
      <c r="A1736" s="461"/>
      <c r="B1736" s="461"/>
    </row>
    <row r="1737" spans="1:2">
      <c r="A1737" s="461"/>
      <c r="B1737" s="461"/>
    </row>
    <row r="1738" spans="1:2">
      <c r="A1738" s="461"/>
      <c r="B1738" s="461"/>
    </row>
    <row r="1739" spans="1:2">
      <c r="A1739" s="461"/>
      <c r="B1739" s="461"/>
    </row>
    <row r="1740" spans="1:2">
      <c r="A1740" s="461"/>
      <c r="B1740" s="461"/>
    </row>
    <row r="1741" spans="1:2">
      <c r="A1741" s="461"/>
      <c r="B1741" s="461"/>
    </row>
    <row r="1742" spans="1:2">
      <c r="A1742" s="461"/>
      <c r="B1742" s="461"/>
    </row>
    <row r="1743" spans="1:2">
      <c r="A1743" s="461"/>
      <c r="B1743" s="461"/>
    </row>
    <row r="1744" spans="1:2">
      <c r="A1744" s="461"/>
      <c r="B1744" s="461"/>
    </row>
    <row r="1745" spans="1:2">
      <c r="A1745" s="461"/>
      <c r="B1745" s="461"/>
    </row>
    <row r="1746" spans="1:2">
      <c r="A1746" s="461"/>
      <c r="B1746" s="461"/>
    </row>
    <row r="1747" spans="1:2">
      <c r="A1747" s="461"/>
      <c r="B1747" s="461"/>
    </row>
    <row r="1748" spans="1:2">
      <c r="A1748" s="461"/>
      <c r="B1748" s="461"/>
    </row>
    <row r="1749" spans="1:2">
      <c r="A1749" s="461"/>
      <c r="B1749" s="461"/>
    </row>
    <row r="1750" spans="1:2">
      <c r="A1750" s="461"/>
      <c r="B1750" s="461"/>
    </row>
    <row r="1751" spans="1:2">
      <c r="A1751" s="461"/>
      <c r="B1751" s="461"/>
    </row>
    <row r="1752" spans="1:2">
      <c r="A1752" s="461"/>
      <c r="B1752" s="461"/>
    </row>
    <row r="1753" spans="1:2">
      <c r="A1753" s="461"/>
      <c r="B1753" s="461"/>
    </row>
    <row r="1754" spans="1:2">
      <c r="A1754" s="461"/>
      <c r="B1754" s="461"/>
    </row>
    <row r="1755" spans="1:2">
      <c r="A1755" s="461"/>
      <c r="B1755" s="461"/>
    </row>
    <row r="1756" spans="1:2">
      <c r="A1756" s="461"/>
      <c r="B1756" s="461"/>
    </row>
    <row r="1757" spans="1:2">
      <c r="A1757" s="461"/>
      <c r="B1757" s="461"/>
    </row>
    <row r="1758" spans="1:2">
      <c r="A1758" s="461"/>
      <c r="B1758" s="461"/>
    </row>
    <row r="1759" spans="1:2">
      <c r="A1759" s="461"/>
      <c r="B1759" s="461"/>
    </row>
    <row r="1760" spans="1:2">
      <c r="A1760" s="461"/>
      <c r="B1760" s="461"/>
    </row>
    <row r="1761" spans="1:2">
      <c r="A1761" s="461"/>
      <c r="B1761" s="461"/>
    </row>
    <row r="1762" spans="1:2">
      <c r="A1762" s="461"/>
      <c r="B1762" s="461"/>
    </row>
    <row r="1763" spans="1:2">
      <c r="A1763" s="461"/>
      <c r="B1763" s="461"/>
    </row>
    <row r="1764" spans="1:2">
      <c r="A1764" s="461"/>
      <c r="B1764" s="461"/>
    </row>
    <row r="1765" spans="1:2">
      <c r="A1765" s="461"/>
      <c r="B1765" s="461"/>
    </row>
    <row r="1766" spans="1:2">
      <c r="A1766" s="461"/>
      <c r="B1766" s="461"/>
    </row>
    <row r="1767" spans="1:2">
      <c r="A1767" s="461"/>
      <c r="B1767" s="461"/>
    </row>
    <row r="1768" spans="1:2">
      <c r="A1768" s="461"/>
      <c r="B1768" s="461"/>
    </row>
    <row r="1769" spans="1:2">
      <c r="A1769" s="461"/>
      <c r="B1769" s="461"/>
    </row>
    <row r="1770" spans="1:2">
      <c r="A1770" s="461"/>
      <c r="B1770" s="461"/>
    </row>
    <row r="1771" spans="1:2">
      <c r="A1771" s="461"/>
      <c r="B1771" s="461"/>
    </row>
    <row r="1772" spans="1:2">
      <c r="A1772" s="461"/>
      <c r="B1772" s="461"/>
    </row>
    <row r="1773" spans="1:2">
      <c r="A1773" s="461"/>
      <c r="B1773" s="461"/>
    </row>
    <row r="1774" spans="1:2">
      <c r="A1774" s="461"/>
      <c r="B1774" s="461"/>
    </row>
    <row r="1775" spans="1:2">
      <c r="A1775" s="461"/>
      <c r="B1775" s="461"/>
    </row>
    <row r="1776" spans="1:2">
      <c r="A1776" s="461"/>
      <c r="B1776" s="461"/>
    </row>
    <row r="1777" spans="1:2">
      <c r="A1777" s="461"/>
      <c r="B1777" s="461"/>
    </row>
    <row r="1778" spans="1:2">
      <c r="A1778" s="461"/>
      <c r="B1778" s="461"/>
    </row>
    <row r="1779" spans="1:2">
      <c r="A1779" s="461"/>
      <c r="B1779" s="461"/>
    </row>
    <row r="1780" spans="1:2">
      <c r="A1780" s="461"/>
      <c r="B1780" s="461"/>
    </row>
    <row r="1781" spans="1:2">
      <c r="A1781" s="461"/>
      <c r="B1781" s="461"/>
    </row>
    <row r="1782" spans="1:2">
      <c r="A1782" s="461"/>
      <c r="B1782" s="461"/>
    </row>
    <row r="1783" spans="1:2">
      <c r="A1783" s="461"/>
      <c r="B1783" s="461"/>
    </row>
    <row r="1784" spans="1:2">
      <c r="A1784" s="461"/>
      <c r="B1784" s="461"/>
    </row>
    <row r="1785" spans="1:2">
      <c r="A1785" s="461"/>
      <c r="B1785" s="461"/>
    </row>
    <row r="1786" spans="1:2">
      <c r="A1786" s="461"/>
      <c r="B1786" s="461"/>
    </row>
    <row r="1787" spans="1:2">
      <c r="A1787" s="461"/>
      <c r="B1787" s="461"/>
    </row>
    <row r="1788" spans="1:2">
      <c r="A1788" s="461"/>
      <c r="B1788" s="461"/>
    </row>
    <row r="1789" spans="1:2">
      <c r="A1789" s="461"/>
      <c r="B1789" s="461"/>
    </row>
    <row r="1790" spans="1:2">
      <c r="A1790" s="461"/>
      <c r="B1790" s="461"/>
    </row>
    <row r="1791" spans="1:2">
      <c r="A1791" s="461"/>
      <c r="B1791" s="461"/>
    </row>
    <row r="1792" spans="1:2">
      <c r="A1792" s="461"/>
      <c r="B1792" s="461"/>
    </row>
    <row r="1793" spans="1:2">
      <c r="A1793" s="461"/>
      <c r="B1793" s="461"/>
    </row>
    <row r="1794" spans="1:2">
      <c r="A1794" s="461"/>
      <c r="B1794" s="461"/>
    </row>
    <row r="1795" spans="1:2">
      <c r="A1795" s="461"/>
      <c r="B1795" s="461"/>
    </row>
    <row r="1796" spans="1:2">
      <c r="A1796" s="461"/>
      <c r="B1796" s="461"/>
    </row>
    <row r="1797" spans="1:2">
      <c r="A1797" s="461"/>
      <c r="B1797" s="461"/>
    </row>
    <row r="1798" spans="1:2">
      <c r="A1798" s="461"/>
      <c r="B1798" s="461"/>
    </row>
    <row r="1799" spans="1:2">
      <c r="A1799" s="461"/>
      <c r="B1799" s="461"/>
    </row>
    <row r="1800" spans="1:2">
      <c r="A1800" s="461"/>
      <c r="B1800" s="461"/>
    </row>
    <row r="1801" spans="1:2">
      <c r="A1801" s="461"/>
      <c r="B1801" s="461"/>
    </row>
    <row r="1802" spans="1:2">
      <c r="A1802" s="461"/>
      <c r="B1802" s="461"/>
    </row>
    <row r="1803" spans="1:2">
      <c r="A1803" s="461"/>
      <c r="B1803" s="461"/>
    </row>
    <row r="1804" spans="1:2">
      <c r="A1804" s="461"/>
      <c r="B1804" s="461"/>
    </row>
    <row r="1805" spans="1:2">
      <c r="A1805" s="461"/>
      <c r="B1805" s="461"/>
    </row>
    <row r="1806" spans="1:2">
      <c r="A1806" s="461"/>
      <c r="B1806" s="461"/>
    </row>
    <row r="1807" spans="1:2">
      <c r="A1807" s="461"/>
      <c r="B1807" s="461"/>
    </row>
    <row r="1808" spans="1:2">
      <c r="A1808" s="461"/>
      <c r="B1808" s="461"/>
    </row>
    <row r="1809" spans="1:2">
      <c r="A1809" s="461"/>
      <c r="B1809" s="461"/>
    </row>
    <row r="1810" spans="1:2">
      <c r="A1810" s="461"/>
      <c r="B1810" s="461"/>
    </row>
    <row r="1811" spans="1:2">
      <c r="A1811" s="461"/>
      <c r="B1811" s="461"/>
    </row>
    <row r="1812" spans="1:2">
      <c r="A1812" s="461"/>
      <c r="B1812" s="461"/>
    </row>
    <row r="1813" spans="1:2">
      <c r="A1813" s="461"/>
      <c r="B1813" s="461"/>
    </row>
    <row r="1814" spans="1:2">
      <c r="A1814" s="461"/>
      <c r="B1814" s="461"/>
    </row>
    <row r="1815" spans="1:2">
      <c r="A1815" s="461"/>
      <c r="B1815" s="461"/>
    </row>
    <row r="1816" spans="1:2">
      <c r="A1816" s="461"/>
      <c r="B1816" s="461"/>
    </row>
    <row r="1817" spans="1:2">
      <c r="A1817" s="461"/>
      <c r="B1817" s="461"/>
    </row>
    <row r="1818" spans="1:2">
      <c r="A1818" s="461"/>
      <c r="B1818" s="461"/>
    </row>
    <row r="1819" spans="1:2">
      <c r="A1819" s="461"/>
      <c r="B1819" s="461"/>
    </row>
    <row r="1820" spans="1:2">
      <c r="A1820" s="461"/>
      <c r="B1820" s="461"/>
    </row>
    <row r="1821" spans="1:2">
      <c r="A1821" s="461"/>
      <c r="B1821" s="461"/>
    </row>
    <row r="1822" spans="1:2">
      <c r="A1822" s="461"/>
      <c r="B1822" s="461"/>
    </row>
    <row r="1823" spans="1:2">
      <c r="A1823" s="461"/>
      <c r="B1823" s="461"/>
    </row>
    <row r="1824" spans="1:2">
      <c r="A1824" s="461"/>
      <c r="B1824" s="461"/>
    </row>
    <row r="1825" spans="1:2">
      <c r="A1825" s="461"/>
      <c r="B1825" s="461"/>
    </row>
    <row r="1826" spans="1:2">
      <c r="A1826" s="461"/>
      <c r="B1826" s="461"/>
    </row>
    <row r="1827" spans="1:2">
      <c r="A1827" s="461"/>
      <c r="B1827" s="461"/>
    </row>
    <row r="1828" spans="1:2">
      <c r="A1828" s="461"/>
      <c r="B1828" s="461"/>
    </row>
    <row r="1829" spans="1:2">
      <c r="A1829" s="461"/>
      <c r="B1829" s="461"/>
    </row>
    <row r="1830" spans="1:2">
      <c r="A1830" s="461"/>
      <c r="B1830" s="461"/>
    </row>
    <row r="1831" spans="1:2">
      <c r="A1831" s="461"/>
      <c r="B1831" s="461"/>
    </row>
    <row r="1832" spans="1:2">
      <c r="A1832" s="461"/>
      <c r="B1832" s="461"/>
    </row>
    <row r="1833" spans="1:2">
      <c r="A1833" s="461"/>
      <c r="B1833" s="461"/>
    </row>
    <row r="1834" spans="1:2">
      <c r="A1834" s="461"/>
      <c r="B1834" s="461"/>
    </row>
    <row r="1835" spans="1:2">
      <c r="A1835" s="461"/>
      <c r="B1835" s="461"/>
    </row>
    <row r="1836" spans="1:2">
      <c r="A1836" s="461"/>
      <c r="B1836" s="461"/>
    </row>
    <row r="1837" spans="1:2">
      <c r="A1837" s="461"/>
      <c r="B1837" s="461"/>
    </row>
    <row r="1838" spans="1:2">
      <c r="A1838" s="461"/>
      <c r="B1838" s="461"/>
    </row>
    <row r="1839" spans="1:2">
      <c r="A1839" s="461"/>
      <c r="B1839" s="461"/>
    </row>
    <row r="1840" spans="1:2">
      <c r="A1840" s="461"/>
      <c r="B1840" s="461"/>
    </row>
    <row r="1841" spans="1:2">
      <c r="A1841" s="461"/>
      <c r="B1841" s="461"/>
    </row>
    <row r="1842" spans="1:2">
      <c r="A1842" s="461"/>
      <c r="B1842" s="461"/>
    </row>
    <row r="1843" spans="1:2">
      <c r="A1843" s="461"/>
      <c r="B1843" s="461"/>
    </row>
    <row r="1844" spans="1:2">
      <c r="A1844" s="461"/>
      <c r="B1844" s="461"/>
    </row>
    <row r="1845" spans="1:2">
      <c r="A1845" s="461"/>
      <c r="B1845" s="461"/>
    </row>
    <row r="1846" spans="1:2">
      <c r="A1846" s="461"/>
      <c r="B1846" s="461"/>
    </row>
    <row r="1847" spans="1:2">
      <c r="A1847" s="461"/>
      <c r="B1847" s="461"/>
    </row>
    <row r="1848" spans="1:2">
      <c r="A1848" s="461"/>
      <c r="B1848" s="461"/>
    </row>
    <row r="1849" spans="1:2">
      <c r="A1849" s="461"/>
      <c r="B1849" s="461"/>
    </row>
    <row r="1850" spans="1:2">
      <c r="A1850" s="461"/>
      <c r="B1850" s="461"/>
    </row>
    <row r="1851" spans="1:2">
      <c r="A1851" s="461"/>
      <c r="B1851" s="461"/>
    </row>
    <row r="1852" spans="1:2">
      <c r="A1852" s="461"/>
      <c r="B1852" s="461"/>
    </row>
    <row r="1853" spans="1:2">
      <c r="A1853" s="461"/>
      <c r="B1853" s="461"/>
    </row>
    <row r="1854" spans="1:2">
      <c r="A1854" s="461"/>
      <c r="B1854" s="461"/>
    </row>
    <row r="1855" spans="1:2">
      <c r="A1855" s="461"/>
      <c r="B1855" s="461"/>
    </row>
    <row r="1856" spans="1:2">
      <c r="A1856" s="461"/>
      <c r="B1856" s="461"/>
    </row>
    <row r="1857" spans="1:2">
      <c r="A1857" s="461"/>
      <c r="B1857" s="461"/>
    </row>
    <row r="1858" spans="1:2">
      <c r="A1858" s="461"/>
      <c r="B1858" s="461"/>
    </row>
    <row r="1859" spans="1:2">
      <c r="A1859" s="461"/>
      <c r="B1859" s="461"/>
    </row>
    <row r="1860" spans="1:2">
      <c r="A1860" s="461"/>
      <c r="B1860" s="461"/>
    </row>
    <row r="1861" spans="1:2">
      <c r="A1861" s="461"/>
      <c r="B1861" s="461"/>
    </row>
    <row r="1862" spans="1:2">
      <c r="A1862" s="461"/>
      <c r="B1862" s="461"/>
    </row>
    <row r="1863" spans="1:2">
      <c r="A1863" s="461"/>
      <c r="B1863" s="461"/>
    </row>
    <row r="1864" spans="1:2">
      <c r="A1864" s="461"/>
      <c r="B1864" s="461"/>
    </row>
    <row r="1865" spans="1:2">
      <c r="A1865" s="461"/>
      <c r="B1865" s="461"/>
    </row>
    <row r="1866" spans="1:2">
      <c r="A1866" s="461"/>
      <c r="B1866" s="461"/>
    </row>
    <row r="1867" spans="1:2">
      <c r="A1867" s="461"/>
      <c r="B1867" s="461"/>
    </row>
    <row r="1868" spans="1:2">
      <c r="A1868" s="461"/>
      <c r="B1868" s="461"/>
    </row>
    <row r="1869" spans="1:2">
      <c r="A1869" s="461"/>
      <c r="B1869" s="461"/>
    </row>
    <row r="1870" spans="1:2">
      <c r="A1870" s="461"/>
      <c r="B1870" s="461"/>
    </row>
    <row r="1871" spans="1:2">
      <c r="A1871" s="461"/>
      <c r="B1871" s="461"/>
    </row>
    <row r="1872" spans="1:2">
      <c r="A1872" s="461"/>
      <c r="B1872" s="461"/>
    </row>
    <row r="1873" spans="1:2">
      <c r="A1873" s="461"/>
      <c r="B1873" s="461"/>
    </row>
    <row r="1874" spans="1:2">
      <c r="A1874" s="461"/>
      <c r="B1874" s="461"/>
    </row>
    <row r="1875" spans="1:2">
      <c r="A1875" s="461"/>
      <c r="B1875" s="461"/>
    </row>
    <row r="1876" spans="1:2">
      <c r="A1876" s="461"/>
      <c r="B1876" s="461"/>
    </row>
    <row r="1877" spans="1:2">
      <c r="A1877" s="461"/>
      <c r="B1877" s="461"/>
    </row>
    <row r="1878" spans="1:2">
      <c r="A1878" s="461"/>
      <c r="B1878" s="461"/>
    </row>
    <row r="1879" spans="1:2">
      <c r="A1879" s="461"/>
      <c r="B1879" s="461"/>
    </row>
    <row r="1880" spans="1:2">
      <c r="A1880" s="461"/>
      <c r="B1880" s="461"/>
    </row>
    <row r="1881" spans="1:2">
      <c r="A1881" s="461"/>
      <c r="B1881" s="461"/>
    </row>
    <row r="1882" spans="1:2">
      <c r="A1882" s="461"/>
      <c r="B1882" s="461"/>
    </row>
    <row r="1883" spans="1:2">
      <c r="A1883" s="461"/>
      <c r="B1883" s="461"/>
    </row>
    <row r="1884" spans="1:2">
      <c r="A1884" s="461"/>
      <c r="B1884" s="461"/>
    </row>
    <row r="1885" spans="1:2">
      <c r="A1885" s="461"/>
      <c r="B1885" s="461"/>
    </row>
    <row r="1886" spans="1:2">
      <c r="A1886" s="461"/>
      <c r="B1886" s="461"/>
    </row>
    <row r="1887" spans="1:2">
      <c r="A1887" s="461"/>
      <c r="B1887" s="461"/>
    </row>
    <row r="1888" spans="1:2">
      <c r="A1888" s="461"/>
      <c r="B1888" s="461"/>
    </row>
    <row r="1889" spans="1:2">
      <c r="A1889" s="461"/>
      <c r="B1889" s="461"/>
    </row>
    <row r="1890" spans="1:2">
      <c r="A1890" s="461"/>
      <c r="B1890" s="461"/>
    </row>
    <row r="1891" spans="1:2">
      <c r="A1891" s="461"/>
      <c r="B1891" s="461"/>
    </row>
    <row r="1892" spans="1:2">
      <c r="A1892" s="461"/>
      <c r="B1892" s="461"/>
    </row>
    <row r="1893" spans="1:2">
      <c r="A1893" s="461"/>
      <c r="B1893" s="461"/>
    </row>
    <row r="1894" spans="1:2">
      <c r="A1894" s="461"/>
      <c r="B1894" s="461"/>
    </row>
    <row r="1895" spans="1:2">
      <c r="A1895" s="461"/>
      <c r="B1895" s="461"/>
    </row>
    <row r="1896" spans="1:2">
      <c r="A1896" s="461"/>
      <c r="B1896" s="461"/>
    </row>
    <row r="1897" spans="1:2">
      <c r="A1897" s="461"/>
      <c r="B1897" s="461"/>
    </row>
    <row r="1898" spans="1:2">
      <c r="A1898" s="461"/>
      <c r="B1898" s="461"/>
    </row>
    <row r="1899" spans="1:2">
      <c r="A1899" s="461"/>
      <c r="B1899" s="461"/>
    </row>
    <row r="1900" spans="1:2">
      <c r="A1900" s="461"/>
      <c r="B1900" s="461"/>
    </row>
    <row r="1901" spans="1:2">
      <c r="A1901" s="461"/>
      <c r="B1901" s="461"/>
    </row>
    <row r="1902" spans="1:2">
      <c r="A1902" s="461"/>
      <c r="B1902" s="461"/>
    </row>
    <row r="1903" spans="1:2">
      <c r="A1903" s="461"/>
      <c r="B1903" s="461"/>
    </row>
    <row r="1904" spans="1:2">
      <c r="A1904" s="461"/>
      <c r="B1904" s="461"/>
    </row>
    <row r="1905" spans="1:2">
      <c r="A1905" s="461"/>
      <c r="B1905" s="461"/>
    </row>
    <row r="1906" spans="1:2">
      <c r="A1906" s="461"/>
      <c r="B1906" s="461"/>
    </row>
    <row r="1907" spans="1:2">
      <c r="A1907" s="461"/>
      <c r="B1907" s="461"/>
    </row>
    <row r="1908" spans="1:2">
      <c r="A1908" s="461"/>
      <c r="B1908" s="461"/>
    </row>
    <row r="1909" spans="1:2">
      <c r="A1909" s="461"/>
      <c r="B1909" s="461"/>
    </row>
    <row r="1910" spans="1:2">
      <c r="A1910" s="461"/>
      <c r="B1910" s="461"/>
    </row>
    <row r="1911" spans="1:2">
      <c r="A1911" s="461"/>
      <c r="B1911" s="461"/>
    </row>
    <row r="1912" spans="1:2">
      <c r="A1912" s="461"/>
      <c r="B1912" s="461"/>
    </row>
    <row r="1913" spans="1:2">
      <c r="A1913" s="461"/>
      <c r="B1913" s="461"/>
    </row>
    <row r="1914" spans="1:2">
      <c r="A1914" s="461"/>
      <c r="B1914" s="461"/>
    </row>
    <row r="1915" spans="1:2">
      <c r="A1915" s="461"/>
      <c r="B1915" s="461"/>
    </row>
    <row r="1916" spans="1:2">
      <c r="A1916" s="461"/>
      <c r="B1916" s="461"/>
    </row>
    <row r="1917" spans="1:2">
      <c r="A1917" s="461"/>
      <c r="B1917" s="461"/>
    </row>
    <row r="1918" spans="1:2">
      <c r="A1918" s="461"/>
      <c r="B1918" s="461"/>
    </row>
    <row r="1919" spans="1:2">
      <c r="A1919" s="461"/>
      <c r="B1919" s="461"/>
    </row>
    <row r="1920" spans="1:2">
      <c r="A1920" s="461"/>
      <c r="B1920" s="461"/>
    </row>
    <row r="1921" spans="1:2">
      <c r="A1921" s="461"/>
      <c r="B1921" s="461"/>
    </row>
    <row r="1922" spans="1:2">
      <c r="A1922" s="461"/>
      <c r="B1922" s="461"/>
    </row>
    <row r="1923" spans="1:2">
      <c r="A1923" s="461"/>
      <c r="B1923" s="461"/>
    </row>
    <row r="1924" spans="1:2">
      <c r="A1924" s="461"/>
      <c r="B1924" s="461"/>
    </row>
    <row r="1925" spans="1:2">
      <c r="A1925" s="461"/>
      <c r="B1925" s="461"/>
    </row>
    <row r="1926" spans="1:2">
      <c r="A1926" s="461"/>
      <c r="B1926" s="461"/>
    </row>
    <row r="1927" spans="1:2">
      <c r="A1927" s="461"/>
      <c r="B1927" s="461"/>
    </row>
    <row r="1928" spans="1:2">
      <c r="A1928" s="461"/>
      <c r="B1928" s="461"/>
    </row>
    <row r="1929" spans="1:2">
      <c r="A1929" s="461"/>
      <c r="B1929" s="461"/>
    </row>
    <row r="1930" spans="1:2">
      <c r="A1930" s="461"/>
      <c r="B1930" s="461"/>
    </row>
    <row r="1931" spans="1:2">
      <c r="A1931" s="461"/>
      <c r="B1931" s="461"/>
    </row>
    <row r="1932" spans="1:2">
      <c r="A1932" s="461"/>
      <c r="B1932" s="461"/>
    </row>
    <row r="1933" spans="1:2">
      <c r="A1933" s="461"/>
      <c r="B1933" s="461"/>
    </row>
    <row r="1934" spans="1:2">
      <c r="A1934" s="461"/>
      <c r="B1934" s="461"/>
    </row>
    <row r="1935" spans="1:2">
      <c r="A1935" s="461"/>
      <c r="B1935" s="461"/>
    </row>
    <row r="1936" spans="1:2">
      <c r="A1936" s="461"/>
      <c r="B1936" s="461"/>
    </row>
    <row r="1937" spans="1:2">
      <c r="A1937" s="461"/>
      <c r="B1937" s="461"/>
    </row>
    <row r="1938" spans="1:2">
      <c r="A1938" s="461"/>
      <c r="B1938" s="461"/>
    </row>
    <row r="1939" spans="1:2">
      <c r="A1939" s="461"/>
      <c r="B1939" s="461"/>
    </row>
    <row r="1940" spans="1:2">
      <c r="A1940" s="461"/>
      <c r="B1940" s="461"/>
    </row>
    <row r="1941" spans="1:2">
      <c r="A1941" s="461"/>
      <c r="B1941" s="461"/>
    </row>
    <row r="1942" spans="1:2">
      <c r="A1942" s="461"/>
      <c r="B1942" s="461"/>
    </row>
    <row r="1943" spans="1:2">
      <c r="A1943" s="461"/>
      <c r="B1943" s="461"/>
    </row>
    <row r="1944" spans="1:2">
      <c r="A1944" s="461"/>
      <c r="B1944" s="461"/>
    </row>
    <row r="1945" spans="1:2">
      <c r="A1945" s="461"/>
      <c r="B1945" s="461"/>
    </row>
    <row r="1946" spans="1:2">
      <c r="A1946" s="461"/>
      <c r="B1946" s="461"/>
    </row>
    <row r="1947" spans="1:2">
      <c r="A1947" s="461"/>
      <c r="B1947" s="461"/>
    </row>
    <row r="1948" spans="1:2">
      <c r="A1948" s="461"/>
      <c r="B1948" s="461"/>
    </row>
    <row r="1949" spans="1:2">
      <c r="A1949" s="461"/>
      <c r="B1949" s="461"/>
    </row>
    <row r="1950" spans="1:2">
      <c r="A1950" s="461"/>
      <c r="B1950" s="461"/>
    </row>
    <row r="1951" spans="1:2">
      <c r="A1951" s="461"/>
      <c r="B1951" s="461"/>
    </row>
    <row r="1952" spans="1:2">
      <c r="A1952" s="461"/>
      <c r="B1952" s="461"/>
    </row>
    <row r="1953" spans="1:2">
      <c r="A1953" s="461"/>
      <c r="B1953" s="461"/>
    </row>
    <row r="1954" spans="1:2">
      <c r="A1954" s="461"/>
      <c r="B1954" s="461"/>
    </row>
    <row r="1955" spans="1:2">
      <c r="A1955" s="461"/>
      <c r="B1955" s="461"/>
    </row>
    <row r="1956" spans="1:2">
      <c r="A1956" s="461"/>
      <c r="B1956" s="461"/>
    </row>
    <row r="1957" spans="1:2">
      <c r="A1957" s="461"/>
      <c r="B1957" s="461"/>
    </row>
    <row r="1958" spans="1:2">
      <c r="A1958" s="461"/>
      <c r="B1958" s="461"/>
    </row>
    <row r="1959" spans="1:2">
      <c r="A1959" s="461"/>
      <c r="B1959" s="461"/>
    </row>
    <row r="1960" spans="1:2">
      <c r="A1960" s="461"/>
      <c r="B1960" s="461"/>
    </row>
    <row r="1961" spans="1:2">
      <c r="A1961" s="461"/>
      <c r="B1961" s="461"/>
    </row>
    <row r="1962" spans="1:2">
      <c r="A1962" s="461"/>
      <c r="B1962" s="461"/>
    </row>
    <row r="1963" spans="1:2">
      <c r="A1963" s="461"/>
      <c r="B1963" s="461"/>
    </row>
    <row r="1964" spans="1:2">
      <c r="A1964" s="461"/>
      <c r="B1964" s="461"/>
    </row>
    <row r="1965" spans="1:2">
      <c r="A1965" s="461"/>
      <c r="B1965" s="461"/>
    </row>
    <row r="1966" spans="1:2">
      <c r="A1966" s="461"/>
      <c r="B1966" s="461"/>
    </row>
    <row r="1967" spans="1:2">
      <c r="A1967" s="461"/>
      <c r="B1967" s="461"/>
    </row>
    <row r="1968" spans="1:2">
      <c r="A1968" s="461"/>
      <c r="B1968" s="461"/>
    </row>
    <row r="1969" spans="1:2">
      <c r="A1969" s="461"/>
      <c r="B1969" s="461"/>
    </row>
    <row r="1970" spans="1:2">
      <c r="A1970" s="461"/>
      <c r="B1970" s="461"/>
    </row>
    <row r="1971" spans="1:2">
      <c r="A1971" s="461"/>
      <c r="B1971" s="461"/>
    </row>
    <row r="1972" spans="1:2">
      <c r="A1972" s="461"/>
      <c r="B1972" s="461"/>
    </row>
    <row r="1973" spans="1:2">
      <c r="A1973" s="461"/>
      <c r="B1973" s="461"/>
    </row>
    <row r="1974" spans="1:2">
      <c r="A1974" s="461"/>
      <c r="B1974" s="461"/>
    </row>
    <row r="1975" spans="1:2">
      <c r="A1975" s="461"/>
      <c r="B1975" s="461"/>
    </row>
    <row r="1976" spans="1:2">
      <c r="A1976" s="461"/>
      <c r="B1976" s="461"/>
    </row>
    <row r="1977" spans="1:2">
      <c r="A1977" s="461"/>
      <c r="B1977" s="461"/>
    </row>
    <row r="1978" spans="1:2">
      <c r="A1978" s="461"/>
      <c r="B1978" s="461"/>
    </row>
    <row r="1979" spans="1:2">
      <c r="A1979" s="461"/>
      <c r="B1979" s="461"/>
    </row>
    <row r="1980" spans="1:2">
      <c r="A1980" s="461"/>
      <c r="B1980" s="461"/>
    </row>
    <row r="1981" spans="1:2">
      <c r="A1981" s="461"/>
      <c r="B1981" s="461"/>
    </row>
    <row r="1982" spans="1:2">
      <c r="A1982" s="461"/>
      <c r="B1982" s="461"/>
    </row>
    <row r="1983" spans="1:2">
      <c r="A1983" s="461"/>
      <c r="B1983" s="461"/>
    </row>
    <row r="1984" spans="1:2">
      <c r="A1984" s="461"/>
      <c r="B1984" s="461"/>
    </row>
    <row r="1985" spans="1:2">
      <c r="A1985" s="461"/>
      <c r="B1985" s="461"/>
    </row>
    <row r="1986" spans="1:2">
      <c r="A1986" s="461"/>
      <c r="B1986" s="461"/>
    </row>
    <row r="1987" spans="1:2">
      <c r="A1987" s="461"/>
      <c r="B1987" s="461"/>
    </row>
    <row r="1988" spans="1:2">
      <c r="A1988" s="461"/>
      <c r="B1988" s="461"/>
    </row>
    <row r="1989" spans="1:2">
      <c r="A1989" s="461"/>
      <c r="B1989" s="461"/>
    </row>
    <row r="1990" spans="1:2">
      <c r="A1990" s="461"/>
      <c r="B1990" s="461"/>
    </row>
    <row r="1991" spans="1:2">
      <c r="A1991" s="461"/>
      <c r="B1991" s="461"/>
    </row>
    <row r="1992" spans="1:2">
      <c r="A1992" s="461"/>
      <c r="B1992" s="461"/>
    </row>
    <row r="1993" spans="1:2">
      <c r="A1993" s="461"/>
      <c r="B1993" s="461"/>
    </row>
    <row r="1994" spans="1:2">
      <c r="A1994" s="461"/>
      <c r="B1994" s="461"/>
    </row>
    <row r="1995" spans="1:2">
      <c r="A1995" s="461"/>
      <c r="B1995" s="461"/>
    </row>
    <row r="1996" spans="1:2">
      <c r="A1996" s="461"/>
      <c r="B1996" s="461"/>
    </row>
    <row r="1997" spans="1:2">
      <c r="A1997" s="461"/>
      <c r="B1997" s="461"/>
    </row>
    <row r="1998" spans="1:2">
      <c r="A1998" s="461"/>
      <c r="B1998" s="461"/>
    </row>
    <row r="1999" spans="1:2">
      <c r="A1999" s="461"/>
      <c r="B1999" s="461"/>
    </row>
    <row r="2000" spans="1:2">
      <c r="A2000" s="461"/>
      <c r="B2000" s="461"/>
    </row>
    <row r="2001" spans="1:2">
      <c r="A2001" s="461"/>
      <c r="B2001" s="461"/>
    </row>
    <row r="2002" spans="1:2">
      <c r="A2002" s="461"/>
      <c r="B2002" s="461"/>
    </row>
    <row r="2003" spans="1:2">
      <c r="A2003" s="461"/>
      <c r="B2003" s="461"/>
    </row>
    <row r="2004" spans="1:2">
      <c r="A2004" s="461"/>
      <c r="B2004" s="461"/>
    </row>
    <row r="2005" spans="1:2">
      <c r="A2005" s="461"/>
      <c r="B2005" s="461"/>
    </row>
    <row r="2006" spans="1:2">
      <c r="A2006" s="461"/>
      <c r="B2006" s="461"/>
    </row>
    <row r="2007" spans="1:2">
      <c r="A2007" s="461"/>
      <c r="B2007" s="461"/>
    </row>
    <row r="2008" spans="1:2">
      <c r="A2008" s="461"/>
      <c r="B2008" s="461"/>
    </row>
    <row r="2009" spans="1:2">
      <c r="A2009" s="461"/>
      <c r="B2009" s="461"/>
    </row>
    <row r="2010" spans="1:2">
      <c r="A2010" s="461"/>
      <c r="B2010" s="461"/>
    </row>
    <row r="2011" spans="1:2">
      <c r="A2011" s="461"/>
      <c r="B2011" s="461"/>
    </row>
    <row r="2012" spans="1:2">
      <c r="A2012" s="461"/>
      <c r="B2012" s="461"/>
    </row>
    <row r="2013" spans="1:2">
      <c r="A2013" s="461"/>
      <c r="B2013" s="461"/>
    </row>
    <row r="2014" spans="1:2">
      <c r="A2014" s="461"/>
      <c r="B2014" s="461"/>
    </row>
    <row r="2015" spans="1:2">
      <c r="A2015" s="461"/>
      <c r="B2015" s="461"/>
    </row>
    <row r="2016" spans="1:2">
      <c r="A2016" s="461"/>
      <c r="B2016" s="461"/>
    </row>
    <row r="2017" spans="1:2">
      <c r="A2017" s="461"/>
      <c r="B2017" s="461"/>
    </row>
    <row r="2018" spans="1:2">
      <c r="A2018" s="461"/>
      <c r="B2018" s="461"/>
    </row>
    <row r="2019" spans="1:2">
      <c r="A2019" s="461"/>
      <c r="B2019" s="461"/>
    </row>
    <row r="2020" spans="1:2">
      <c r="A2020" s="461"/>
      <c r="B2020" s="461"/>
    </row>
    <row r="2021" spans="1:2">
      <c r="A2021" s="461"/>
      <c r="B2021" s="461"/>
    </row>
    <row r="2022" spans="1:2">
      <c r="A2022" s="461"/>
      <c r="B2022" s="461"/>
    </row>
    <row r="2023" spans="1:2">
      <c r="A2023" s="461"/>
      <c r="B2023" s="461"/>
    </row>
    <row r="2024" spans="1:2">
      <c r="A2024" s="461"/>
      <c r="B2024" s="461"/>
    </row>
    <row r="2025" spans="1:2">
      <c r="A2025" s="461"/>
      <c r="B2025" s="461"/>
    </row>
    <row r="2026" spans="1:2">
      <c r="A2026" s="461"/>
      <c r="B2026" s="461"/>
    </row>
    <row r="2027" spans="1:2">
      <c r="A2027" s="461"/>
      <c r="B2027" s="461"/>
    </row>
    <row r="2028" spans="1:2">
      <c r="A2028" s="461"/>
      <c r="B2028" s="461"/>
    </row>
    <row r="2029" spans="1:2">
      <c r="A2029" s="461"/>
      <c r="B2029" s="461"/>
    </row>
    <row r="2030" spans="1:2">
      <c r="A2030" s="461"/>
      <c r="B2030" s="461"/>
    </row>
    <row r="2031" spans="1:2">
      <c r="A2031" s="461"/>
      <c r="B2031" s="461"/>
    </row>
    <row r="2032" spans="1:2">
      <c r="A2032" s="461"/>
      <c r="B2032" s="461"/>
    </row>
    <row r="2033" spans="1:2">
      <c r="A2033" s="461"/>
      <c r="B2033" s="461"/>
    </row>
    <row r="2034" spans="1:2">
      <c r="A2034" s="461"/>
      <c r="B2034" s="461"/>
    </row>
    <row r="2035" spans="1:2">
      <c r="A2035" s="461"/>
      <c r="B2035" s="461"/>
    </row>
    <row r="2036" spans="1:2">
      <c r="A2036" s="461"/>
      <c r="B2036" s="461"/>
    </row>
    <row r="2037" spans="1:2">
      <c r="A2037" s="461"/>
      <c r="B2037" s="461"/>
    </row>
    <row r="2038" spans="1:2">
      <c r="A2038" s="461"/>
      <c r="B2038" s="461"/>
    </row>
    <row r="2039" spans="1:2">
      <c r="A2039" s="461"/>
      <c r="B2039" s="461"/>
    </row>
    <row r="2040" spans="1:2">
      <c r="A2040" s="461"/>
      <c r="B2040" s="461"/>
    </row>
    <row r="2041" spans="1:2">
      <c r="A2041" s="461"/>
      <c r="B2041" s="461"/>
    </row>
    <row r="2042" spans="1:2">
      <c r="A2042" s="461"/>
      <c r="B2042" s="461"/>
    </row>
    <row r="2043" spans="1:2">
      <c r="A2043" s="461"/>
      <c r="B2043" s="461"/>
    </row>
    <row r="2044" spans="1:2">
      <c r="A2044" s="461"/>
      <c r="B2044" s="461"/>
    </row>
    <row r="2045" spans="1:2">
      <c r="A2045" s="461"/>
      <c r="B2045" s="461"/>
    </row>
    <row r="2046" spans="1:2">
      <c r="A2046" s="461"/>
      <c r="B2046" s="461"/>
    </row>
    <row r="2047" spans="1:2">
      <c r="A2047" s="461"/>
      <c r="B2047" s="461"/>
    </row>
    <row r="2048" spans="1:2">
      <c r="A2048" s="461"/>
      <c r="B2048" s="461"/>
    </row>
    <row r="2049" spans="1:2">
      <c r="A2049" s="461"/>
      <c r="B2049" s="461"/>
    </row>
    <row r="2050" spans="1:2">
      <c r="A2050" s="461"/>
      <c r="B2050" s="461"/>
    </row>
    <row r="2051" spans="1:2">
      <c r="A2051" s="461"/>
      <c r="B2051" s="461"/>
    </row>
    <row r="2052" spans="1:2">
      <c r="A2052" s="461"/>
      <c r="B2052" s="461"/>
    </row>
    <row r="2053" spans="1:2">
      <c r="A2053" s="461"/>
      <c r="B2053" s="461"/>
    </row>
    <row r="2054" spans="1:2">
      <c r="A2054" s="461"/>
      <c r="B2054" s="461"/>
    </row>
    <row r="2055" spans="1:2">
      <c r="A2055" s="461"/>
      <c r="B2055" s="461"/>
    </row>
    <row r="2056" spans="1:2">
      <c r="A2056" s="461"/>
      <c r="B2056" s="461"/>
    </row>
    <row r="2057" spans="1:2">
      <c r="A2057" s="461"/>
      <c r="B2057" s="461"/>
    </row>
    <row r="2058" spans="1:2">
      <c r="A2058" s="461"/>
      <c r="B2058" s="461"/>
    </row>
    <row r="2059" spans="1:2">
      <c r="A2059" s="461"/>
      <c r="B2059" s="461"/>
    </row>
    <row r="2060" spans="1:2">
      <c r="A2060" s="461"/>
      <c r="B2060" s="461"/>
    </row>
    <row r="2061" spans="1:2">
      <c r="A2061" s="461"/>
      <c r="B2061" s="461"/>
    </row>
    <row r="2062" spans="1:2">
      <c r="A2062" s="461"/>
      <c r="B2062" s="461"/>
    </row>
    <row r="2063" spans="1:2">
      <c r="A2063" s="461"/>
      <c r="B2063" s="461"/>
    </row>
    <row r="2064" spans="1:2">
      <c r="A2064" s="461"/>
      <c r="B2064" s="461"/>
    </row>
    <row r="2065" spans="1:2">
      <c r="A2065" s="461"/>
      <c r="B2065" s="461"/>
    </row>
    <row r="2066" spans="1:2">
      <c r="A2066" s="461"/>
      <c r="B2066" s="461"/>
    </row>
    <row r="2067" spans="1:2">
      <c r="A2067" s="461"/>
      <c r="B2067" s="461"/>
    </row>
    <row r="2068" spans="1:2">
      <c r="A2068" s="461"/>
      <c r="B2068" s="461"/>
    </row>
    <row r="2069" spans="1:2">
      <c r="A2069" s="461"/>
      <c r="B2069" s="461"/>
    </row>
    <row r="2070" spans="1:2">
      <c r="A2070" s="461"/>
      <c r="B2070" s="461"/>
    </row>
    <row r="2071" spans="1:2">
      <c r="A2071" s="461"/>
      <c r="B2071" s="461"/>
    </row>
    <row r="2072" spans="1:2">
      <c r="A2072" s="461"/>
      <c r="B2072" s="461"/>
    </row>
    <row r="2073" spans="1:2">
      <c r="A2073" s="461"/>
      <c r="B2073" s="461"/>
    </row>
    <row r="2074" spans="1:2">
      <c r="A2074" s="461"/>
      <c r="B2074" s="461"/>
    </row>
    <row r="2075" spans="1:2">
      <c r="A2075" s="461"/>
      <c r="B2075" s="461"/>
    </row>
    <row r="2076" spans="1:2">
      <c r="A2076" s="461"/>
      <c r="B2076" s="461"/>
    </row>
    <row r="2077" spans="1:2">
      <c r="A2077" s="461"/>
      <c r="B2077" s="461"/>
    </row>
    <row r="2078" spans="1:2">
      <c r="A2078" s="461"/>
      <c r="B2078" s="461"/>
    </row>
    <row r="2079" spans="1:2">
      <c r="A2079" s="461"/>
      <c r="B2079" s="461"/>
    </row>
    <row r="2080" spans="1:2">
      <c r="A2080" s="461"/>
      <c r="B2080" s="461"/>
    </row>
    <row r="2081" spans="1:2">
      <c r="A2081" s="461"/>
      <c r="B2081" s="461"/>
    </row>
    <row r="2082" spans="1:2">
      <c r="A2082" s="461"/>
      <c r="B2082" s="461"/>
    </row>
    <row r="2083" spans="1:2">
      <c r="A2083" s="461"/>
      <c r="B2083" s="461"/>
    </row>
    <row r="2084" spans="1:2">
      <c r="A2084" s="461"/>
      <c r="B2084" s="461"/>
    </row>
    <row r="2085" spans="1:2">
      <c r="A2085" s="461"/>
      <c r="B2085" s="461"/>
    </row>
    <row r="2086" spans="1:2">
      <c r="A2086" s="461"/>
      <c r="B2086" s="461"/>
    </row>
    <row r="2087" spans="1:2">
      <c r="A2087" s="461"/>
      <c r="B2087" s="461"/>
    </row>
    <row r="2088" spans="1:2">
      <c r="A2088" s="461"/>
      <c r="B2088" s="461"/>
    </row>
    <row r="2089" spans="1:2">
      <c r="A2089" s="461"/>
      <c r="B2089" s="461"/>
    </row>
    <row r="2090" spans="1:2">
      <c r="A2090" s="461"/>
      <c r="B2090" s="461"/>
    </row>
    <row r="2091" spans="1:2">
      <c r="A2091" s="461"/>
      <c r="B2091" s="461"/>
    </row>
    <row r="2092" spans="1:2">
      <c r="A2092" s="461"/>
      <c r="B2092" s="461"/>
    </row>
    <row r="2093" spans="1:2">
      <c r="A2093" s="461"/>
      <c r="B2093" s="461"/>
    </row>
    <row r="2094" spans="1:2">
      <c r="A2094" s="461"/>
      <c r="B2094" s="461"/>
    </row>
    <row r="2095" spans="1:2">
      <c r="A2095" s="461"/>
      <c r="B2095" s="461"/>
    </row>
    <row r="2096" spans="1:2">
      <c r="A2096" s="461"/>
      <c r="B2096" s="461"/>
    </row>
    <row r="2097" spans="1:2">
      <c r="A2097" s="461"/>
      <c r="B2097" s="461"/>
    </row>
    <row r="2098" spans="1:2">
      <c r="A2098" s="461"/>
      <c r="B2098" s="461"/>
    </row>
    <row r="2099" spans="1:2">
      <c r="A2099" s="461"/>
      <c r="B2099" s="461"/>
    </row>
    <row r="2100" spans="1:2">
      <c r="A2100" s="461"/>
      <c r="B2100" s="461"/>
    </row>
    <row r="2101" spans="1:2">
      <c r="A2101" s="461"/>
      <c r="B2101" s="461"/>
    </row>
    <row r="2102" spans="1:2">
      <c r="A2102" s="461"/>
      <c r="B2102" s="461"/>
    </row>
    <row r="2103" spans="1:2">
      <c r="A2103" s="461"/>
      <c r="B2103" s="461"/>
    </row>
    <row r="2104" spans="1:2">
      <c r="A2104" s="461"/>
      <c r="B2104" s="461"/>
    </row>
    <row r="2105" spans="1:2">
      <c r="A2105" s="461"/>
      <c r="B2105" s="461"/>
    </row>
    <row r="2106" spans="1:2">
      <c r="A2106" s="461"/>
      <c r="B2106" s="461"/>
    </row>
    <row r="2107" spans="1:2">
      <c r="A2107" s="461"/>
      <c r="B2107" s="461"/>
    </row>
    <row r="2108" spans="1:2">
      <c r="A2108" s="461"/>
      <c r="B2108" s="461"/>
    </row>
    <row r="2109" spans="1:2">
      <c r="A2109" s="461"/>
      <c r="B2109" s="461"/>
    </row>
    <row r="2110" spans="1:2">
      <c r="A2110" s="461"/>
      <c r="B2110" s="461"/>
    </row>
    <row r="2111" spans="1:2">
      <c r="A2111" s="461"/>
      <c r="B2111" s="461"/>
    </row>
    <row r="2112" spans="1:2">
      <c r="A2112" s="461"/>
      <c r="B2112" s="461"/>
    </row>
    <row r="2113" spans="1:2">
      <c r="A2113" s="461"/>
      <c r="B2113" s="461"/>
    </row>
    <row r="2114" spans="1:2">
      <c r="A2114" s="461"/>
      <c r="B2114" s="461"/>
    </row>
    <row r="2115" spans="1:2">
      <c r="A2115" s="461"/>
      <c r="B2115" s="461"/>
    </row>
    <row r="2116" spans="1:2">
      <c r="A2116" s="461"/>
      <c r="B2116" s="461"/>
    </row>
    <row r="2117" spans="1:2">
      <c r="A2117" s="461"/>
      <c r="B2117" s="461"/>
    </row>
    <row r="2118" spans="1:2">
      <c r="A2118" s="461"/>
      <c r="B2118" s="461"/>
    </row>
    <row r="2119" spans="1:2">
      <c r="A2119" s="461"/>
      <c r="B2119" s="461"/>
    </row>
    <row r="2120" spans="1:2">
      <c r="A2120" s="461"/>
      <c r="B2120" s="461"/>
    </row>
    <row r="2121" spans="1:2">
      <c r="A2121" s="461"/>
      <c r="B2121" s="461"/>
    </row>
    <row r="2122" spans="1:2">
      <c r="A2122" s="461"/>
      <c r="B2122" s="461"/>
    </row>
    <row r="2123" spans="1:2">
      <c r="A2123" s="461"/>
      <c r="B2123" s="461"/>
    </row>
    <row r="2124" spans="1:2">
      <c r="A2124" s="461"/>
      <c r="B2124" s="461"/>
    </row>
    <row r="2125" spans="1:2">
      <c r="A2125" s="461"/>
      <c r="B2125" s="461"/>
    </row>
    <row r="2126" spans="1:2">
      <c r="A2126" s="461"/>
      <c r="B2126" s="461"/>
    </row>
    <row r="2127" spans="1:2">
      <c r="A2127" s="461"/>
      <c r="B2127" s="461"/>
    </row>
    <row r="2128" spans="1:2">
      <c r="A2128" s="461"/>
      <c r="B2128" s="461"/>
    </row>
    <row r="2129" spans="1:2">
      <c r="A2129" s="461"/>
      <c r="B2129" s="461"/>
    </row>
    <row r="2130" spans="1:2">
      <c r="A2130" s="461"/>
      <c r="B2130" s="461"/>
    </row>
    <row r="2131" spans="1:2">
      <c r="A2131" s="461"/>
      <c r="B2131" s="461"/>
    </row>
    <row r="2132" spans="1:2">
      <c r="A2132" s="461"/>
      <c r="B2132" s="461"/>
    </row>
    <row r="2133" spans="1:2">
      <c r="A2133" s="461"/>
      <c r="B2133" s="461"/>
    </row>
    <row r="2134" spans="1:2">
      <c r="A2134" s="461"/>
      <c r="B2134" s="461"/>
    </row>
    <row r="2135" spans="1:2">
      <c r="A2135" s="461"/>
      <c r="B2135" s="461"/>
    </row>
    <row r="2136" spans="1:2">
      <c r="A2136" s="461"/>
      <c r="B2136" s="461"/>
    </row>
    <row r="2137" spans="1:2">
      <c r="A2137" s="461"/>
      <c r="B2137" s="461"/>
    </row>
    <row r="2138" spans="1:2">
      <c r="A2138" s="461"/>
      <c r="B2138" s="461"/>
    </row>
    <row r="2139" spans="1:2">
      <c r="A2139" s="461"/>
      <c r="B2139" s="461"/>
    </row>
    <row r="2140" spans="1:2">
      <c r="A2140" s="461"/>
      <c r="B2140" s="461"/>
    </row>
    <row r="2141" spans="1:2">
      <c r="A2141" s="461"/>
      <c r="B2141" s="461"/>
    </row>
    <row r="2142" spans="1:2">
      <c r="A2142" s="461"/>
      <c r="B2142" s="461"/>
    </row>
    <row r="2143" spans="1:2">
      <c r="A2143" s="461"/>
      <c r="B2143" s="461"/>
    </row>
    <row r="2144" spans="1:2">
      <c r="A2144" s="461"/>
      <c r="B2144" s="461"/>
    </row>
    <row r="2145" spans="1:2">
      <c r="A2145" s="461"/>
      <c r="B2145" s="461"/>
    </row>
    <row r="2146" spans="1:2">
      <c r="A2146" s="461"/>
      <c r="B2146" s="461"/>
    </row>
    <row r="2147" spans="1:2">
      <c r="A2147" s="461"/>
      <c r="B2147" s="461"/>
    </row>
    <row r="2148" spans="1:2">
      <c r="A2148" s="461"/>
      <c r="B2148" s="461"/>
    </row>
    <row r="2149" spans="1:2">
      <c r="A2149" s="461"/>
      <c r="B2149" s="461"/>
    </row>
    <row r="2150" spans="1:2">
      <c r="A2150" s="461"/>
      <c r="B2150" s="461"/>
    </row>
    <row r="2151" spans="1:2">
      <c r="A2151" s="461"/>
      <c r="B2151" s="461"/>
    </row>
    <row r="2152" spans="1:2">
      <c r="A2152" s="461"/>
      <c r="B2152" s="461"/>
    </row>
    <row r="2153" spans="1:2">
      <c r="A2153" s="461"/>
      <c r="B2153" s="461"/>
    </row>
    <row r="2154" spans="1:2">
      <c r="A2154" s="461"/>
      <c r="B2154" s="461"/>
    </row>
    <row r="2155" spans="1:2">
      <c r="A2155" s="461"/>
      <c r="B2155" s="461"/>
    </row>
    <row r="2156" spans="1:2">
      <c r="A2156" s="461"/>
      <c r="B2156" s="461"/>
    </row>
    <row r="2157" spans="1:2">
      <c r="A2157" s="461"/>
      <c r="B2157" s="461"/>
    </row>
    <row r="2158" spans="1:2">
      <c r="A2158" s="461"/>
      <c r="B2158" s="461"/>
    </row>
    <row r="2159" spans="1:2">
      <c r="A2159" s="461"/>
      <c r="B2159" s="461"/>
    </row>
    <row r="2160" spans="1:2">
      <c r="A2160" s="461"/>
      <c r="B2160" s="461"/>
    </row>
    <row r="2161" spans="1:2">
      <c r="A2161" s="461"/>
      <c r="B2161" s="461"/>
    </row>
    <row r="2162" spans="1:2">
      <c r="A2162" s="461"/>
      <c r="B2162" s="461"/>
    </row>
    <row r="2163" spans="1:2">
      <c r="A2163" s="461"/>
      <c r="B2163" s="461"/>
    </row>
    <row r="2164" spans="1:2">
      <c r="A2164" s="461"/>
      <c r="B2164" s="461"/>
    </row>
    <row r="2165" spans="1:2">
      <c r="A2165" s="461"/>
      <c r="B2165" s="461"/>
    </row>
    <row r="2166" spans="1:2">
      <c r="A2166" s="461"/>
      <c r="B2166" s="461"/>
    </row>
    <row r="2167" spans="1:2">
      <c r="A2167" s="461"/>
      <c r="B2167" s="461"/>
    </row>
    <row r="2168" spans="1:2">
      <c r="A2168" s="461"/>
      <c r="B2168" s="461"/>
    </row>
    <row r="2169" spans="1:2">
      <c r="A2169" s="461"/>
      <c r="B2169" s="461"/>
    </row>
    <row r="2170" spans="1:2">
      <c r="A2170" s="461"/>
      <c r="B2170" s="461"/>
    </row>
    <row r="2171" spans="1:2">
      <c r="A2171" s="461"/>
      <c r="B2171" s="461"/>
    </row>
    <row r="2172" spans="1:2">
      <c r="A2172" s="461"/>
      <c r="B2172" s="461"/>
    </row>
    <row r="2173" spans="1:2">
      <c r="A2173" s="461"/>
      <c r="B2173" s="461"/>
    </row>
    <row r="2174" spans="1:2">
      <c r="A2174" s="461"/>
      <c r="B2174" s="461"/>
    </row>
    <row r="2175" spans="1:2">
      <c r="A2175" s="461"/>
      <c r="B2175" s="461"/>
    </row>
    <row r="2176" spans="1:2">
      <c r="A2176" s="461"/>
      <c r="B2176" s="461"/>
    </row>
    <row r="2177" spans="1:2">
      <c r="A2177" s="461"/>
      <c r="B2177" s="461"/>
    </row>
    <row r="2178" spans="1:2">
      <c r="A2178" s="461"/>
      <c r="B2178" s="461"/>
    </row>
    <row r="2179" spans="1:2">
      <c r="A2179" s="461"/>
      <c r="B2179" s="461"/>
    </row>
    <row r="2180" spans="1:2">
      <c r="A2180" s="461"/>
      <c r="B2180" s="461"/>
    </row>
    <row r="2181" spans="1:2">
      <c r="A2181" s="461"/>
      <c r="B2181" s="461"/>
    </row>
    <row r="2182" spans="1:2">
      <c r="A2182" s="461"/>
      <c r="B2182" s="461"/>
    </row>
    <row r="2183" spans="1:2">
      <c r="A2183" s="461"/>
      <c r="B2183" s="461"/>
    </row>
    <row r="2184" spans="1:2">
      <c r="A2184" s="461"/>
      <c r="B2184" s="461"/>
    </row>
    <row r="2185" spans="1:2">
      <c r="A2185" s="461"/>
      <c r="B2185" s="461"/>
    </row>
    <row r="2186" spans="1:2">
      <c r="A2186" s="461"/>
      <c r="B2186" s="461"/>
    </row>
    <row r="2187" spans="1:2">
      <c r="A2187" s="461"/>
      <c r="B2187" s="461"/>
    </row>
    <row r="2188" spans="1:2">
      <c r="A2188" s="461"/>
      <c r="B2188" s="461"/>
    </row>
    <row r="2189" spans="1:2">
      <c r="A2189" s="461"/>
      <c r="B2189" s="461"/>
    </row>
    <row r="2190" spans="1:2">
      <c r="A2190" s="461"/>
      <c r="B2190" s="461"/>
    </row>
    <row r="2191" spans="1:2">
      <c r="A2191" s="461"/>
      <c r="B2191" s="461"/>
    </row>
    <row r="2192" spans="1:2">
      <c r="A2192" s="461"/>
      <c r="B2192" s="461"/>
    </row>
    <row r="2193" spans="1:2">
      <c r="A2193" s="461"/>
      <c r="B2193" s="461"/>
    </row>
    <row r="2194" spans="1:2">
      <c r="A2194" s="461"/>
      <c r="B2194" s="461"/>
    </row>
    <row r="2195" spans="1:2">
      <c r="A2195" s="461"/>
      <c r="B2195" s="461"/>
    </row>
    <row r="2196" spans="1:2">
      <c r="A2196" s="461"/>
      <c r="B2196" s="461"/>
    </row>
    <row r="2197" spans="1:2">
      <c r="A2197" s="461"/>
      <c r="B2197" s="461"/>
    </row>
    <row r="2198" spans="1:2">
      <c r="A2198" s="461"/>
      <c r="B2198" s="461"/>
    </row>
    <row r="2199" spans="1:2">
      <c r="A2199" s="461"/>
      <c r="B2199" s="461"/>
    </row>
    <row r="2200" spans="1:2">
      <c r="A2200" s="461"/>
      <c r="B2200" s="461"/>
    </row>
    <row r="2201" spans="1:2">
      <c r="A2201" s="461"/>
      <c r="B2201" s="461"/>
    </row>
    <row r="2202" spans="1:2">
      <c r="A2202" s="461"/>
      <c r="B2202" s="461"/>
    </row>
    <row r="2203" spans="1:2">
      <c r="A2203" s="461"/>
      <c r="B2203" s="461"/>
    </row>
    <row r="2204" spans="1:2">
      <c r="A2204" s="461"/>
      <c r="B2204" s="461"/>
    </row>
    <row r="2205" spans="1:2">
      <c r="A2205" s="461"/>
      <c r="B2205" s="461"/>
    </row>
    <row r="2206" spans="1:2">
      <c r="A2206" s="461"/>
      <c r="B2206" s="461"/>
    </row>
    <row r="2207" spans="1:2">
      <c r="A2207" s="461"/>
      <c r="B2207" s="461"/>
    </row>
    <row r="2208" spans="1:2">
      <c r="A2208" s="461"/>
      <c r="B2208" s="461"/>
    </row>
    <row r="2209" spans="1:2">
      <c r="A2209" s="461"/>
      <c r="B2209" s="461"/>
    </row>
    <row r="2210" spans="1:2">
      <c r="A2210" s="461"/>
      <c r="B2210" s="461"/>
    </row>
    <row r="2211" spans="1:2">
      <c r="A2211" s="461"/>
      <c r="B2211" s="461"/>
    </row>
    <row r="2212" spans="1:2">
      <c r="A2212" s="461"/>
      <c r="B2212" s="461"/>
    </row>
    <row r="2213" spans="1:2">
      <c r="A2213" s="461"/>
      <c r="B2213" s="461"/>
    </row>
    <row r="2214" spans="1:2">
      <c r="A2214" s="461"/>
      <c r="B2214" s="461"/>
    </row>
    <row r="2215" spans="1:2">
      <c r="A2215" s="461"/>
      <c r="B2215" s="461"/>
    </row>
    <row r="2216" spans="1:2">
      <c r="A2216" s="461"/>
      <c r="B2216" s="461"/>
    </row>
    <row r="2217" spans="1:2">
      <c r="A2217" s="461"/>
      <c r="B2217" s="461"/>
    </row>
    <row r="2218" spans="1:2">
      <c r="A2218" s="461"/>
      <c r="B2218" s="461"/>
    </row>
    <row r="2219" spans="1:2">
      <c r="A2219" s="461"/>
      <c r="B2219" s="461"/>
    </row>
    <row r="2220" spans="1:2">
      <c r="A2220" s="461"/>
      <c r="B2220" s="461"/>
    </row>
    <row r="2221" spans="1:2">
      <c r="A2221" s="461"/>
      <c r="B2221" s="461"/>
    </row>
    <row r="2222" spans="1:2">
      <c r="A2222" s="461"/>
      <c r="B2222" s="461"/>
    </row>
    <row r="2223" spans="1:2">
      <c r="A2223" s="461"/>
      <c r="B2223" s="461"/>
    </row>
    <row r="2224" spans="1:2">
      <c r="A2224" s="461"/>
      <c r="B2224" s="461"/>
    </row>
    <row r="2225" spans="1:2">
      <c r="A2225" s="461"/>
      <c r="B2225" s="461"/>
    </row>
    <row r="2226" spans="1:2">
      <c r="A2226" s="461"/>
      <c r="B2226" s="461"/>
    </row>
    <row r="2227" spans="1:2">
      <c r="A2227" s="461"/>
      <c r="B2227" s="461"/>
    </row>
    <row r="2228" spans="1:2">
      <c r="A2228" s="461"/>
      <c r="B2228" s="461"/>
    </row>
    <row r="2229" spans="1:2">
      <c r="A2229" s="461"/>
      <c r="B2229" s="461"/>
    </row>
    <row r="2230" spans="1:2">
      <c r="A2230" s="461"/>
      <c r="B2230" s="461"/>
    </row>
    <row r="2231" spans="1:2">
      <c r="A2231" s="461"/>
      <c r="B2231" s="461"/>
    </row>
    <row r="2232" spans="1:2">
      <c r="A2232" s="461"/>
      <c r="B2232" s="461"/>
    </row>
    <row r="2233" spans="1:2">
      <c r="A2233" s="461"/>
      <c r="B2233" s="461"/>
    </row>
    <row r="2234" spans="1:2">
      <c r="A2234" s="461"/>
      <c r="B2234" s="461"/>
    </row>
    <row r="2235" spans="1:2">
      <c r="A2235" s="461"/>
      <c r="B2235" s="461"/>
    </row>
    <row r="2236" spans="1:2">
      <c r="A2236" s="461"/>
      <c r="B2236" s="461"/>
    </row>
    <row r="2237" spans="1:2">
      <c r="A2237" s="461"/>
      <c r="B2237" s="461"/>
    </row>
    <row r="2238" spans="1:2">
      <c r="A2238" s="461"/>
      <c r="B2238" s="461"/>
    </row>
    <row r="2239" spans="1:2">
      <c r="A2239" s="461"/>
      <c r="B2239" s="461"/>
    </row>
    <row r="2240" spans="1:2">
      <c r="A2240" s="461"/>
      <c r="B2240" s="461"/>
    </row>
    <row r="2241" spans="1:2">
      <c r="A2241" s="461"/>
      <c r="B2241" s="461"/>
    </row>
    <row r="2242" spans="1:2">
      <c r="A2242" s="461"/>
      <c r="B2242" s="461"/>
    </row>
    <row r="2243" spans="1:2">
      <c r="A2243" s="461"/>
      <c r="B2243" s="461"/>
    </row>
    <row r="2244" spans="1:2">
      <c r="A2244" s="461"/>
      <c r="B2244" s="461"/>
    </row>
    <row r="2245" spans="1:2">
      <c r="A2245" s="461"/>
      <c r="B2245" s="461"/>
    </row>
    <row r="2246" spans="1:2">
      <c r="A2246" s="461"/>
      <c r="B2246" s="461"/>
    </row>
    <row r="2247" spans="1:2">
      <c r="A2247" s="461"/>
      <c r="B2247" s="461"/>
    </row>
    <row r="2248" spans="1:2">
      <c r="A2248" s="461"/>
      <c r="B2248" s="461"/>
    </row>
    <row r="2249" spans="1:2">
      <c r="A2249" s="461"/>
      <c r="B2249" s="461"/>
    </row>
    <row r="2250" spans="1:2">
      <c r="A2250" s="461"/>
      <c r="B2250" s="461"/>
    </row>
    <row r="2251" spans="1:2">
      <c r="A2251" s="461"/>
      <c r="B2251" s="461"/>
    </row>
    <row r="2252" spans="1:2">
      <c r="A2252" s="461"/>
      <c r="B2252" s="461"/>
    </row>
    <row r="2253" spans="1:2">
      <c r="A2253" s="461"/>
      <c r="B2253" s="461"/>
    </row>
    <row r="2254" spans="1:2">
      <c r="A2254" s="461"/>
      <c r="B2254" s="461"/>
    </row>
    <row r="2255" spans="1:2">
      <c r="A2255" s="461"/>
      <c r="B2255" s="461"/>
    </row>
    <row r="2256" spans="1:2">
      <c r="A2256" s="461"/>
      <c r="B2256" s="461"/>
    </row>
    <row r="2257" spans="1:2">
      <c r="A2257" s="461"/>
      <c r="B2257" s="461"/>
    </row>
    <row r="2258" spans="1:2">
      <c r="A2258" s="461"/>
      <c r="B2258" s="461"/>
    </row>
    <row r="2259" spans="1:2">
      <c r="A2259" s="461"/>
      <c r="B2259" s="461"/>
    </row>
    <row r="2260" spans="1:2">
      <c r="A2260" s="461"/>
      <c r="B2260" s="461"/>
    </row>
    <row r="2261" spans="1:2">
      <c r="A2261" s="461"/>
      <c r="B2261" s="461"/>
    </row>
    <row r="2262" spans="1:2">
      <c r="A2262" s="461"/>
      <c r="B2262" s="461"/>
    </row>
    <row r="2263" spans="1:2">
      <c r="A2263" s="461"/>
      <c r="B2263" s="461"/>
    </row>
    <row r="2264" spans="1:2">
      <c r="A2264" s="461"/>
      <c r="B2264" s="461"/>
    </row>
    <row r="2265" spans="1:2">
      <c r="A2265" s="461"/>
      <c r="B2265" s="461"/>
    </row>
    <row r="2266" spans="1:2">
      <c r="A2266" s="461"/>
      <c r="B2266" s="461"/>
    </row>
    <row r="2267" spans="1:2">
      <c r="A2267" s="461"/>
      <c r="B2267" s="461"/>
    </row>
    <row r="2268" spans="1:2">
      <c r="A2268" s="461"/>
      <c r="B2268" s="461"/>
    </row>
    <row r="2269" spans="1:2">
      <c r="A2269" s="461"/>
      <c r="B2269" s="461"/>
    </row>
    <row r="2270" spans="1:2">
      <c r="A2270" s="461"/>
      <c r="B2270" s="461"/>
    </row>
    <row r="2271" spans="1:2">
      <c r="A2271" s="461"/>
      <c r="B2271" s="461"/>
    </row>
    <row r="2272" spans="1:2">
      <c r="A2272" s="461"/>
      <c r="B2272" s="461"/>
    </row>
    <row r="2273" spans="1:2">
      <c r="A2273" s="461"/>
      <c r="B2273" s="461"/>
    </row>
    <row r="2274" spans="1:2">
      <c r="A2274" s="461"/>
      <c r="B2274" s="461"/>
    </row>
    <row r="2275" spans="1:2">
      <c r="A2275" s="461"/>
      <c r="B2275" s="461"/>
    </row>
    <row r="2276" spans="1:2">
      <c r="A2276" s="461"/>
      <c r="B2276" s="461"/>
    </row>
    <row r="2277" spans="1:2">
      <c r="A2277" s="461"/>
      <c r="B2277" s="461"/>
    </row>
    <row r="2278" spans="1:2">
      <c r="A2278" s="461"/>
      <c r="B2278" s="461"/>
    </row>
    <row r="2279" spans="1:2">
      <c r="A2279" s="461"/>
      <c r="B2279" s="461"/>
    </row>
    <row r="2280" spans="1:2">
      <c r="A2280" s="461"/>
      <c r="B2280" s="461"/>
    </row>
    <row r="2281" spans="1:2">
      <c r="A2281" s="461"/>
      <c r="B2281" s="461"/>
    </row>
    <row r="2282" spans="1:2">
      <c r="A2282" s="461"/>
      <c r="B2282" s="461"/>
    </row>
    <row r="2283" spans="1:2">
      <c r="A2283" s="461"/>
      <c r="B2283" s="461"/>
    </row>
    <row r="2284" spans="1:2">
      <c r="A2284" s="461"/>
      <c r="B2284" s="461"/>
    </row>
    <row r="2285" spans="1:2">
      <c r="A2285" s="461"/>
      <c r="B2285" s="461"/>
    </row>
    <row r="2286" spans="1:2">
      <c r="A2286" s="461"/>
      <c r="B2286" s="461"/>
    </row>
    <row r="2287" spans="1:2">
      <c r="A2287" s="461"/>
      <c r="B2287" s="461"/>
    </row>
    <row r="2288" spans="1:2">
      <c r="A2288" s="461"/>
      <c r="B2288" s="461"/>
    </row>
    <row r="2289" spans="1:2">
      <c r="A2289" s="461"/>
      <c r="B2289" s="461"/>
    </row>
    <row r="2290" spans="1:2">
      <c r="A2290" s="461"/>
      <c r="B2290" s="461"/>
    </row>
    <row r="2291" spans="1:2">
      <c r="A2291" s="461"/>
      <c r="B2291" s="461"/>
    </row>
    <row r="2292" spans="1:2">
      <c r="A2292" s="461"/>
      <c r="B2292" s="461"/>
    </row>
    <row r="2293" spans="1:2">
      <c r="A2293" s="461"/>
      <c r="B2293" s="461"/>
    </row>
    <row r="2294" spans="1:2">
      <c r="A2294" s="461"/>
      <c r="B2294" s="461"/>
    </row>
    <row r="2295" spans="1:2">
      <c r="A2295" s="461"/>
      <c r="B2295" s="461"/>
    </row>
    <row r="2296" spans="1:2">
      <c r="A2296" s="461"/>
      <c r="B2296" s="461"/>
    </row>
    <row r="2297" spans="1:2">
      <c r="A2297" s="461"/>
      <c r="B2297" s="461"/>
    </row>
    <row r="2298" spans="1:2">
      <c r="A2298" s="461"/>
      <c r="B2298" s="461"/>
    </row>
    <row r="2299" spans="1:2">
      <c r="A2299" s="461"/>
      <c r="B2299" s="461"/>
    </row>
    <row r="2300" spans="1:2">
      <c r="A2300" s="461"/>
      <c r="B2300" s="461"/>
    </row>
    <row r="2301" spans="1:2">
      <c r="A2301" s="461"/>
      <c r="B2301" s="461"/>
    </row>
    <row r="2302" spans="1:2">
      <c r="A2302" s="461"/>
      <c r="B2302" s="461"/>
    </row>
    <row r="2303" spans="1:2">
      <c r="A2303" s="461"/>
      <c r="B2303" s="461"/>
    </row>
    <row r="2304" spans="1:2">
      <c r="A2304" s="461"/>
      <c r="B2304" s="461"/>
    </row>
    <row r="2305" spans="1:2">
      <c r="A2305" s="461"/>
      <c r="B2305" s="461"/>
    </row>
    <row r="2306" spans="1:2">
      <c r="A2306" s="461"/>
      <c r="B2306" s="461"/>
    </row>
    <row r="2307" spans="1:2">
      <c r="A2307" s="461"/>
      <c r="B2307" s="461"/>
    </row>
    <row r="2308" spans="1:2">
      <c r="A2308" s="461"/>
      <c r="B2308" s="461"/>
    </row>
    <row r="2309" spans="1:2">
      <c r="A2309" s="461"/>
      <c r="B2309" s="461"/>
    </row>
    <row r="2310" spans="1:2">
      <c r="A2310" s="461"/>
      <c r="B2310" s="461"/>
    </row>
    <row r="2311" spans="1:2">
      <c r="A2311" s="461"/>
      <c r="B2311" s="461"/>
    </row>
    <row r="2312" spans="1:2">
      <c r="A2312" s="461"/>
      <c r="B2312" s="461"/>
    </row>
    <row r="2313" spans="1:2">
      <c r="A2313" s="461"/>
      <c r="B2313" s="461"/>
    </row>
    <row r="2314" spans="1:2">
      <c r="A2314" s="461"/>
      <c r="B2314" s="461"/>
    </row>
    <row r="2315" spans="1:2">
      <c r="A2315" s="461"/>
      <c r="B2315" s="461"/>
    </row>
    <row r="2316" spans="1:2">
      <c r="A2316" s="461"/>
      <c r="B2316" s="461"/>
    </row>
    <row r="2317" spans="1:2">
      <c r="A2317" s="461"/>
      <c r="B2317" s="461"/>
    </row>
    <row r="2318" spans="1:2">
      <c r="A2318" s="461"/>
      <c r="B2318" s="461"/>
    </row>
    <row r="2319" spans="1:2">
      <c r="A2319" s="461"/>
      <c r="B2319" s="461"/>
    </row>
    <row r="2320" spans="1:2">
      <c r="A2320" s="461"/>
      <c r="B2320" s="461"/>
    </row>
    <row r="2321" spans="1:2">
      <c r="A2321" s="461"/>
      <c r="B2321" s="461"/>
    </row>
    <row r="2322" spans="1:2">
      <c r="A2322" s="461"/>
      <c r="B2322" s="461"/>
    </row>
    <row r="2323" spans="1:2">
      <c r="A2323" s="461"/>
      <c r="B2323" s="461"/>
    </row>
    <row r="2324" spans="1:2">
      <c r="A2324" s="461"/>
      <c r="B2324" s="461"/>
    </row>
    <row r="2325" spans="1:2">
      <c r="A2325" s="461"/>
      <c r="B2325" s="461"/>
    </row>
    <row r="2326" spans="1:2">
      <c r="A2326" s="461"/>
      <c r="B2326" s="461"/>
    </row>
    <row r="2327" spans="1:2">
      <c r="A2327" s="461"/>
      <c r="B2327" s="461"/>
    </row>
    <row r="2328" spans="1:2">
      <c r="A2328" s="461"/>
      <c r="B2328" s="461"/>
    </row>
    <row r="2329" spans="1:2">
      <c r="A2329" s="461"/>
      <c r="B2329" s="461"/>
    </row>
    <row r="2330" spans="1:2">
      <c r="A2330" s="461"/>
      <c r="B2330" s="461"/>
    </row>
    <row r="2331" spans="1:2">
      <c r="A2331" s="461"/>
      <c r="B2331" s="461"/>
    </row>
    <row r="2332" spans="1:2">
      <c r="A2332" s="461"/>
      <c r="B2332" s="461"/>
    </row>
    <row r="2333" spans="1:2">
      <c r="A2333" s="461"/>
      <c r="B2333" s="461"/>
    </row>
    <row r="2334" spans="1:2">
      <c r="A2334" s="461"/>
      <c r="B2334" s="461"/>
    </row>
    <row r="2335" spans="1:2">
      <c r="A2335" s="461"/>
      <c r="B2335" s="461"/>
    </row>
    <row r="2336" spans="1:2">
      <c r="A2336" s="461"/>
      <c r="B2336" s="461"/>
    </row>
    <row r="2337" spans="1:2">
      <c r="A2337" s="461"/>
      <c r="B2337" s="461"/>
    </row>
    <row r="2338" spans="1:2">
      <c r="A2338" s="461"/>
      <c r="B2338" s="461"/>
    </row>
    <row r="2339" spans="1:2">
      <c r="A2339" s="461"/>
      <c r="B2339" s="461"/>
    </row>
    <row r="2340" spans="1:2">
      <c r="A2340" s="461"/>
      <c r="B2340" s="461"/>
    </row>
    <row r="2341" spans="1:2">
      <c r="A2341" s="461"/>
      <c r="B2341" s="461"/>
    </row>
    <row r="2342" spans="1:2">
      <c r="A2342" s="461"/>
      <c r="B2342" s="461"/>
    </row>
    <row r="2343" spans="1:2">
      <c r="A2343" s="461"/>
      <c r="B2343" s="461"/>
    </row>
    <row r="2344" spans="1:2">
      <c r="A2344" s="461"/>
      <c r="B2344" s="461"/>
    </row>
    <row r="2345" spans="1:2">
      <c r="A2345" s="461"/>
      <c r="B2345" s="461"/>
    </row>
    <row r="2346" spans="1:2">
      <c r="A2346" s="461"/>
      <c r="B2346" s="461"/>
    </row>
    <row r="2347" spans="1:2">
      <c r="A2347" s="461"/>
      <c r="B2347" s="461"/>
    </row>
    <row r="2348" spans="1:2">
      <c r="A2348" s="461"/>
      <c r="B2348" s="461"/>
    </row>
    <row r="2349" spans="1:2">
      <c r="A2349" s="461"/>
      <c r="B2349" s="461"/>
    </row>
    <row r="2350" spans="1:2">
      <c r="A2350" s="461"/>
      <c r="B2350" s="461"/>
    </row>
    <row r="2351" spans="1:2">
      <c r="A2351" s="461"/>
      <c r="B2351" s="461"/>
    </row>
    <row r="2352" spans="1:2">
      <c r="A2352" s="461"/>
      <c r="B2352" s="461"/>
    </row>
    <row r="2353" spans="1:2">
      <c r="A2353" s="461"/>
      <c r="B2353" s="461"/>
    </row>
    <row r="2354" spans="1:2">
      <c r="A2354" s="461"/>
      <c r="B2354" s="461"/>
    </row>
    <row r="2355" spans="1:2">
      <c r="A2355" s="461"/>
      <c r="B2355" s="461"/>
    </row>
    <row r="2356" spans="1:2">
      <c r="A2356" s="461"/>
      <c r="B2356" s="461"/>
    </row>
    <row r="2357" spans="1:2">
      <c r="A2357" s="461"/>
      <c r="B2357" s="461"/>
    </row>
    <row r="2358" spans="1:2">
      <c r="A2358" s="461"/>
      <c r="B2358" s="461"/>
    </row>
    <row r="2359" spans="1:2">
      <c r="A2359" s="461"/>
      <c r="B2359" s="461"/>
    </row>
    <row r="2360" spans="1:2">
      <c r="A2360" s="461"/>
      <c r="B2360" s="461"/>
    </row>
    <row r="2361" spans="1:2">
      <c r="A2361" s="461"/>
      <c r="B2361" s="461"/>
    </row>
    <row r="2362" spans="1:2">
      <c r="A2362" s="461"/>
      <c r="B2362" s="461"/>
    </row>
    <row r="2363" spans="1:2">
      <c r="A2363" s="461"/>
      <c r="B2363" s="461"/>
    </row>
    <row r="2364" spans="1:2">
      <c r="A2364" s="461"/>
      <c r="B2364" s="461"/>
    </row>
    <row r="2365" spans="1:2">
      <c r="A2365" s="461"/>
      <c r="B2365" s="461"/>
    </row>
    <row r="2366" spans="1:2">
      <c r="A2366" s="461"/>
      <c r="B2366" s="461"/>
    </row>
    <row r="2367" spans="1:2">
      <c r="A2367" s="461"/>
      <c r="B2367" s="461"/>
    </row>
    <row r="2368" spans="1:2">
      <c r="A2368" s="461"/>
      <c r="B2368" s="461"/>
    </row>
    <row r="2369" spans="1:2">
      <c r="A2369" s="461"/>
      <c r="B2369" s="461"/>
    </row>
    <row r="2370" spans="1:2">
      <c r="A2370" s="461"/>
      <c r="B2370" s="461"/>
    </row>
    <row r="2371" spans="1:2">
      <c r="A2371" s="461"/>
      <c r="B2371" s="461"/>
    </row>
    <row r="2372" spans="1:2">
      <c r="A2372" s="461"/>
      <c r="B2372" s="461"/>
    </row>
    <row r="2373" spans="1:2">
      <c r="A2373" s="461"/>
      <c r="B2373" s="461"/>
    </row>
    <row r="2374" spans="1:2">
      <c r="A2374" s="461"/>
      <c r="B2374" s="461"/>
    </row>
    <row r="2375" spans="1:2">
      <c r="A2375" s="461"/>
      <c r="B2375" s="461"/>
    </row>
    <row r="2376" spans="1:2">
      <c r="A2376" s="461"/>
      <c r="B2376" s="461"/>
    </row>
    <row r="2377" spans="1:2">
      <c r="A2377" s="461"/>
      <c r="B2377" s="461"/>
    </row>
    <row r="2378" spans="1:2">
      <c r="A2378" s="461"/>
      <c r="B2378" s="461"/>
    </row>
    <row r="2379" spans="1:2">
      <c r="A2379" s="461"/>
      <c r="B2379" s="461"/>
    </row>
    <row r="2380" spans="1:2">
      <c r="A2380" s="461"/>
      <c r="B2380" s="461"/>
    </row>
    <row r="2381" spans="1:2">
      <c r="A2381" s="461"/>
      <c r="B2381" s="461"/>
    </row>
    <row r="2382" spans="1:2">
      <c r="A2382" s="461"/>
      <c r="B2382" s="461"/>
    </row>
    <row r="2383" spans="1:2">
      <c r="A2383" s="461"/>
      <c r="B2383" s="461"/>
    </row>
    <row r="2384" spans="1:2">
      <c r="A2384" s="461"/>
      <c r="B2384" s="461"/>
    </row>
    <row r="2385" spans="1:2">
      <c r="A2385" s="461"/>
      <c r="B2385" s="461"/>
    </row>
    <row r="2386" spans="1:2">
      <c r="A2386" s="461"/>
      <c r="B2386" s="461"/>
    </row>
    <row r="2387" spans="1:2">
      <c r="A2387" s="461"/>
      <c r="B2387" s="461"/>
    </row>
    <row r="2388" spans="1:2">
      <c r="A2388" s="461"/>
      <c r="B2388" s="461"/>
    </row>
    <row r="2389" spans="1:2">
      <c r="A2389" s="461"/>
      <c r="B2389" s="461"/>
    </row>
    <row r="2390" spans="1:2">
      <c r="A2390" s="461"/>
      <c r="B2390" s="461"/>
    </row>
    <row r="2391" spans="1:2">
      <c r="A2391" s="461"/>
      <c r="B2391" s="461"/>
    </row>
    <row r="2392" spans="1:2">
      <c r="A2392" s="461"/>
      <c r="B2392" s="461"/>
    </row>
    <row r="2393" spans="1:2">
      <c r="A2393" s="461"/>
      <c r="B2393" s="461"/>
    </row>
    <row r="2394" spans="1:2">
      <c r="A2394" s="461"/>
      <c r="B2394" s="461"/>
    </row>
    <row r="2395" spans="1:2">
      <c r="A2395" s="461"/>
      <c r="B2395" s="461"/>
    </row>
    <row r="2396" spans="1:2">
      <c r="A2396" s="461"/>
      <c r="B2396" s="461"/>
    </row>
    <row r="2397" spans="1:2">
      <c r="A2397" s="461"/>
      <c r="B2397" s="461"/>
    </row>
    <row r="2398" spans="1:2">
      <c r="A2398" s="461"/>
      <c r="B2398" s="461"/>
    </row>
    <row r="2399" spans="1:2">
      <c r="A2399" s="461"/>
      <c r="B2399" s="461"/>
    </row>
    <row r="2400" spans="1:2">
      <c r="A2400" s="461"/>
      <c r="B2400" s="461"/>
    </row>
    <row r="2401" spans="1:2">
      <c r="A2401" s="461"/>
      <c r="B2401" s="461"/>
    </row>
    <row r="2402" spans="1:2">
      <c r="A2402" s="461"/>
      <c r="B2402" s="461"/>
    </row>
    <row r="2403" spans="1:2">
      <c r="A2403" s="461"/>
      <c r="B2403" s="461"/>
    </row>
    <row r="2404" spans="1:2">
      <c r="A2404" s="461"/>
      <c r="B2404" s="461"/>
    </row>
    <row r="2405" spans="1:2">
      <c r="A2405" s="461"/>
      <c r="B2405" s="461"/>
    </row>
    <row r="2406" spans="1:2">
      <c r="A2406" s="461"/>
      <c r="B2406" s="461"/>
    </row>
    <row r="2407" spans="1:2">
      <c r="A2407" s="461"/>
      <c r="B2407" s="461"/>
    </row>
    <row r="2408" spans="1:2">
      <c r="A2408" s="461"/>
      <c r="B2408" s="461"/>
    </row>
    <row r="2409" spans="1:2">
      <c r="A2409" s="461"/>
      <c r="B2409" s="461"/>
    </row>
    <row r="2410" spans="1:2">
      <c r="A2410" s="461"/>
      <c r="B2410" s="461"/>
    </row>
    <row r="2411" spans="1:2">
      <c r="A2411" s="461"/>
      <c r="B2411" s="461"/>
    </row>
    <row r="2412" spans="1:2">
      <c r="A2412" s="461"/>
      <c r="B2412" s="461"/>
    </row>
    <row r="2413" spans="1:2">
      <c r="A2413" s="461"/>
      <c r="B2413" s="461"/>
    </row>
    <row r="2414" spans="1:2">
      <c r="A2414" s="461"/>
      <c r="B2414" s="461"/>
    </row>
    <row r="2415" spans="1:2">
      <c r="A2415" s="461"/>
      <c r="B2415" s="461"/>
    </row>
    <row r="2416" spans="1:2">
      <c r="A2416" s="461"/>
      <c r="B2416" s="461"/>
    </row>
    <row r="2417" spans="1:2">
      <c r="A2417" s="461"/>
      <c r="B2417" s="461"/>
    </row>
    <row r="2418" spans="1:2">
      <c r="A2418" s="461"/>
      <c r="B2418" s="461"/>
    </row>
    <row r="2419" spans="1:2">
      <c r="A2419" s="461"/>
      <c r="B2419" s="461"/>
    </row>
    <row r="2420" spans="1:2">
      <c r="A2420" s="461"/>
      <c r="B2420" s="461"/>
    </row>
    <row r="2421" spans="1:2">
      <c r="A2421" s="461"/>
      <c r="B2421" s="461"/>
    </row>
    <row r="2422" spans="1:2">
      <c r="A2422" s="461"/>
      <c r="B2422" s="461"/>
    </row>
    <row r="2423" spans="1:2">
      <c r="A2423" s="461"/>
      <c r="B2423" s="461"/>
    </row>
    <row r="2424" spans="1:2">
      <c r="A2424" s="461"/>
      <c r="B2424" s="461"/>
    </row>
    <row r="2425" spans="1:2">
      <c r="A2425" s="461"/>
      <c r="B2425" s="461"/>
    </row>
    <row r="2426" spans="1:2">
      <c r="A2426" s="461"/>
      <c r="B2426" s="461"/>
    </row>
    <row r="2427" spans="1:2">
      <c r="A2427" s="461"/>
      <c r="B2427" s="461"/>
    </row>
    <row r="2428" spans="1:2">
      <c r="A2428" s="461"/>
      <c r="B2428" s="461"/>
    </row>
    <row r="2429" spans="1:2">
      <c r="A2429" s="461"/>
      <c r="B2429" s="461"/>
    </row>
    <row r="2430" spans="1:2">
      <c r="A2430" s="461"/>
      <c r="B2430" s="461"/>
    </row>
    <row r="2431" spans="1:2">
      <c r="A2431" s="461"/>
      <c r="B2431" s="461"/>
    </row>
    <row r="2432" spans="1:2">
      <c r="A2432" s="461"/>
      <c r="B2432" s="461"/>
    </row>
    <row r="2433" spans="1:2">
      <c r="A2433" s="461"/>
      <c r="B2433" s="461"/>
    </row>
    <row r="2434" spans="1:2">
      <c r="A2434" s="461"/>
      <c r="B2434" s="461"/>
    </row>
    <row r="2435" spans="1:2">
      <c r="A2435" s="461"/>
      <c r="B2435" s="461"/>
    </row>
    <row r="2436" spans="1:2">
      <c r="A2436" s="461"/>
      <c r="B2436" s="461"/>
    </row>
    <row r="2437" spans="1:2">
      <c r="A2437" s="461"/>
      <c r="B2437" s="461"/>
    </row>
    <row r="2438" spans="1:2">
      <c r="A2438" s="461"/>
      <c r="B2438" s="461"/>
    </row>
    <row r="2439" spans="1:2">
      <c r="A2439" s="461"/>
      <c r="B2439" s="461"/>
    </row>
    <row r="2440" spans="1:2">
      <c r="A2440" s="461"/>
      <c r="B2440" s="461"/>
    </row>
    <row r="2441" spans="1:2">
      <c r="A2441" s="461"/>
      <c r="B2441" s="461"/>
    </row>
    <row r="2442" spans="1:2">
      <c r="A2442" s="461"/>
      <c r="B2442" s="461"/>
    </row>
    <row r="2443" spans="1:2">
      <c r="A2443" s="461"/>
      <c r="B2443" s="461"/>
    </row>
    <row r="2444" spans="1:2">
      <c r="A2444" s="461"/>
      <c r="B2444" s="461"/>
    </row>
    <row r="2445" spans="1:2">
      <c r="A2445" s="461"/>
      <c r="B2445" s="461"/>
    </row>
    <row r="2446" spans="1:2">
      <c r="A2446" s="461"/>
      <c r="B2446" s="461"/>
    </row>
    <row r="2447" spans="1:2">
      <c r="A2447" s="461"/>
      <c r="B2447" s="461"/>
    </row>
    <row r="2448" spans="1:2">
      <c r="A2448" s="461"/>
      <c r="B2448" s="461"/>
    </row>
    <row r="2449" spans="1:2">
      <c r="A2449" s="461"/>
      <c r="B2449" s="461"/>
    </row>
    <row r="2450" spans="1:2">
      <c r="A2450" s="461"/>
      <c r="B2450" s="461"/>
    </row>
    <row r="2451" spans="1:2">
      <c r="A2451" s="461"/>
      <c r="B2451" s="461"/>
    </row>
    <row r="2452" spans="1:2">
      <c r="A2452" s="461"/>
      <c r="B2452" s="461"/>
    </row>
    <row r="2453" spans="1:2">
      <c r="A2453" s="461"/>
      <c r="B2453" s="461"/>
    </row>
    <row r="2454" spans="1:2">
      <c r="A2454" s="461"/>
      <c r="B2454" s="461"/>
    </row>
    <row r="2455" spans="1:2">
      <c r="A2455" s="461"/>
      <c r="B2455" s="461"/>
    </row>
    <row r="2456" spans="1:2">
      <c r="A2456" s="461"/>
      <c r="B2456" s="461"/>
    </row>
    <row r="2457" spans="1:2">
      <c r="A2457" s="461"/>
      <c r="B2457" s="461"/>
    </row>
    <row r="2458" spans="1:2">
      <c r="A2458" s="461"/>
      <c r="B2458" s="461"/>
    </row>
    <row r="2459" spans="1:2">
      <c r="A2459" s="461"/>
      <c r="B2459" s="461"/>
    </row>
    <row r="2460" spans="1:2">
      <c r="A2460" s="461"/>
      <c r="B2460" s="461"/>
    </row>
    <row r="2461" spans="1:2">
      <c r="A2461" s="461"/>
      <c r="B2461" s="461"/>
    </row>
    <row r="2462" spans="1:2">
      <c r="A2462" s="461"/>
      <c r="B2462" s="461"/>
    </row>
    <row r="2463" spans="1:2">
      <c r="A2463" s="461"/>
      <c r="B2463" s="461"/>
    </row>
    <row r="2464" spans="1:2">
      <c r="A2464" s="461"/>
      <c r="B2464" s="461"/>
    </row>
    <row r="2465" spans="1:2">
      <c r="A2465" s="461"/>
      <c r="B2465" s="461"/>
    </row>
    <row r="2466" spans="1:2">
      <c r="A2466" s="461"/>
      <c r="B2466" s="461"/>
    </row>
    <row r="2467" spans="1:2">
      <c r="A2467" s="461"/>
      <c r="B2467" s="461"/>
    </row>
    <row r="2468" spans="1:2">
      <c r="A2468" s="461"/>
      <c r="B2468" s="461"/>
    </row>
    <row r="2469" spans="1:2">
      <c r="A2469" s="461"/>
      <c r="B2469" s="461"/>
    </row>
    <row r="2470" spans="1:2">
      <c r="A2470" s="461"/>
      <c r="B2470" s="461"/>
    </row>
    <row r="2471" spans="1:2">
      <c r="A2471" s="461"/>
      <c r="B2471" s="461"/>
    </row>
    <row r="2472" spans="1:2">
      <c r="A2472" s="461"/>
      <c r="B2472" s="461"/>
    </row>
    <row r="2473" spans="1:2">
      <c r="A2473" s="461"/>
      <c r="B2473" s="461"/>
    </row>
    <row r="2474" spans="1:2">
      <c r="A2474" s="461"/>
      <c r="B2474" s="461"/>
    </row>
    <row r="2475" spans="1:2">
      <c r="A2475" s="461"/>
      <c r="B2475" s="461"/>
    </row>
    <row r="2476" spans="1:2">
      <c r="A2476" s="461"/>
      <c r="B2476" s="461"/>
    </row>
    <row r="2477" spans="1:2">
      <c r="A2477" s="461"/>
      <c r="B2477" s="461"/>
    </row>
    <row r="2478" spans="1:2">
      <c r="A2478" s="461"/>
      <c r="B2478" s="461"/>
    </row>
    <row r="2479" spans="1:2">
      <c r="A2479" s="461"/>
      <c r="B2479" s="461"/>
    </row>
    <row r="2480" spans="1:2">
      <c r="A2480" s="461"/>
      <c r="B2480" s="461"/>
    </row>
    <row r="2481" spans="1:2">
      <c r="A2481" s="461"/>
      <c r="B2481" s="461"/>
    </row>
    <row r="2482" spans="1:2">
      <c r="A2482" s="461"/>
      <c r="B2482" s="461"/>
    </row>
    <row r="2483" spans="1:2">
      <c r="A2483" s="461"/>
      <c r="B2483" s="461"/>
    </row>
    <row r="2484" spans="1:2">
      <c r="A2484" s="461"/>
      <c r="B2484" s="461"/>
    </row>
    <row r="2485" spans="1:2">
      <c r="A2485" s="461"/>
      <c r="B2485" s="461"/>
    </row>
    <row r="2486" spans="1:2">
      <c r="A2486" s="461"/>
      <c r="B2486" s="461"/>
    </row>
    <row r="2487" spans="1:2">
      <c r="A2487" s="461"/>
      <c r="B2487" s="461"/>
    </row>
    <row r="2488" spans="1:2">
      <c r="A2488" s="461"/>
      <c r="B2488" s="461"/>
    </row>
    <row r="2489" spans="1:2">
      <c r="A2489" s="461"/>
      <c r="B2489" s="461"/>
    </row>
    <row r="2490" spans="1:2">
      <c r="A2490" s="461"/>
      <c r="B2490" s="461"/>
    </row>
    <row r="2491" spans="1:2">
      <c r="A2491" s="461"/>
      <c r="B2491" s="461"/>
    </row>
    <row r="2492" spans="1:2">
      <c r="A2492" s="461"/>
      <c r="B2492" s="461"/>
    </row>
    <row r="2493" spans="1:2">
      <c r="A2493" s="461"/>
      <c r="B2493" s="461"/>
    </row>
    <row r="2494" spans="1:2">
      <c r="A2494" s="461"/>
      <c r="B2494" s="461"/>
    </row>
    <row r="2495" spans="1:2">
      <c r="A2495" s="461"/>
      <c r="B2495" s="461"/>
    </row>
    <row r="2496" spans="1:2">
      <c r="A2496" s="461"/>
      <c r="B2496" s="461"/>
    </row>
    <row r="2497" spans="1:2">
      <c r="A2497" s="461"/>
      <c r="B2497" s="461"/>
    </row>
    <row r="2498" spans="1:2">
      <c r="A2498" s="461"/>
      <c r="B2498" s="461"/>
    </row>
    <row r="2499" spans="1:2">
      <c r="A2499" s="461"/>
      <c r="B2499" s="461"/>
    </row>
    <row r="2500" spans="1:2">
      <c r="A2500" s="461"/>
      <c r="B2500" s="461"/>
    </row>
    <row r="2501" spans="1:2">
      <c r="A2501" s="461"/>
      <c r="B2501" s="461"/>
    </row>
    <row r="2502" spans="1:2">
      <c r="A2502" s="461"/>
      <c r="B2502" s="461"/>
    </row>
    <row r="2503" spans="1:2">
      <c r="A2503" s="461"/>
      <c r="B2503" s="461"/>
    </row>
    <row r="2504" spans="1:2">
      <c r="A2504" s="461"/>
      <c r="B2504" s="461"/>
    </row>
    <row r="2505" spans="1:2">
      <c r="A2505" s="461"/>
      <c r="B2505" s="461"/>
    </row>
    <row r="2506" spans="1:2">
      <c r="A2506" s="461"/>
      <c r="B2506" s="461"/>
    </row>
    <row r="2507" spans="1:2">
      <c r="A2507" s="461"/>
      <c r="B2507" s="461"/>
    </row>
    <row r="2508" spans="1:2">
      <c r="A2508" s="461"/>
      <c r="B2508" s="461"/>
    </row>
    <row r="2509" spans="1:2">
      <c r="A2509" s="461"/>
      <c r="B2509" s="461"/>
    </row>
    <row r="2510" spans="1:2">
      <c r="A2510" s="461"/>
      <c r="B2510" s="461"/>
    </row>
    <row r="2511" spans="1:2">
      <c r="A2511" s="461"/>
      <c r="B2511" s="461"/>
    </row>
    <row r="2512" spans="1:2">
      <c r="A2512" s="461"/>
      <c r="B2512" s="461"/>
    </row>
    <row r="2513" spans="1:2">
      <c r="A2513" s="461"/>
      <c r="B2513" s="461"/>
    </row>
    <row r="2514" spans="1:2">
      <c r="A2514" s="461"/>
      <c r="B2514" s="461"/>
    </row>
    <row r="2515" spans="1:2">
      <c r="A2515" s="461"/>
      <c r="B2515" s="461"/>
    </row>
    <row r="2516" spans="1:2">
      <c r="A2516" s="461"/>
      <c r="B2516" s="461"/>
    </row>
    <row r="2517" spans="1:2">
      <c r="A2517" s="461"/>
      <c r="B2517" s="461"/>
    </row>
    <row r="2518" spans="1:2">
      <c r="A2518" s="461"/>
      <c r="B2518" s="461"/>
    </row>
    <row r="2519" spans="1:2">
      <c r="A2519" s="461"/>
      <c r="B2519" s="461"/>
    </row>
    <row r="2520" spans="1:2">
      <c r="A2520" s="461"/>
      <c r="B2520" s="461"/>
    </row>
    <row r="2521" spans="1:2">
      <c r="A2521" s="461"/>
      <c r="B2521" s="461"/>
    </row>
    <row r="2522" spans="1:2">
      <c r="A2522" s="461"/>
      <c r="B2522" s="461"/>
    </row>
    <row r="2523" spans="1:2">
      <c r="A2523" s="461"/>
      <c r="B2523" s="461"/>
    </row>
    <row r="2524" spans="1:2">
      <c r="A2524" s="461"/>
      <c r="B2524" s="461"/>
    </row>
    <row r="2525" spans="1:2">
      <c r="A2525" s="461"/>
      <c r="B2525" s="461"/>
    </row>
    <row r="2526" spans="1:2">
      <c r="A2526" s="461"/>
      <c r="B2526" s="461"/>
    </row>
    <row r="2527" spans="1:2">
      <c r="A2527" s="461"/>
      <c r="B2527" s="461"/>
    </row>
    <row r="2528" spans="1:2">
      <c r="A2528" s="461"/>
      <c r="B2528" s="461"/>
    </row>
    <row r="2529" spans="1:2">
      <c r="A2529" s="461"/>
      <c r="B2529" s="461"/>
    </row>
    <row r="2530" spans="1:2">
      <c r="A2530" s="461"/>
      <c r="B2530" s="461"/>
    </row>
    <row r="2531" spans="1:2">
      <c r="A2531" s="461"/>
      <c r="B2531" s="461"/>
    </row>
    <row r="2532" spans="1:2">
      <c r="A2532" s="461"/>
      <c r="B2532" s="461"/>
    </row>
    <row r="2533" spans="1:2">
      <c r="A2533" s="461"/>
      <c r="B2533" s="461"/>
    </row>
    <row r="2534" spans="1:2">
      <c r="A2534" s="461"/>
      <c r="B2534" s="461"/>
    </row>
    <row r="2535" spans="1:2">
      <c r="A2535" s="461"/>
      <c r="B2535" s="461"/>
    </row>
    <row r="2536" spans="1:2">
      <c r="A2536" s="461"/>
      <c r="B2536" s="461"/>
    </row>
    <row r="2537" spans="1:2">
      <c r="A2537" s="461"/>
      <c r="B2537" s="461"/>
    </row>
    <row r="2538" spans="1:2">
      <c r="A2538" s="461"/>
      <c r="B2538" s="461"/>
    </row>
    <row r="2539" spans="1:2">
      <c r="A2539" s="461"/>
      <c r="B2539" s="461"/>
    </row>
    <row r="2540" spans="1:2">
      <c r="A2540" s="461"/>
      <c r="B2540" s="461"/>
    </row>
    <row r="2541" spans="1:2">
      <c r="A2541" s="461"/>
      <c r="B2541" s="461"/>
    </row>
    <row r="2542" spans="1:2">
      <c r="A2542" s="461"/>
      <c r="B2542" s="461"/>
    </row>
    <row r="2543" spans="1:2">
      <c r="A2543" s="461"/>
      <c r="B2543" s="461"/>
    </row>
    <row r="2544" spans="1:2">
      <c r="A2544" s="461"/>
      <c r="B2544" s="461"/>
    </row>
    <row r="2545" spans="1:2">
      <c r="A2545" s="461"/>
      <c r="B2545" s="461"/>
    </row>
    <row r="2546" spans="1:2">
      <c r="A2546" s="461"/>
      <c r="B2546" s="461"/>
    </row>
    <row r="2547" spans="1:2">
      <c r="A2547" s="461"/>
      <c r="B2547" s="461"/>
    </row>
    <row r="2548" spans="1:2">
      <c r="A2548" s="461"/>
      <c r="B2548" s="461"/>
    </row>
    <row r="2549" spans="1:2">
      <c r="A2549" s="461"/>
      <c r="B2549" s="461"/>
    </row>
    <row r="2550" spans="1:2">
      <c r="A2550" s="461"/>
      <c r="B2550" s="461"/>
    </row>
    <row r="2551" spans="1:2">
      <c r="A2551" s="461"/>
      <c r="B2551" s="461"/>
    </row>
    <row r="2552" spans="1:2">
      <c r="A2552" s="461"/>
      <c r="B2552" s="461"/>
    </row>
    <row r="2553" spans="1:2">
      <c r="A2553" s="461"/>
      <c r="B2553" s="461"/>
    </row>
    <row r="2554" spans="1:2">
      <c r="A2554" s="461"/>
      <c r="B2554" s="461"/>
    </row>
    <row r="2555" spans="1:2">
      <c r="A2555" s="461"/>
      <c r="B2555" s="461"/>
    </row>
    <row r="2556" spans="1:2">
      <c r="A2556" s="461"/>
      <c r="B2556" s="461"/>
    </row>
    <row r="2557" spans="1:2">
      <c r="A2557" s="461"/>
      <c r="B2557" s="461"/>
    </row>
    <row r="2558" spans="1:2">
      <c r="A2558" s="461"/>
      <c r="B2558" s="461"/>
    </row>
    <row r="2559" spans="1:2">
      <c r="A2559" s="461"/>
      <c r="B2559" s="461"/>
    </row>
    <row r="2560" spans="1:2">
      <c r="A2560" s="461"/>
      <c r="B2560" s="461"/>
    </row>
    <row r="2561" spans="1:2">
      <c r="A2561" s="461"/>
      <c r="B2561" s="461"/>
    </row>
    <row r="2562" spans="1:2">
      <c r="A2562" s="461"/>
      <c r="B2562" s="461"/>
    </row>
    <row r="2563" spans="1:2">
      <c r="A2563" s="461"/>
      <c r="B2563" s="461"/>
    </row>
    <row r="2564" spans="1:2">
      <c r="A2564" s="461"/>
      <c r="B2564" s="461"/>
    </row>
    <row r="2565" spans="1:2">
      <c r="A2565" s="461"/>
      <c r="B2565" s="461"/>
    </row>
    <row r="2566" spans="1:2">
      <c r="A2566" s="461"/>
      <c r="B2566" s="461"/>
    </row>
    <row r="2567" spans="1:2">
      <c r="A2567" s="461"/>
      <c r="B2567" s="461"/>
    </row>
    <row r="2568" spans="1:2">
      <c r="A2568" s="461"/>
      <c r="B2568" s="461"/>
    </row>
    <row r="2569" spans="1:2">
      <c r="A2569" s="461"/>
      <c r="B2569" s="461"/>
    </row>
    <row r="2570" spans="1:2">
      <c r="A2570" s="461"/>
      <c r="B2570" s="461"/>
    </row>
    <row r="2571" spans="1:2">
      <c r="A2571" s="461"/>
      <c r="B2571" s="461"/>
    </row>
    <row r="2572" spans="1:2">
      <c r="A2572" s="461"/>
      <c r="B2572" s="461"/>
    </row>
    <row r="2573" spans="1:2">
      <c r="A2573" s="461"/>
      <c r="B2573" s="461"/>
    </row>
    <row r="2574" spans="1:2">
      <c r="A2574" s="461"/>
      <c r="B2574" s="461"/>
    </row>
    <row r="2575" spans="1:2">
      <c r="A2575" s="461"/>
      <c r="B2575" s="461"/>
    </row>
    <row r="2576" spans="1:2">
      <c r="A2576" s="461"/>
      <c r="B2576" s="461"/>
    </row>
    <row r="2577" spans="1:2">
      <c r="A2577" s="461"/>
      <c r="B2577" s="461"/>
    </row>
    <row r="2578" spans="1:2">
      <c r="A2578" s="461"/>
      <c r="B2578" s="461"/>
    </row>
    <row r="2579" spans="1:2">
      <c r="A2579" s="461"/>
      <c r="B2579" s="461"/>
    </row>
    <row r="2580" spans="1:2">
      <c r="A2580" s="461"/>
      <c r="B2580" s="461"/>
    </row>
    <row r="2581" spans="1:2">
      <c r="A2581" s="461"/>
      <c r="B2581" s="461"/>
    </row>
    <row r="2582" spans="1:2">
      <c r="A2582" s="461"/>
      <c r="B2582" s="461"/>
    </row>
    <row r="2583" spans="1:2">
      <c r="A2583" s="461"/>
      <c r="B2583" s="461"/>
    </row>
    <row r="2584" spans="1:2">
      <c r="A2584" s="461"/>
      <c r="B2584" s="461"/>
    </row>
    <row r="2585" spans="1:2">
      <c r="A2585" s="461"/>
      <c r="B2585" s="461"/>
    </row>
    <row r="2586" spans="1:2">
      <c r="A2586" s="461"/>
      <c r="B2586" s="461"/>
    </row>
    <row r="2587" spans="1:2">
      <c r="A2587" s="461"/>
      <c r="B2587" s="461"/>
    </row>
    <row r="2588" spans="1:2">
      <c r="A2588" s="461"/>
      <c r="B2588" s="461"/>
    </row>
    <row r="2589" spans="1:2">
      <c r="A2589" s="461"/>
      <c r="B2589" s="461"/>
    </row>
    <row r="2590" spans="1:2">
      <c r="A2590" s="461"/>
      <c r="B2590" s="461"/>
    </row>
    <row r="2591" spans="1:2">
      <c r="A2591" s="461"/>
      <c r="B2591" s="461"/>
    </row>
    <row r="2592" spans="1:2">
      <c r="A2592" s="461"/>
      <c r="B2592" s="461"/>
    </row>
    <row r="2593" spans="1:2">
      <c r="A2593" s="461"/>
      <c r="B2593" s="461"/>
    </row>
    <row r="2594" spans="1:2">
      <c r="A2594" s="461"/>
      <c r="B2594" s="461"/>
    </row>
    <row r="2595" spans="1:2">
      <c r="A2595" s="461"/>
      <c r="B2595" s="461"/>
    </row>
    <row r="2596" spans="1:2">
      <c r="A2596" s="461"/>
      <c r="B2596" s="461"/>
    </row>
    <row r="2597" spans="1:2">
      <c r="A2597" s="461"/>
      <c r="B2597" s="461"/>
    </row>
    <row r="2598" spans="1:2">
      <c r="A2598" s="461"/>
      <c r="B2598" s="461"/>
    </row>
    <row r="2599" spans="1:2">
      <c r="A2599" s="461"/>
      <c r="B2599" s="461"/>
    </row>
    <row r="2600" spans="1:2">
      <c r="A2600" s="461"/>
      <c r="B2600" s="461"/>
    </row>
    <row r="2601" spans="1:2">
      <c r="A2601" s="461"/>
      <c r="B2601" s="461"/>
    </row>
    <row r="2602" spans="1:2">
      <c r="A2602" s="461"/>
      <c r="B2602" s="461"/>
    </row>
    <row r="2603" spans="1:2">
      <c r="A2603" s="461"/>
      <c r="B2603" s="461"/>
    </row>
    <row r="2604" spans="1:2">
      <c r="A2604" s="461"/>
      <c r="B2604" s="461"/>
    </row>
    <row r="2605" spans="1:2">
      <c r="A2605" s="461"/>
      <c r="B2605" s="461"/>
    </row>
    <row r="2606" spans="1:2">
      <c r="A2606" s="461"/>
      <c r="B2606" s="461"/>
    </row>
    <row r="2607" spans="1:2">
      <c r="A2607" s="461"/>
      <c r="B2607" s="461"/>
    </row>
    <row r="2608" spans="1:2">
      <c r="A2608" s="461"/>
      <c r="B2608" s="461"/>
    </row>
    <row r="2609" spans="1:2">
      <c r="A2609" s="461"/>
      <c r="B2609" s="461"/>
    </row>
    <row r="2610" spans="1:2">
      <c r="A2610" s="461"/>
      <c r="B2610" s="461"/>
    </row>
    <row r="2611" spans="1:2">
      <c r="A2611" s="461"/>
      <c r="B2611" s="461"/>
    </row>
    <row r="2612" spans="1:2">
      <c r="A2612" s="461"/>
      <c r="B2612" s="461"/>
    </row>
    <row r="2613" spans="1:2">
      <c r="A2613" s="461"/>
      <c r="B2613" s="461"/>
    </row>
    <row r="2614" spans="1:2">
      <c r="A2614" s="461"/>
      <c r="B2614" s="461"/>
    </row>
    <row r="2615" spans="1:2">
      <c r="A2615" s="461"/>
      <c r="B2615" s="461"/>
    </row>
    <row r="2616" spans="1:2">
      <c r="A2616" s="461"/>
      <c r="B2616" s="461"/>
    </row>
    <row r="2617" spans="1:2">
      <c r="A2617" s="461"/>
      <c r="B2617" s="461"/>
    </row>
    <row r="2618" spans="1:2">
      <c r="A2618" s="461"/>
      <c r="B2618" s="461"/>
    </row>
    <row r="2619" spans="1:2">
      <c r="A2619" s="461"/>
      <c r="B2619" s="461"/>
    </row>
    <row r="2620" spans="1:2">
      <c r="A2620" s="461"/>
      <c r="B2620" s="461"/>
    </row>
    <row r="2621" spans="1:2">
      <c r="A2621" s="461"/>
      <c r="B2621" s="461"/>
    </row>
    <row r="2622" spans="1:2">
      <c r="A2622" s="461"/>
      <c r="B2622" s="461"/>
    </row>
    <row r="2623" spans="1:2">
      <c r="A2623" s="461"/>
      <c r="B2623" s="461"/>
    </row>
    <row r="2624" spans="1:2">
      <c r="A2624" s="461"/>
      <c r="B2624" s="461"/>
    </row>
    <row r="2625" spans="1:2">
      <c r="A2625" s="461"/>
      <c r="B2625" s="461"/>
    </row>
    <row r="2626" spans="1:2">
      <c r="A2626" s="461"/>
      <c r="B2626" s="461"/>
    </row>
    <row r="2627" spans="1:2">
      <c r="A2627" s="461"/>
      <c r="B2627" s="461"/>
    </row>
    <row r="2628" spans="1:2">
      <c r="A2628" s="461"/>
      <c r="B2628" s="461"/>
    </row>
    <row r="2629" spans="1:2">
      <c r="A2629" s="461"/>
      <c r="B2629" s="461"/>
    </row>
    <row r="2630" spans="1:2">
      <c r="A2630" s="461"/>
      <c r="B2630" s="461"/>
    </row>
    <row r="2631" spans="1:2">
      <c r="A2631" s="461"/>
      <c r="B2631" s="461"/>
    </row>
    <row r="2632" spans="1:2">
      <c r="A2632" s="461"/>
      <c r="B2632" s="461"/>
    </row>
    <row r="2633" spans="1:2">
      <c r="A2633" s="461"/>
      <c r="B2633" s="461"/>
    </row>
    <row r="2634" spans="1:2">
      <c r="A2634" s="461"/>
      <c r="B2634" s="461"/>
    </row>
    <row r="2635" spans="1:2">
      <c r="A2635" s="461"/>
      <c r="B2635" s="461"/>
    </row>
    <row r="2636" spans="1:2">
      <c r="A2636" s="461"/>
      <c r="B2636" s="461"/>
    </row>
    <row r="2637" spans="1:2">
      <c r="A2637" s="461"/>
      <c r="B2637" s="461"/>
    </row>
    <row r="2638" spans="1:2">
      <c r="A2638" s="461"/>
      <c r="B2638" s="461"/>
    </row>
    <row r="2639" spans="1:2">
      <c r="A2639" s="461"/>
      <c r="B2639" s="461"/>
    </row>
    <row r="2640" spans="1:2">
      <c r="A2640" s="461"/>
      <c r="B2640" s="461"/>
    </row>
    <row r="2641" spans="1:2">
      <c r="A2641" s="461"/>
      <c r="B2641" s="461"/>
    </row>
    <row r="2642" spans="1:2">
      <c r="A2642" s="461"/>
      <c r="B2642" s="461"/>
    </row>
    <row r="2643" spans="1:2">
      <c r="A2643" s="461"/>
      <c r="B2643" s="461"/>
    </row>
    <row r="2644" spans="1:2">
      <c r="A2644" s="461"/>
      <c r="B2644" s="461"/>
    </row>
    <row r="2645" spans="1:2">
      <c r="A2645" s="461"/>
      <c r="B2645" s="461"/>
    </row>
    <row r="2646" spans="1:2">
      <c r="A2646" s="461"/>
      <c r="B2646" s="461"/>
    </row>
    <row r="2647" spans="1:2">
      <c r="A2647" s="461"/>
      <c r="B2647" s="461"/>
    </row>
    <row r="2648" spans="1:2">
      <c r="A2648" s="461"/>
      <c r="B2648" s="461"/>
    </row>
    <row r="2649" spans="1:2">
      <c r="A2649" s="461"/>
      <c r="B2649" s="461"/>
    </row>
    <row r="2650" spans="1:2">
      <c r="A2650" s="461"/>
      <c r="B2650" s="461"/>
    </row>
    <row r="2651" spans="1:2">
      <c r="A2651" s="461"/>
      <c r="B2651" s="461"/>
    </row>
    <row r="2652" spans="1:2">
      <c r="A2652" s="461"/>
      <c r="B2652" s="461"/>
    </row>
    <row r="2653" spans="1:2">
      <c r="A2653" s="461"/>
      <c r="B2653" s="461"/>
    </row>
    <row r="2654" spans="1:2">
      <c r="A2654" s="461"/>
      <c r="B2654" s="461"/>
    </row>
    <row r="2655" spans="1:2">
      <c r="A2655" s="461"/>
      <c r="B2655" s="461"/>
    </row>
    <row r="2656" spans="1:2">
      <c r="A2656" s="461"/>
      <c r="B2656" s="461"/>
    </row>
    <row r="2657" spans="1:2">
      <c r="A2657" s="461"/>
      <c r="B2657" s="461"/>
    </row>
    <row r="2658" spans="1:2">
      <c r="A2658" s="461"/>
      <c r="B2658" s="461"/>
    </row>
    <row r="2659" spans="1:2">
      <c r="A2659" s="461"/>
      <c r="B2659" s="461"/>
    </row>
    <row r="2660" spans="1:2">
      <c r="A2660" s="461"/>
      <c r="B2660" s="461"/>
    </row>
    <row r="2661" spans="1:2">
      <c r="A2661" s="461"/>
      <c r="B2661" s="461"/>
    </row>
    <row r="2662" spans="1:2">
      <c r="A2662" s="461"/>
      <c r="B2662" s="461"/>
    </row>
    <row r="2663" spans="1:2">
      <c r="A2663" s="461"/>
      <c r="B2663" s="461"/>
    </row>
    <row r="2664" spans="1:2">
      <c r="A2664" s="461"/>
      <c r="B2664" s="461"/>
    </row>
    <row r="2665" spans="1:2">
      <c r="A2665" s="461"/>
      <c r="B2665" s="461"/>
    </row>
    <row r="2666" spans="1:2">
      <c r="A2666" s="461"/>
      <c r="B2666" s="461"/>
    </row>
    <row r="2667" spans="1:2">
      <c r="A2667" s="461"/>
      <c r="B2667" s="461"/>
    </row>
    <row r="2668" spans="1:2">
      <c r="A2668" s="461"/>
      <c r="B2668" s="461"/>
    </row>
    <row r="2669" spans="1:2">
      <c r="A2669" s="461"/>
      <c r="B2669" s="461"/>
    </row>
    <row r="2670" spans="1:2">
      <c r="A2670" s="461"/>
      <c r="B2670" s="461"/>
    </row>
    <row r="2671" spans="1:2">
      <c r="A2671" s="461"/>
      <c r="B2671" s="461"/>
    </row>
    <row r="2672" spans="1:2">
      <c r="A2672" s="461"/>
      <c r="B2672" s="461"/>
    </row>
    <row r="2673" spans="1:2">
      <c r="A2673" s="461"/>
      <c r="B2673" s="461"/>
    </row>
    <row r="2674" spans="1:2">
      <c r="A2674" s="461"/>
      <c r="B2674" s="461"/>
    </row>
    <row r="2675" spans="1:2">
      <c r="A2675" s="461"/>
      <c r="B2675" s="461"/>
    </row>
    <row r="2676" spans="1:2">
      <c r="A2676" s="461"/>
      <c r="B2676" s="461"/>
    </row>
    <row r="2677" spans="1:2">
      <c r="A2677" s="461"/>
      <c r="B2677" s="461"/>
    </row>
    <row r="2678" spans="1:2">
      <c r="A2678" s="461"/>
      <c r="B2678" s="461"/>
    </row>
    <row r="2679" spans="1:2">
      <c r="A2679" s="461"/>
      <c r="B2679" s="461"/>
    </row>
    <row r="2680" spans="1:2">
      <c r="A2680" s="461"/>
      <c r="B2680" s="461"/>
    </row>
    <row r="2681" spans="1:2">
      <c r="A2681" s="461"/>
      <c r="B2681" s="461"/>
    </row>
    <row r="2682" spans="1:2">
      <c r="A2682" s="461"/>
      <c r="B2682" s="461"/>
    </row>
    <row r="2683" spans="1:2">
      <c r="A2683" s="461"/>
      <c r="B2683" s="461"/>
    </row>
    <row r="2684" spans="1:2">
      <c r="A2684" s="461"/>
      <c r="B2684" s="461"/>
    </row>
    <row r="2685" spans="1:2">
      <c r="A2685" s="461"/>
      <c r="B2685" s="461"/>
    </row>
    <row r="2686" spans="1:2">
      <c r="A2686" s="461"/>
      <c r="B2686" s="461"/>
    </row>
    <row r="2687" spans="1:2">
      <c r="A2687" s="461"/>
      <c r="B2687" s="461"/>
    </row>
    <row r="2688" spans="1:2">
      <c r="A2688" s="461"/>
      <c r="B2688" s="461"/>
    </row>
    <row r="2689" spans="1:2">
      <c r="A2689" s="461"/>
      <c r="B2689" s="461"/>
    </row>
    <row r="2690" spans="1:2">
      <c r="A2690" s="461"/>
      <c r="B2690" s="461"/>
    </row>
    <row r="2691" spans="1:2">
      <c r="A2691" s="461"/>
      <c r="B2691" s="461"/>
    </row>
    <row r="2692" spans="1:2">
      <c r="A2692" s="461"/>
      <c r="B2692" s="461"/>
    </row>
    <row r="2693" spans="1:2">
      <c r="A2693" s="461"/>
      <c r="B2693" s="461"/>
    </row>
    <row r="2694" spans="1:2">
      <c r="A2694" s="461"/>
      <c r="B2694" s="461"/>
    </row>
    <row r="2695" spans="1:2">
      <c r="A2695" s="461"/>
      <c r="B2695" s="461"/>
    </row>
    <row r="2696" spans="1:2">
      <c r="A2696" s="461"/>
      <c r="B2696" s="461"/>
    </row>
    <row r="2697" spans="1:2">
      <c r="A2697" s="461"/>
      <c r="B2697" s="461"/>
    </row>
    <row r="2698" spans="1:2">
      <c r="A2698" s="461"/>
      <c r="B2698" s="461"/>
    </row>
    <row r="2699" spans="1:2">
      <c r="A2699" s="461"/>
      <c r="B2699" s="461"/>
    </row>
    <row r="2700" spans="1:2">
      <c r="A2700" s="461"/>
      <c r="B2700" s="461"/>
    </row>
    <row r="2701" spans="1:2">
      <c r="A2701" s="461"/>
      <c r="B2701" s="461"/>
    </row>
    <row r="2702" spans="1:2">
      <c r="A2702" s="461"/>
      <c r="B2702" s="461"/>
    </row>
    <row r="2703" spans="1:2">
      <c r="A2703" s="461"/>
      <c r="B2703" s="461"/>
    </row>
    <row r="2704" spans="1:2">
      <c r="A2704" s="461"/>
      <c r="B2704" s="461"/>
    </row>
    <row r="2705" spans="1:2">
      <c r="A2705" s="461"/>
      <c r="B2705" s="461"/>
    </row>
    <row r="2706" spans="1:2">
      <c r="A2706" s="461"/>
      <c r="B2706" s="461"/>
    </row>
    <row r="2707" spans="1:2">
      <c r="A2707" s="461"/>
      <c r="B2707" s="461"/>
    </row>
    <row r="2708" spans="1:2">
      <c r="A2708" s="461"/>
      <c r="B2708" s="461"/>
    </row>
    <row r="2709" spans="1:2">
      <c r="A2709" s="461"/>
      <c r="B2709" s="461"/>
    </row>
    <row r="2710" spans="1:2">
      <c r="A2710" s="461"/>
      <c r="B2710" s="461"/>
    </row>
    <row r="2711" spans="1:2">
      <c r="A2711" s="461"/>
      <c r="B2711" s="461"/>
    </row>
    <row r="2712" spans="1:2">
      <c r="A2712" s="461"/>
      <c r="B2712" s="461"/>
    </row>
    <row r="2713" spans="1:2">
      <c r="A2713" s="461"/>
      <c r="B2713" s="461"/>
    </row>
    <row r="2714" spans="1:2">
      <c r="A2714" s="461"/>
      <c r="B2714" s="461"/>
    </row>
    <row r="2715" spans="1:2">
      <c r="A2715" s="461"/>
      <c r="B2715" s="461"/>
    </row>
    <row r="2716" spans="1:2">
      <c r="A2716" s="461"/>
      <c r="B2716" s="461"/>
    </row>
    <row r="2717" spans="1:2">
      <c r="A2717" s="461"/>
      <c r="B2717" s="461"/>
    </row>
    <row r="2718" spans="1:2">
      <c r="A2718" s="461"/>
      <c r="B2718" s="461"/>
    </row>
    <row r="2719" spans="1:2">
      <c r="A2719" s="461"/>
      <c r="B2719" s="461"/>
    </row>
    <row r="2720" spans="1:2">
      <c r="A2720" s="461"/>
      <c r="B2720" s="461"/>
    </row>
    <row r="2721" spans="1:2">
      <c r="A2721" s="461"/>
      <c r="B2721" s="461"/>
    </row>
    <row r="2722" spans="1:2">
      <c r="A2722" s="461"/>
      <c r="B2722" s="461"/>
    </row>
    <row r="2723" spans="1:2">
      <c r="A2723" s="461"/>
      <c r="B2723" s="461"/>
    </row>
    <row r="2724" spans="1:2">
      <c r="A2724" s="461"/>
      <c r="B2724" s="461"/>
    </row>
    <row r="2725" spans="1:2">
      <c r="A2725" s="461"/>
      <c r="B2725" s="461"/>
    </row>
    <row r="2726" spans="1:2">
      <c r="A2726" s="461"/>
      <c r="B2726" s="461"/>
    </row>
    <row r="2727" spans="1:2">
      <c r="A2727" s="461"/>
      <c r="B2727" s="461"/>
    </row>
    <row r="2728" spans="1:2">
      <c r="A2728" s="461"/>
      <c r="B2728" s="461"/>
    </row>
    <row r="2729" spans="1:2">
      <c r="A2729" s="461"/>
      <c r="B2729" s="461"/>
    </row>
    <row r="2730" spans="1:2">
      <c r="A2730" s="461"/>
      <c r="B2730" s="461"/>
    </row>
    <row r="2731" spans="1:2">
      <c r="A2731" s="461"/>
      <c r="B2731" s="461"/>
    </row>
    <row r="2732" spans="1:2">
      <c r="A2732" s="461"/>
      <c r="B2732" s="461"/>
    </row>
    <row r="2733" spans="1:2">
      <c r="A2733" s="461"/>
      <c r="B2733" s="461"/>
    </row>
    <row r="2734" spans="1:2">
      <c r="A2734" s="461"/>
      <c r="B2734" s="461"/>
    </row>
    <row r="2735" spans="1:2">
      <c r="A2735" s="461"/>
      <c r="B2735" s="461"/>
    </row>
    <row r="2736" spans="1:2">
      <c r="A2736" s="461"/>
      <c r="B2736" s="461"/>
    </row>
    <row r="2737" spans="1:2">
      <c r="A2737" s="461"/>
      <c r="B2737" s="461"/>
    </row>
    <row r="2738" spans="1:2">
      <c r="A2738" s="461"/>
      <c r="B2738" s="461"/>
    </row>
    <row r="2739" spans="1:2">
      <c r="A2739" s="461"/>
      <c r="B2739" s="461"/>
    </row>
    <row r="2740" spans="1:2">
      <c r="A2740" s="461"/>
      <c r="B2740" s="461"/>
    </row>
    <row r="2741" spans="1:2">
      <c r="A2741" s="461"/>
      <c r="B2741" s="461"/>
    </row>
    <row r="2742" spans="1:2">
      <c r="A2742" s="461"/>
      <c r="B2742" s="461"/>
    </row>
    <row r="2743" spans="1:2">
      <c r="A2743" s="461"/>
      <c r="B2743" s="461"/>
    </row>
    <row r="2744" spans="1:2">
      <c r="A2744" s="461"/>
      <c r="B2744" s="461"/>
    </row>
    <row r="2745" spans="1:2">
      <c r="A2745" s="461"/>
      <c r="B2745" s="461"/>
    </row>
    <row r="2746" spans="1:2">
      <c r="A2746" s="461"/>
      <c r="B2746" s="461"/>
    </row>
    <row r="2747" spans="1:2">
      <c r="A2747" s="461"/>
      <c r="B2747" s="461"/>
    </row>
    <row r="2748" spans="1:2">
      <c r="A2748" s="461"/>
      <c r="B2748" s="461"/>
    </row>
    <row r="2749" spans="1:2">
      <c r="A2749" s="461"/>
      <c r="B2749" s="461"/>
    </row>
    <row r="2750" spans="1:2">
      <c r="A2750" s="461"/>
      <c r="B2750" s="461"/>
    </row>
    <row r="2751" spans="1:2">
      <c r="A2751" s="461"/>
      <c r="B2751" s="461"/>
    </row>
    <row r="2752" spans="1:2">
      <c r="A2752" s="461"/>
      <c r="B2752" s="461"/>
    </row>
    <row r="2753" spans="1:2">
      <c r="A2753" s="461"/>
      <c r="B2753" s="461"/>
    </row>
    <row r="2754" spans="1:2">
      <c r="A2754" s="461"/>
      <c r="B2754" s="461"/>
    </row>
    <row r="2755" spans="1:2">
      <c r="A2755" s="461"/>
      <c r="B2755" s="461"/>
    </row>
    <row r="2756" spans="1:2">
      <c r="A2756" s="461"/>
      <c r="B2756" s="461"/>
    </row>
    <row r="2757" spans="1:2">
      <c r="A2757" s="461"/>
      <c r="B2757" s="461"/>
    </row>
    <row r="2758" spans="1:2">
      <c r="A2758" s="461"/>
      <c r="B2758" s="461"/>
    </row>
    <row r="2759" spans="1:2">
      <c r="A2759" s="461"/>
      <c r="B2759" s="461"/>
    </row>
    <row r="2760" spans="1:2">
      <c r="A2760" s="461"/>
      <c r="B2760" s="461"/>
    </row>
    <row r="2761" spans="1:2">
      <c r="A2761" s="461"/>
      <c r="B2761" s="461"/>
    </row>
    <row r="2762" spans="1:2">
      <c r="A2762" s="461"/>
      <c r="B2762" s="461"/>
    </row>
    <row r="2763" spans="1:2">
      <c r="A2763" s="461"/>
      <c r="B2763" s="461"/>
    </row>
    <row r="2764" spans="1:2">
      <c r="A2764" s="461"/>
      <c r="B2764" s="461"/>
    </row>
    <row r="2765" spans="1:2">
      <c r="A2765" s="461"/>
      <c r="B2765" s="461"/>
    </row>
    <row r="2766" spans="1:2">
      <c r="A2766" s="461"/>
      <c r="B2766" s="461"/>
    </row>
    <row r="2767" spans="1:2">
      <c r="A2767" s="461"/>
      <c r="B2767" s="461"/>
    </row>
    <row r="2768" spans="1:2">
      <c r="A2768" s="461"/>
      <c r="B2768" s="461"/>
    </row>
    <row r="2769" spans="1:2">
      <c r="A2769" s="461"/>
      <c r="B2769" s="461"/>
    </row>
    <row r="2770" spans="1:2">
      <c r="A2770" s="461"/>
      <c r="B2770" s="461"/>
    </row>
    <row r="2771" spans="1:2">
      <c r="A2771" s="461"/>
      <c r="B2771" s="461"/>
    </row>
    <row r="2772" spans="1:2">
      <c r="A2772" s="461"/>
      <c r="B2772" s="461"/>
    </row>
    <row r="2773" spans="1:2">
      <c r="A2773" s="461"/>
      <c r="B2773" s="461"/>
    </row>
    <row r="2774" spans="1:2">
      <c r="A2774" s="461"/>
      <c r="B2774" s="461"/>
    </row>
    <row r="2775" spans="1:2">
      <c r="A2775" s="461"/>
      <c r="B2775" s="461"/>
    </row>
    <row r="2776" spans="1:2">
      <c r="A2776" s="461"/>
      <c r="B2776" s="461"/>
    </row>
    <row r="2777" spans="1:2">
      <c r="A2777" s="461"/>
      <c r="B2777" s="461"/>
    </row>
    <row r="2778" spans="1:2">
      <c r="A2778" s="461"/>
      <c r="B2778" s="461"/>
    </row>
    <row r="2779" spans="1:2">
      <c r="A2779" s="461"/>
      <c r="B2779" s="461"/>
    </row>
    <row r="2780" spans="1:2">
      <c r="A2780" s="461"/>
      <c r="B2780" s="461"/>
    </row>
    <row r="2781" spans="1:2">
      <c r="A2781" s="461"/>
      <c r="B2781" s="461"/>
    </row>
    <row r="2782" spans="1:2">
      <c r="A2782" s="461"/>
      <c r="B2782" s="461"/>
    </row>
    <row r="2783" spans="1:2">
      <c r="A2783" s="461"/>
      <c r="B2783" s="461"/>
    </row>
    <row r="2784" spans="1:2">
      <c r="A2784" s="461"/>
      <c r="B2784" s="461"/>
    </row>
    <row r="2785" spans="1:2">
      <c r="A2785" s="461"/>
      <c r="B2785" s="461"/>
    </row>
    <row r="2786" spans="1:2">
      <c r="A2786" s="461"/>
      <c r="B2786" s="461"/>
    </row>
    <row r="2787" spans="1:2">
      <c r="A2787" s="461"/>
      <c r="B2787" s="461"/>
    </row>
    <row r="2788" spans="1:2">
      <c r="A2788" s="461"/>
      <c r="B2788" s="461"/>
    </row>
    <row r="2789" spans="1:2">
      <c r="A2789" s="461"/>
      <c r="B2789" s="461"/>
    </row>
    <row r="2790" spans="1:2">
      <c r="A2790" s="461"/>
      <c r="B2790" s="461"/>
    </row>
    <row r="2791" spans="1:2">
      <c r="A2791" s="461"/>
      <c r="B2791" s="461"/>
    </row>
    <row r="2792" spans="1:2">
      <c r="A2792" s="461"/>
      <c r="B2792" s="461"/>
    </row>
    <row r="2793" spans="1:2">
      <c r="A2793" s="461"/>
      <c r="B2793" s="461"/>
    </row>
    <row r="2794" spans="1:2">
      <c r="A2794" s="461"/>
      <c r="B2794" s="461"/>
    </row>
    <row r="2795" spans="1:2">
      <c r="A2795" s="461"/>
      <c r="B2795" s="461"/>
    </row>
    <row r="2796" spans="1:2">
      <c r="A2796" s="461"/>
      <c r="B2796" s="461"/>
    </row>
    <row r="2797" spans="1:2">
      <c r="A2797" s="461"/>
      <c r="B2797" s="461"/>
    </row>
    <row r="2798" spans="1:2">
      <c r="A2798" s="461"/>
      <c r="B2798" s="461"/>
    </row>
    <row r="2799" spans="1:2">
      <c r="A2799" s="461"/>
      <c r="B2799" s="461"/>
    </row>
    <row r="2800" spans="1:2">
      <c r="A2800" s="461"/>
      <c r="B2800" s="461"/>
    </row>
    <row r="2801" spans="1:2">
      <c r="A2801" s="461"/>
      <c r="B2801" s="461"/>
    </row>
    <row r="2802" spans="1:2">
      <c r="A2802" s="461"/>
      <c r="B2802" s="461"/>
    </row>
    <row r="2803" spans="1:2">
      <c r="A2803" s="461"/>
      <c r="B2803" s="461"/>
    </row>
    <row r="2804" spans="1:2">
      <c r="A2804" s="461"/>
      <c r="B2804" s="461"/>
    </row>
    <row r="2805" spans="1:2">
      <c r="A2805" s="461"/>
      <c r="B2805" s="461"/>
    </row>
    <row r="2806" spans="1:2">
      <c r="A2806" s="461"/>
      <c r="B2806" s="461"/>
    </row>
    <row r="2807" spans="1:2">
      <c r="A2807" s="461"/>
      <c r="B2807" s="461"/>
    </row>
    <row r="2808" spans="1:2">
      <c r="A2808" s="461"/>
      <c r="B2808" s="461"/>
    </row>
    <row r="2809" spans="1:2">
      <c r="A2809" s="461"/>
      <c r="B2809" s="461"/>
    </row>
    <row r="2810" spans="1:2">
      <c r="A2810" s="461"/>
      <c r="B2810" s="461"/>
    </row>
    <row r="2811" spans="1:2">
      <c r="A2811" s="461"/>
      <c r="B2811" s="461"/>
    </row>
    <row r="2812" spans="1:2">
      <c r="A2812" s="461"/>
      <c r="B2812" s="461"/>
    </row>
    <row r="2813" spans="1:2">
      <c r="A2813" s="461"/>
      <c r="B2813" s="461"/>
    </row>
    <row r="2814" spans="1:2">
      <c r="A2814" s="461"/>
      <c r="B2814" s="461"/>
    </row>
    <row r="2815" spans="1:2">
      <c r="A2815" s="461"/>
      <c r="B2815" s="461"/>
    </row>
    <row r="2816" spans="1:2">
      <c r="A2816" s="461"/>
      <c r="B2816" s="461"/>
    </row>
    <row r="2817" spans="1:2">
      <c r="A2817" s="461"/>
      <c r="B2817" s="461"/>
    </row>
    <row r="2818" spans="1:2">
      <c r="A2818" s="461"/>
      <c r="B2818" s="461"/>
    </row>
    <row r="2819" spans="1:2">
      <c r="A2819" s="461"/>
      <c r="B2819" s="461"/>
    </row>
    <row r="2820" spans="1:2">
      <c r="A2820" s="461"/>
      <c r="B2820" s="461"/>
    </row>
    <row r="2821" spans="1:2">
      <c r="A2821" s="461"/>
      <c r="B2821" s="461"/>
    </row>
    <row r="2822" spans="1:2">
      <c r="A2822" s="461"/>
      <c r="B2822" s="461"/>
    </row>
    <row r="2823" spans="1:2">
      <c r="A2823" s="461"/>
      <c r="B2823" s="461"/>
    </row>
    <row r="2824" spans="1:2">
      <c r="A2824" s="461"/>
      <c r="B2824" s="461"/>
    </row>
    <row r="2825" spans="1:2">
      <c r="A2825" s="461"/>
      <c r="B2825" s="461"/>
    </row>
    <row r="2826" spans="1:2">
      <c r="A2826" s="461"/>
      <c r="B2826" s="461"/>
    </row>
    <row r="2827" spans="1:2">
      <c r="A2827" s="461"/>
      <c r="B2827" s="461"/>
    </row>
    <row r="2828" spans="1:2">
      <c r="A2828" s="461"/>
      <c r="B2828" s="461"/>
    </row>
    <row r="2829" spans="1:2">
      <c r="A2829" s="461"/>
      <c r="B2829" s="461"/>
    </row>
    <row r="2830" spans="1:2">
      <c r="A2830" s="461"/>
      <c r="B2830" s="461"/>
    </row>
    <row r="2831" spans="1:2">
      <c r="A2831" s="461"/>
      <c r="B2831" s="461"/>
    </row>
    <row r="2832" spans="1:2">
      <c r="A2832" s="461"/>
      <c r="B2832" s="461"/>
    </row>
    <row r="2833" spans="1:2">
      <c r="A2833" s="461"/>
      <c r="B2833" s="461"/>
    </row>
    <row r="2834" spans="1:2">
      <c r="A2834" s="461"/>
      <c r="B2834" s="461"/>
    </row>
    <row r="2835" spans="1:2">
      <c r="A2835" s="461"/>
      <c r="B2835" s="461"/>
    </row>
    <row r="2836" spans="1:2">
      <c r="A2836" s="461"/>
      <c r="B2836" s="461"/>
    </row>
    <row r="2837" spans="1:2">
      <c r="A2837" s="461"/>
      <c r="B2837" s="461"/>
    </row>
    <row r="2838" spans="1:2">
      <c r="A2838" s="461"/>
      <c r="B2838" s="461"/>
    </row>
    <row r="2839" spans="1:2">
      <c r="A2839" s="461"/>
      <c r="B2839" s="461"/>
    </row>
    <row r="2840" spans="1:2">
      <c r="A2840" s="461"/>
      <c r="B2840" s="461"/>
    </row>
    <row r="2841" spans="1:2">
      <c r="A2841" s="461"/>
      <c r="B2841" s="461"/>
    </row>
    <row r="2842" spans="1:2">
      <c r="A2842" s="461"/>
      <c r="B2842" s="461"/>
    </row>
    <row r="2843" spans="1:2">
      <c r="A2843" s="461"/>
      <c r="B2843" s="461"/>
    </row>
    <row r="2844" spans="1:2">
      <c r="A2844" s="461"/>
      <c r="B2844" s="461"/>
    </row>
    <row r="2845" spans="1:2">
      <c r="A2845" s="461"/>
      <c r="B2845" s="461"/>
    </row>
    <row r="2846" spans="1:2">
      <c r="A2846" s="461"/>
      <c r="B2846" s="461"/>
    </row>
    <row r="2847" spans="1:2">
      <c r="A2847" s="461"/>
      <c r="B2847" s="461"/>
    </row>
    <row r="2848" spans="1:2">
      <c r="A2848" s="461"/>
      <c r="B2848" s="461"/>
    </row>
    <row r="2849" spans="1:2">
      <c r="A2849" s="461"/>
      <c r="B2849" s="461"/>
    </row>
    <row r="2850" spans="1:2">
      <c r="A2850" s="461"/>
      <c r="B2850" s="461"/>
    </row>
    <row r="2851" spans="1:2">
      <c r="A2851" s="461"/>
      <c r="B2851" s="461"/>
    </row>
    <row r="2852" spans="1:2">
      <c r="A2852" s="461"/>
      <c r="B2852" s="461"/>
    </row>
    <row r="2853" spans="1:2">
      <c r="A2853" s="461"/>
      <c r="B2853" s="461"/>
    </row>
    <row r="2854" spans="1:2">
      <c r="A2854" s="461"/>
      <c r="B2854" s="461"/>
    </row>
    <row r="2855" spans="1:2">
      <c r="A2855" s="461"/>
      <c r="B2855" s="461"/>
    </row>
    <row r="2856" spans="1:2">
      <c r="A2856" s="461"/>
      <c r="B2856" s="461"/>
    </row>
    <row r="2857" spans="1:2">
      <c r="A2857" s="461"/>
      <c r="B2857" s="461"/>
    </row>
    <row r="2858" spans="1:2">
      <c r="A2858" s="461"/>
      <c r="B2858" s="461"/>
    </row>
    <row r="2859" spans="1:2">
      <c r="A2859" s="461"/>
      <c r="B2859" s="461"/>
    </row>
    <row r="2860" spans="1:2">
      <c r="A2860" s="461"/>
      <c r="B2860" s="461"/>
    </row>
    <row r="2861" spans="1:2">
      <c r="A2861" s="461"/>
      <c r="B2861" s="461"/>
    </row>
    <row r="2862" spans="1:2">
      <c r="A2862" s="461"/>
      <c r="B2862" s="461"/>
    </row>
    <row r="2863" spans="1:2">
      <c r="A2863" s="461"/>
      <c r="B2863" s="461"/>
    </row>
    <row r="2864" spans="1:2">
      <c r="A2864" s="461"/>
      <c r="B2864" s="461"/>
    </row>
    <row r="2865" spans="1:2">
      <c r="A2865" s="461"/>
      <c r="B2865" s="461"/>
    </row>
    <row r="2866" spans="1:2">
      <c r="A2866" s="461"/>
      <c r="B2866" s="461"/>
    </row>
    <row r="2867" spans="1:2">
      <c r="A2867" s="461"/>
      <c r="B2867" s="461"/>
    </row>
    <row r="2868" spans="1:2">
      <c r="A2868" s="461"/>
      <c r="B2868" s="461"/>
    </row>
    <row r="2869" spans="1:2">
      <c r="A2869" s="461"/>
      <c r="B2869" s="461"/>
    </row>
    <row r="2870" spans="1:2">
      <c r="A2870" s="461"/>
      <c r="B2870" s="461"/>
    </row>
    <row r="2871" spans="1:2">
      <c r="A2871" s="461"/>
      <c r="B2871" s="461"/>
    </row>
    <row r="2872" spans="1:2">
      <c r="A2872" s="461"/>
      <c r="B2872" s="461"/>
    </row>
    <row r="2873" spans="1:2">
      <c r="A2873" s="461"/>
      <c r="B2873" s="461"/>
    </row>
    <row r="2874" spans="1:2">
      <c r="A2874" s="461"/>
      <c r="B2874" s="461"/>
    </row>
    <row r="2875" spans="1:2">
      <c r="A2875" s="461"/>
      <c r="B2875" s="461"/>
    </row>
    <row r="2876" spans="1:2">
      <c r="A2876" s="461"/>
      <c r="B2876" s="461"/>
    </row>
    <row r="2877" spans="1:2">
      <c r="A2877" s="461"/>
      <c r="B2877" s="461"/>
    </row>
    <row r="2878" spans="1:2">
      <c r="A2878" s="461"/>
      <c r="B2878" s="461"/>
    </row>
    <row r="2879" spans="1:2">
      <c r="A2879" s="461"/>
      <c r="B2879" s="461"/>
    </row>
    <row r="2880" spans="1:2">
      <c r="A2880" s="461"/>
      <c r="B2880" s="461"/>
    </row>
    <row r="2881" spans="1:2">
      <c r="A2881" s="461"/>
      <c r="B2881" s="461"/>
    </row>
    <row r="2882" spans="1:2">
      <c r="A2882" s="461"/>
      <c r="B2882" s="461"/>
    </row>
    <row r="2883" spans="1:2">
      <c r="A2883" s="461"/>
      <c r="B2883" s="461"/>
    </row>
    <row r="2884" spans="1:2">
      <c r="A2884" s="461"/>
      <c r="B2884" s="461"/>
    </row>
    <row r="2885" spans="1:2">
      <c r="A2885" s="461"/>
      <c r="B2885" s="461"/>
    </row>
    <row r="2886" spans="1:2">
      <c r="A2886" s="461"/>
      <c r="B2886" s="461"/>
    </row>
    <row r="2887" spans="1:2">
      <c r="A2887" s="461"/>
      <c r="B2887" s="461"/>
    </row>
    <row r="2888" spans="1:2">
      <c r="A2888" s="461"/>
      <c r="B2888" s="461"/>
    </row>
    <row r="2889" spans="1:2">
      <c r="A2889" s="461"/>
      <c r="B2889" s="461"/>
    </row>
    <row r="2890" spans="1:2">
      <c r="A2890" s="461"/>
      <c r="B2890" s="461"/>
    </row>
    <row r="2891" spans="1:2">
      <c r="A2891" s="461"/>
      <c r="B2891" s="461"/>
    </row>
    <row r="2892" spans="1:2">
      <c r="A2892" s="461"/>
      <c r="B2892" s="461"/>
    </row>
    <row r="2893" spans="1:2">
      <c r="A2893" s="461"/>
      <c r="B2893" s="461"/>
    </row>
    <row r="2894" spans="1:2">
      <c r="A2894" s="461"/>
      <c r="B2894" s="461"/>
    </row>
    <row r="2895" spans="1:2">
      <c r="A2895" s="461"/>
      <c r="B2895" s="461"/>
    </row>
    <row r="2896" spans="1:2">
      <c r="A2896" s="461"/>
      <c r="B2896" s="461"/>
    </row>
    <row r="2897" spans="1:2">
      <c r="A2897" s="461"/>
      <c r="B2897" s="461"/>
    </row>
    <row r="2898" spans="1:2">
      <c r="A2898" s="461"/>
      <c r="B2898" s="461"/>
    </row>
    <row r="2899" spans="1:2">
      <c r="A2899" s="461"/>
      <c r="B2899" s="461"/>
    </row>
    <row r="2900" spans="1:2">
      <c r="A2900" s="461"/>
      <c r="B2900" s="461"/>
    </row>
    <row r="2901" spans="1:2">
      <c r="A2901" s="461"/>
      <c r="B2901" s="461"/>
    </row>
    <row r="2902" spans="1:2">
      <c r="A2902" s="461"/>
      <c r="B2902" s="461"/>
    </row>
    <row r="2903" spans="1:2">
      <c r="A2903" s="461"/>
      <c r="B2903" s="461"/>
    </row>
    <row r="2904" spans="1:2">
      <c r="A2904" s="461"/>
      <c r="B2904" s="461"/>
    </row>
    <row r="2905" spans="1:2">
      <c r="A2905" s="461"/>
      <c r="B2905" s="461"/>
    </row>
    <row r="2906" spans="1:2">
      <c r="A2906" s="461"/>
      <c r="B2906" s="461"/>
    </row>
    <row r="2907" spans="1:2">
      <c r="A2907" s="461"/>
      <c r="B2907" s="461"/>
    </row>
    <row r="2908" spans="1:2">
      <c r="A2908" s="461"/>
      <c r="B2908" s="461"/>
    </row>
    <row r="2909" spans="1:2">
      <c r="A2909" s="461"/>
      <c r="B2909" s="461"/>
    </row>
    <row r="2910" spans="1:2">
      <c r="A2910" s="461"/>
      <c r="B2910" s="461"/>
    </row>
    <row r="2911" spans="1:2">
      <c r="A2911" s="461"/>
      <c r="B2911" s="461"/>
    </row>
    <row r="2912" spans="1:2">
      <c r="A2912" s="461"/>
      <c r="B2912" s="461"/>
    </row>
    <row r="2913" spans="1:2">
      <c r="A2913" s="461"/>
      <c r="B2913" s="461"/>
    </row>
    <row r="2914" spans="1:2">
      <c r="A2914" s="461"/>
      <c r="B2914" s="461"/>
    </row>
    <row r="2915" spans="1:2">
      <c r="A2915" s="461"/>
      <c r="B2915" s="461"/>
    </row>
    <row r="2916" spans="1:2">
      <c r="A2916" s="461"/>
      <c r="B2916" s="461"/>
    </row>
    <row r="2917" spans="1:2">
      <c r="A2917" s="461"/>
      <c r="B2917" s="461"/>
    </row>
    <row r="2918" spans="1:2">
      <c r="A2918" s="461"/>
      <c r="B2918" s="461"/>
    </row>
    <row r="2919" spans="1:2">
      <c r="A2919" s="461"/>
      <c r="B2919" s="461"/>
    </row>
    <row r="2920" spans="1:2">
      <c r="A2920" s="461"/>
      <c r="B2920" s="461"/>
    </row>
    <row r="2921" spans="1:2">
      <c r="A2921" s="461"/>
      <c r="B2921" s="461"/>
    </row>
    <row r="2922" spans="1:2">
      <c r="A2922" s="461"/>
      <c r="B2922" s="461"/>
    </row>
    <row r="2923" spans="1:2">
      <c r="A2923" s="461"/>
      <c r="B2923" s="461"/>
    </row>
    <row r="2924" spans="1:2">
      <c r="A2924" s="461"/>
      <c r="B2924" s="461"/>
    </row>
    <row r="2925" spans="1:2">
      <c r="A2925" s="461"/>
      <c r="B2925" s="461"/>
    </row>
    <row r="2926" spans="1:2">
      <c r="A2926" s="461"/>
      <c r="B2926" s="461"/>
    </row>
    <row r="2927" spans="1:2">
      <c r="A2927" s="461"/>
      <c r="B2927" s="461"/>
    </row>
    <row r="2928" spans="1:2">
      <c r="A2928" s="461"/>
      <c r="B2928" s="461"/>
    </row>
    <row r="2929" spans="1:2">
      <c r="A2929" s="461"/>
      <c r="B2929" s="461"/>
    </row>
    <row r="2930" spans="1:2">
      <c r="A2930" s="461"/>
      <c r="B2930" s="461"/>
    </row>
    <row r="2931" spans="1:2">
      <c r="A2931" s="461"/>
      <c r="B2931" s="461"/>
    </row>
    <row r="2932" spans="1:2">
      <c r="A2932" s="461"/>
      <c r="B2932" s="461"/>
    </row>
    <row r="2933" spans="1:2">
      <c r="A2933" s="461"/>
      <c r="B2933" s="461"/>
    </row>
    <row r="2934" spans="1:2">
      <c r="A2934" s="461"/>
      <c r="B2934" s="461"/>
    </row>
    <row r="2935" spans="1:2">
      <c r="A2935" s="461"/>
      <c r="B2935" s="461"/>
    </row>
    <row r="2936" spans="1:2">
      <c r="A2936" s="461"/>
      <c r="B2936" s="461"/>
    </row>
    <row r="2937" spans="1:2">
      <c r="A2937" s="461"/>
      <c r="B2937" s="461"/>
    </row>
    <row r="2938" spans="1:2">
      <c r="A2938" s="461"/>
      <c r="B2938" s="461"/>
    </row>
    <row r="2939" spans="1:2">
      <c r="A2939" s="461"/>
      <c r="B2939" s="461"/>
    </row>
    <row r="2940" spans="1:2">
      <c r="A2940" s="461"/>
      <c r="B2940" s="461"/>
    </row>
    <row r="2941" spans="1:2">
      <c r="A2941" s="461"/>
      <c r="B2941" s="461"/>
    </row>
    <row r="2942" spans="1:2">
      <c r="A2942" s="461"/>
      <c r="B2942" s="461"/>
    </row>
    <row r="2943" spans="1:2">
      <c r="A2943" s="461"/>
      <c r="B2943" s="461"/>
    </row>
    <row r="2944" spans="1:2">
      <c r="A2944" s="461"/>
      <c r="B2944" s="461"/>
    </row>
    <row r="2945" spans="1:2">
      <c r="A2945" s="461"/>
      <c r="B2945" s="461"/>
    </row>
    <row r="2946" spans="1:2">
      <c r="A2946" s="461"/>
      <c r="B2946" s="461"/>
    </row>
    <row r="2947" spans="1:2">
      <c r="A2947" s="461"/>
      <c r="B2947" s="461"/>
    </row>
    <row r="2948" spans="1:2">
      <c r="A2948" s="461"/>
      <c r="B2948" s="461"/>
    </row>
    <row r="2949" spans="1:2">
      <c r="A2949" s="461"/>
      <c r="B2949" s="461"/>
    </row>
    <row r="2950" spans="1:2">
      <c r="A2950" s="461"/>
      <c r="B2950" s="461"/>
    </row>
    <row r="2951" spans="1:2">
      <c r="A2951" s="461"/>
      <c r="B2951" s="461"/>
    </row>
    <row r="2952" spans="1:2">
      <c r="A2952" s="461"/>
      <c r="B2952" s="461"/>
    </row>
    <row r="2953" spans="1:2">
      <c r="A2953" s="461"/>
      <c r="B2953" s="461"/>
    </row>
    <row r="2954" spans="1:2">
      <c r="A2954" s="461"/>
      <c r="B2954" s="461"/>
    </row>
    <row r="2955" spans="1:2">
      <c r="A2955" s="461"/>
      <c r="B2955" s="461"/>
    </row>
    <row r="2956" spans="1:2">
      <c r="A2956" s="461"/>
      <c r="B2956" s="461"/>
    </row>
    <row r="2957" spans="1:2">
      <c r="A2957" s="461"/>
      <c r="B2957" s="461"/>
    </row>
    <row r="2958" spans="1:2">
      <c r="A2958" s="461"/>
      <c r="B2958" s="461"/>
    </row>
    <row r="2959" spans="1:2">
      <c r="A2959" s="461"/>
      <c r="B2959" s="461"/>
    </row>
    <row r="2960" spans="1:2">
      <c r="A2960" s="461"/>
      <c r="B2960" s="461"/>
    </row>
    <row r="2961" spans="1:2">
      <c r="A2961" s="461"/>
      <c r="B2961" s="461"/>
    </row>
    <row r="2962" spans="1:2">
      <c r="A2962" s="461"/>
      <c r="B2962" s="461"/>
    </row>
    <row r="2963" spans="1:2">
      <c r="A2963" s="461"/>
      <c r="B2963" s="461"/>
    </row>
    <row r="2964" spans="1:2">
      <c r="A2964" s="461"/>
      <c r="B2964" s="461"/>
    </row>
    <row r="2965" spans="1:2">
      <c r="A2965" s="461"/>
      <c r="B2965" s="461"/>
    </row>
    <row r="2966" spans="1:2">
      <c r="A2966" s="461"/>
      <c r="B2966" s="461"/>
    </row>
    <row r="2967" spans="1:2">
      <c r="A2967" s="461"/>
      <c r="B2967" s="461"/>
    </row>
    <row r="2968" spans="1:2">
      <c r="A2968" s="461"/>
      <c r="B2968" s="461"/>
    </row>
    <row r="2969" spans="1:2">
      <c r="A2969" s="461"/>
      <c r="B2969" s="461"/>
    </row>
    <row r="2970" spans="1:2">
      <c r="A2970" s="461"/>
      <c r="B2970" s="461"/>
    </row>
    <row r="2971" spans="1:2">
      <c r="A2971" s="461"/>
      <c r="B2971" s="461"/>
    </row>
    <row r="2972" spans="1:2">
      <c r="A2972" s="461"/>
      <c r="B2972" s="461"/>
    </row>
    <row r="2973" spans="1:2">
      <c r="A2973" s="461"/>
      <c r="B2973" s="461"/>
    </row>
    <row r="2974" spans="1:2">
      <c r="A2974" s="461"/>
      <c r="B2974" s="461"/>
    </row>
    <row r="2975" spans="1:2">
      <c r="A2975" s="461"/>
      <c r="B2975" s="461"/>
    </row>
    <row r="2976" spans="1:2">
      <c r="A2976" s="461"/>
      <c r="B2976" s="461"/>
    </row>
    <row r="2977" spans="1:2">
      <c r="A2977" s="461"/>
      <c r="B2977" s="461"/>
    </row>
    <row r="2978" spans="1:2">
      <c r="A2978" s="461"/>
      <c r="B2978" s="461"/>
    </row>
    <row r="2979" spans="1:2">
      <c r="A2979" s="461"/>
      <c r="B2979" s="461"/>
    </row>
    <row r="2980" spans="1:2">
      <c r="A2980" s="461"/>
      <c r="B2980" s="461"/>
    </row>
    <row r="2981" spans="1:2">
      <c r="A2981" s="461"/>
      <c r="B2981" s="461"/>
    </row>
    <row r="2982" spans="1:2">
      <c r="A2982" s="461"/>
      <c r="B2982" s="461"/>
    </row>
    <row r="2983" spans="1:2">
      <c r="A2983" s="461"/>
      <c r="B2983" s="461"/>
    </row>
    <row r="2984" spans="1:2">
      <c r="A2984" s="461"/>
      <c r="B2984" s="461"/>
    </row>
    <row r="2985" spans="1:2">
      <c r="A2985" s="461"/>
      <c r="B2985" s="461"/>
    </row>
    <row r="2986" spans="1:2">
      <c r="A2986" s="461"/>
      <c r="B2986" s="461"/>
    </row>
    <row r="2987" spans="1:2">
      <c r="A2987" s="461"/>
      <c r="B2987" s="461"/>
    </row>
    <row r="2988" spans="1:2">
      <c r="A2988" s="461"/>
      <c r="B2988" s="461"/>
    </row>
    <row r="2989" spans="1:2">
      <c r="A2989" s="461"/>
      <c r="B2989" s="461"/>
    </row>
    <row r="2990" spans="1:2">
      <c r="A2990" s="461"/>
      <c r="B2990" s="461"/>
    </row>
    <row r="2991" spans="1:2">
      <c r="A2991" s="461"/>
      <c r="B2991" s="461"/>
    </row>
    <row r="2992" spans="1:2">
      <c r="A2992" s="461"/>
      <c r="B2992" s="461"/>
    </row>
    <row r="2993" spans="1:2">
      <c r="A2993" s="461"/>
      <c r="B2993" s="461"/>
    </row>
    <row r="2994" spans="1:2">
      <c r="A2994" s="461"/>
      <c r="B2994" s="461"/>
    </row>
    <row r="2995" spans="1:2">
      <c r="A2995" s="461"/>
      <c r="B2995" s="461"/>
    </row>
    <row r="2996" spans="1:2">
      <c r="A2996" s="461"/>
      <c r="B2996" s="461"/>
    </row>
    <row r="2997" spans="1:2">
      <c r="A2997" s="461"/>
      <c r="B2997" s="461"/>
    </row>
    <row r="2998" spans="1:2">
      <c r="A2998" s="461"/>
      <c r="B2998" s="461"/>
    </row>
    <row r="2999" spans="1:2">
      <c r="A2999" s="461"/>
      <c r="B2999" s="461"/>
    </row>
    <row r="3000" spans="1:2">
      <c r="A3000" s="461"/>
      <c r="B3000" s="461"/>
    </row>
    <row r="3001" spans="1:2">
      <c r="A3001" s="461"/>
      <c r="B3001" s="461"/>
    </row>
    <row r="3002" spans="1:2">
      <c r="A3002" s="461"/>
      <c r="B3002" s="461"/>
    </row>
    <row r="3003" spans="1:2">
      <c r="A3003" s="461"/>
      <c r="B3003" s="461"/>
    </row>
    <row r="3004" spans="1:2">
      <c r="A3004" s="461"/>
      <c r="B3004" s="461"/>
    </row>
    <row r="3005" spans="1:2">
      <c r="A3005" s="461"/>
      <c r="B3005" s="461"/>
    </row>
    <row r="3006" spans="1:2">
      <c r="A3006" s="461"/>
      <c r="B3006" s="461"/>
    </row>
    <row r="3007" spans="1:2">
      <c r="A3007" s="461"/>
      <c r="B3007" s="461"/>
    </row>
    <row r="3008" spans="1:2">
      <c r="A3008" s="461"/>
      <c r="B3008" s="461"/>
    </row>
    <row r="3009" spans="1:2">
      <c r="A3009" s="461"/>
      <c r="B3009" s="461"/>
    </row>
    <row r="3010" spans="1:2">
      <c r="A3010" s="461"/>
      <c r="B3010" s="461"/>
    </row>
    <row r="3011" spans="1:2">
      <c r="A3011" s="461"/>
      <c r="B3011" s="461"/>
    </row>
    <row r="3012" spans="1:2">
      <c r="A3012" s="461"/>
      <c r="B3012" s="461"/>
    </row>
    <row r="3013" spans="1:2">
      <c r="A3013" s="461"/>
      <c r="B3013" s="461"/>
    </row>
    <row r="3014" spans="1:2">
      <c r="A3014" s="461"/>
      <c r="B3014" s="461"/>
    </row>
    <row r="3015" spans="1:2">
      <c r="A3015" s="461"/>
      <c r="B3015" s="461"/>
    </row>
    <row r="3016" spans="1:2">
      <c r="A3016" s="461"/>
      <c r="B3016" s="461"/>
    </row>
    <row r="3017" spans="1:2">
      <c r="A3017" s="461"/>
      <c r="B3017" s="461"/>
    </row>
    <row r="3018" spans="1:2">
      <c r="A3018" s="461"/>
      <c r="B3018" s="461"/>
    </row>
    <row r="3019" spans="1:2">
      <c r="A3019" s="461"/>
      <c r="B3019" s="461"/>
    </row>
    <row r="3020" spans="1:2">
      <c r="A3020" s="461"/>
      <c r="B3020" s="461"/>
    </row>
    <row r="3021" spans="1:2">
      <c r="A3021" s="461"/>
      <c r="B3021" s="461"/>
    </row>
    <row r="3022" spans="1:2">
      <c r="A3022" s="461"/>
      <c r="B3022" s="461"/>
    </row>
    <row r="3023" spans="1:2">
      <c r="A3023" s="461"/>
      <c r="B3023" s="461"/>
    </row>
    <row r="3024" spans="1:2">
      <c r="A3024" s="461"/>
      <c r="B3024" s="461"/>
    </row>
    <row r="3025" spans="1:2">
      <c r="A3025" s="461"/>
      <c r="B3025" s="461"/>
    </row>
    <row r="3026" spans="1:2">
      <c r="A3026" s="461"/>
      <c r="B3026" s="461"/>
    </row>
    <row r="3027" spans="1:2">
      <c r="A3027" s="461"/>
      <c r="B3027" s="461"/>
    </row>
    <row r="3028" spans="1:2">
      <c r="A3028" s="461"/>
      <c r="B3028" s="461"/>
    </row>
    <row r="3029" spans="1:2">
      <c r="A3029" s="461"/>
      <c r="B3029" s="461"/>
    </row>
    <row r="3030" spans="1:2">
      <c r="A3030" s="461"/>
      <c r="B3030" s="461"/>
    </row>
    <row r="3031" spans="1:2">
      <c r="A3031" s="461"/>
      <c r="B3031" s="461"/>
    </row>
    <row r="3032" spans="1:2">
      <c r="A3032" s="461"/>
      <c r="B3032" s="461"/>
    </row>
    <row r="3033" spans="1:2">
      <c r="A3033" s="461"/>
      <c r="B3033" s="461"/>
    </row>
    <row r="3034" spans="1:2">
      <c r="A3034" s="461"/>
      <c r="B3034" s="461"/>
    </row>
    <row r="3035" spans="1:2">
      <c r="A3035" s="461"/>
      <c r="B3035" s="461"/>
    </row>
    <row r="3036" spans="1:2">
      <c r="A3036" s="461"/>
      <c r="B3036" s="461"/>
    </row>
    <row r="3037" spans="1:2">
      <c r="A3037" s="461"/>
      <c r="B3037" s="461"/>
    </row>
    <row r="3038" spans="1:2">
      <c r="A3038" s="461"/>
      <c r="B3038" s="461"/>
    </row>
    <row r="3039" spans="1:2">
      <c r="A3039" s="461"/>
      <c r="B3039" s="461"/>
    </row>
    <row r="3040" spans="1:2">
      <c r="A3040" s="461"/>
      <c r="B3040" s="461"/>
    </row>
    <row r="3041" spans="1:2">
      <c r="A3041" s="461"/>
      <c r="B3041" s="461"/>
    </row>
    <row r="3042" spans="1:2">
      <c r="A3042" s="461"/>
      <c r="B3042" s="461"/>
    </row>
    <row r="3043" spans="1:2">
      <c r="A3043" s="461"/>
      <c r="B3043" s="461"/>
    </row>
    <row r="3044" spans="1:2">
      <c r="A3044" s="461"/>
      <c r="B3044" s="461"/>
    </row>
    <row r="3045" spans="1:2">
      <c r="A3045" s="461"/>
      <c r="B3045" s="461"/>
    </row>
    <row r="3046" spans="1:2">
      <c r="A3046" s="461"/>
      <c r="B3046" s="461"/>
    </row>
    <row r="3047" spans="1:2">
      <c r="A3047" s="461"/>
      <c r="B3047" s="461"/>
    </row>
    <row r="3048" spans="1:2">
      <c r="A3048" s="461"/>
      <c r="B3048" s="461"/>
    </row>
    <row r="3049" spans="1:2">
      <c r="A3049" s="461"/>
      <c r="B3049" s="461"/>
    </row>
    <row r="3050" spans="1:2">
      <c r="A3050" s="461"/>
      <c r="B3050" s="461"/>
    </row>
    <row r="3051" spans="1:2">
      <c r="A3051" s="461"/>
      <c r="B3051" s="461"/>
    </row>
    <row r="3052" spans="1:2">
      <c r="A3052" s="461"/>
      <c r="B3052" s="461"/>
    </row>
    <row r="3053" spans="1:2">
      <c r="A3053" s="461"/>
      <c r="B3053" s="461"/>
    </row>
    <row r="3054" spans="1:2">
      <c r="A3054" s="461"/>
      <c r="B3054" s="461"/>
    </row>
    <row r="3055" spans="1:2">
      <c r="A3055" s="461"/>
      <c r="B3055" s="461"/>
    </row>
    <row r="3056" spans="1:2">
      <c r="A3056" s="461"/>
      <c r="B3056" s="461"/>
    </row>
    <row r="3057" spans="1:2">
      <c r="A3057" s="461"/>
      <c r="B3057" s="461"/>
    </row>
    <row r="3058" spans="1:2">
      <c r="A3058" s="461"/>
      <c r="B3058" s="461"/>
    </row>
    <row r="3059" spans="1:2">
      <c r="A3059" s="461"/>
      <c r="B3059" s="461"/>
    </row>
    <row r="3060" spans="1:2">
      <c r="A3060" s="461"/>
      <c r="B3060" s="461"/>
    </row>
    <row r="3061" spans="1:2">
      <c r="A3061" s="461"/>
      <c r="B3061" s="461"/>
    </row>
    <row r="3062" spans="1:2">
      <c r="A3062" s="461"/>
      <c r="B3062" s="461"/>
    </row>
    <row r="3063" spans="1:2">
      <c r="A3063" s="461"/>
      <c r="B3063" s="461"/>
    </row>
    <row r="3064" spans="1:2">
      <c r="A3064" s="461"/>
      <c r="B3064" s="461"/>
    </row>
    <row r="3065" spans="1:2">
      <c r="A3065" s="461"/>
      <c r="B3065" s="461"/>
    </row>
    <row r="3066" spans="1:2">
      <c r="A3066" s="461"/>
      <c r="B3066" s="461"/>
    </row>
    <row r="3067" spans="1:2">
      <c r="A3067" s="461"/>
      <c r="B3067" s="461"/>
    </row>
    <row r="3068" spans="1:2">
      <c r="A3068" s="461"/>
      <c r="B3068" s="461"/>
    </row>
    <row r="3069" spans="1:2">
      <c r="A3069" s="461"/>
      <c r="B3069" s="461"/>
    </row>
    <row r="3070" spans="1:2">
      <c r="A3070" s="461"/>
      <c r="B3070" s="461"/>
    </row>
    <row r="3071" spans="1:2">
      <c r="A3071" s="461"/>
      <c r="B3071" s="461"/>
    </row>
    <row r="3072" spans="1:2">
      <c r="A3072" s="461"/>
      <c r="B3072" s="461"/>
    </row>
    <row r="3073" spans="1:2">
      <c r="A3073" s="461"/>
      <c r="B3073" s="461"/>
    </row>
    <row r="3074" spans="1:2">
      <c r="A3074" s="461"/>
      <c r="B3074" s="461"/>
    </row>
    <row r="3075" spans="1:2">
      <c r="A3075" s="461"/>
      <c r="B3075" s="461"/>
    </row>
    <row r="3076" spans="1:2">
      <c r="A3076" s="461"/>
      <c r="B3076" s="461"/>
    </row>
    <row r="3077" spans="1:2">
      <c r="A3077" s="461"/>
      <c r="B3077" s="461"/>
    </row>
    <row r="3078" spans="1:2">
      <c r="A3078" s="461"/>
      <c r="B3078" s="461"/>
    </row>
    <row r="3079" spans="1:2">
      <c r="A3079" s="461"/>
      <c r="B3079" s="461"/>
    </row>
    <row r="3080" spans="1:2">
      <c r="A3080" s="461"/>
      <c r="B3080" s="461"/>
    </row>
    <row r="3081" spans="1:2">
      <c r="A3081" s="461"/>
      <c r="B3081" s="461"/>
    </row>
    <row r="3082" spans="1:2">
      <c r="A3082" s="461"/>
      <c r="B3082" s="461"/>
    </row>
    <row r="3083" spans="1:2">
      <c r="A3083" s="461"/>
      <c r="B3083" s="461"/>
    </row>
    <row r="3084" spans="1:2">
      <c r="A3084" s="461"/>
      <c r="B3084" s="461"/>
    </row>
    <row r="3085" spans="1:2">
      <c r="A3085" s="461"/>
      <c r="B3085" s="461"/>
    </row>
    <row r="3086" spans="1:2">
      <c r="A3086" s="461"/>
      <c r="B3086" s="461"/>
    </row>
    <row r="3087" spans="1:2">
      <c r="A3087" s="461"/>
      <c r="B3087" s="461"/>
    </row>
    <row r="3088" spans="1:2">
      <c r="A3088" s="461"/>
      <c r="B3088" s="461"/>
    </row>
    <row r="3089" spans="1:2">
      <c r="A3089" s="461"/>
      <c r="B3089" s="461"/>
    </row>
    <row r="3090" spans="1:2">
      <c r="A3090" s="461"/>
      <c r="B3090" s="461"/>
    </row>
    <row r="3091" spans="1:2">
      <c r="A3091" s="461"/>
      <c r="B3091" s="461"/>
    </row>
    <row r="3092" spans="1:2">
      <c r="A3092" s="461"/>
      <c r="B3092" s="461"/>
    </row>
    <row r="3093" spans="1:2">
      <c r="A3093" s="461"/>
      <c r="B3093" s="461"/>
    </row>
    <row r="3094" spans="1:2">
      <c r="A3094" s="461"/>
      <c r="B3094" s="461"/>
    </row>
    <row r="3095" spans="1:2">
      <c r="A3095" s="461"/>
      <c r="B3095" s="461"/>
    </row>
    <row r="3096" spans="1:2">
      <c r="A3096" s="461"/>
      <c r="B3096" s="461"/>
    </row>
    <row r="3097" spans="1:2">
      <c r="A3097" s="461"/>
      <c r="B3097" s="461"/>
    </row>
    <row r="3098" spans="1:2">
      <c r="A3098" s="461"/>
      <c r="B3098" s="461"/>
    </row>
    <row r="3099" spans="1:2">
      <c r="A3099" s="461"/>
      <c r="B3099" s="461"/>
    </row>
    <row r="3100" spans="1:2">
      <c r="A3100" s="461"/>
      <c r="B3100" s="461"/>
    </row>
    <row r="3101" spans="1:2">
      <c r="A3101" s="461"/>
      <c r="B3101" s="461"/>
    </row>
    <row r="3102" spans="1:2">
      <c r="A3102" s="461"/>
      <c r="B3102" s="461"/>
    </row>
    <row r="3103" spans="1:2">
      <c r="A3103" s="461"/>
      <c r="B3103" s="461"/>
    </row>
    <row r="3104" spans="1:2">
      <c r="A3104" s="461"/>
      <c r="B3104" s="461"/>
    </row>
    <row r="3105" spans="1:2">
      <c r="A3105" s="461"/>
      <c r="B3105" s="461"/>
    </row>
    <row r="3106" spans="1:2">
      <c r="A3106" s="461"/>
      <c r="B3106" s="461"/>
    </row>
    <row r="3107" spans="1:2">
      <c r="A3107" s="461"/>
      <c r="B3107" s="461"/>
    </row>
    <row r="3108" spans="1:2">
      <c r="A3108" s="461"/>
      <c r="B3108" s="461"/>
    </row>
    <row r="3109" spans="1:2">
      <c r="A3109" s="461"/>
      <c r="B3109" s="461"/>
    </row>
    <row r="3110" spans="1:2">
      <c r="A3110" s="461"/>
      <c r="B3110" s="461"/>
    </row>
    <row r="3111" spans="1:2">
      <c r="A3111" s="461"/>
      <c r="B3111" s="461"/>
    </row>
    <row r="3112" spans="1:2">
      <c r="A3112" s="461"/>
      <c r="B3112" s="461"/>
    </row>
    <row r="3113" spans="1:2">
      <c r="A3113" s="461"/>
      <c r="B3113" s="461"/>
    </row>
    <row r="3114" spans="1:2">
      <c r="A3114" s="461"/>
      <c r="B3114" s="461"/>
    </row>
    <row r="3115" spans="1:2">
      <c r="A3115" s="461"/>
      <c r="B3115" s="461"/>
    </row>
    <row r="3116" spans="1:2">
      <c r="A3116" s="461"/>
      <c r="B3116" s="461"/>
    </row>
    <row r="3117" spans="1:2">
      <c r="A3117" s="461"/>
      <c r="B3117" s="461"/>
    </row>
    <row r="3118" spans="1:2">
      <c r="A3118" s="461"/>
      <c r="B3118" s="461"/>
    </row>
    <row r="3119" spans="1:2">
      <c r="A3119" s="461"/>
      <c r="B3119" s="461"/>
    </row>
    <row r="3120" spans="1:2">
      <c r="A3120" s="461"/>
      <c r="B3120" s="461"/>
    </row>
    <row r="3121" spans="1:2">
      <c r="A3121" s="461"/>
      <c r="B3121" s="461"/>
    </row>
    <row r="3122" spans="1:2">
      <c r="A3122" s="461"/>
      <c r="B3122" s="461"/>
    </row>
    <row r="3123" spans="1:2">
      <c r="A3123" s="461"/>
      <c r="B3123" s="461"/>
    </row>
    <row r="3124" spans="1:2">
      <c r="A3124" s="461"/>
      <c r="B3124" s="461"/>
    </row>
    <row r="3125" spans="1:2">
      <c r="A3125" s="461"/>
      <c r="B3125" s="461"/>
    </row>
    <row r="3126" spans="1:2">
      <c r="A3126" s="461"/>
      <c r="B3126" s="461"/>
    </row>
    <row r="3127" spans="1:2">
      <c r="A3127" s="461"/>
      <c r="B3127" s="461"/>
    </row>
    <row r="3128" spans="1:2">
      <c r="A3128" s="461"/>
      <c r="B3128" s="461"/>
    </row>
    <row r="3129" spans="1:2">
      <c r="A3129" s="461"/>
      <c r="B3129" s="461"/>
    </row>
    <row r="3130" spans="1:2">
      <c r="A3130" s="461"/>
      <c r="B3130" s="461"/>
    </row>
    <row r="3131" spans="1:2">
      <c r="A3131" s="461"/>
      <c r="B3131" s="461"/>
    </row>
    <row r="3132" spans="1:2">
      <c r="A3132" s="461"/>
      <c r="B3132" s="461"/>
    </row>
    <row r="3133" spans="1:2">
      <c r="A3133" s="461"/>
      <c r="B3133" s="461"/>
    </row>
    <row r="3134" spans="1:2">
      <c r="A3134" s="461"/>
      <c r="B3134" s="461"/>
    </row>
    <row r="3135" spans="1:2">
      <c r="A3135" s="461"/>
      <c r="B3135" s="461"/>
    </row>
    <row r="3136" spans="1:2">
      <c r="A3136" s="461"/>
      <c r="B3136" s="461"/>
    </row>
    <row r="3137" spans="1:2">
      <c r="A3137" s="461"/>
      <c r="B3137" s="461"/>
    </row>
    <row r="3138" spans="1:2">
      <c r="A3138" s="461"/>
      <c r="B3138" s="461"/>
    </row>
    <row r="3139" spans="1:2">
      <c r="A3139" s="461"/>
      <c r="B3139" s="461"/>
    </row>
    <row r="3140" spans="1:2">
      <c r="A3140" s="461"/>
      <c r="B3140" s="461"/>
    </row>
    <row r="3141" spans="1:2">
      <c r="A3141" s="461"/>
      <c r="B3141" s="461"/>
    </row>
    <row r="3142" spans="1:2">
      <c r="A3142" s="461"/>
      <c r="B3142" s="461"/>
    </row>
    <row r="3143" spans="1:2">
      <c r="A3143" s="461"/>
      <c r="B3143" s="461"/>
    </row>
    <row r="3144" spans="1:2">
      <c r="A3144" s="461"/>
      <c r="B3144" s="461"/>
    </row>
    <row r="3145" spans="1:2">
      <c r="A3145" s="461"/>
      <c r="B3145" s="461"/>
    </row>
    <row r="3146" spans="1:2">
      <c r="A3146" s="461"/>
      <c r="B3146" s="461"/>
    </row>
    <row r="3147" spans="1:2">
      <c r="A3147" s="461"/>
      <c r="B3147" s="461"/>
    </row>
    <row r="3148" spans="1:2">
      <c r="A3148" s="461"/>
      <c r="B3148" s="461"/>
    </row>
    <row r="3149" spans="1:2">
      <c r="A3149" s="461"/>
      <c r="B3149" s="461"/>
    </row>
    <row r="3150" spans="1:2">
      <c r="A3150" s="461"/>
      <c r="B3150" s="461"/>
    </row>
    <row r="3151" spans="1:2">
      <c r="A3151" s="461"/>
      <c r="B3151" s="461"/>
    </row>
    <row r="3152" spans="1:2">
      <c r="A3152" s="461"/>
      <c r="B3152" s="461"/>
    </row>
    <row r="3153" spans="1:2">
      <c r="A3153" s="461"/>
      <c r="B3153" s="461"/>
    </row>
    <row r="3154" spans="1:2">
      <c r="A3154" s="461"/>
      <c r="B3154" s="461"/>
    </row>
    <row r="3155" spans="1:2">
      <c r="A3155" s="461"/>
      <c r="B3155" s="461"/>
    </row>
    <row r="3156" spans="1:2">
      <c r="A3156" s="461"/>
      <c r="B3156" s="461"/>
    </row>
    <row r="3157" spans="1:2">
      <c r="A3157" s="461"/>
      <c r="B3157" s="461"/>
    </row>
    <row r="3158" spans="1:2">
      <c r="A3158" s="461"/>
      <c r="B3158" s="461"/>
    </row>
    <row r="3159" spans="1:2">
      <c r="A3159" s="461"/>
      <c r="B3159" s="461"/>
    </row>
    <row r="3160" spans="1:2">
      <c r="A3160" s="461"/>
      <c r="B3160" s="461"/>
    </row>
    <row r="3161" spans="1:2">
      <c r="A3161" s="461"/>
      <c r="B3161" s="461"/>
    </row>
    <row r="3162" spans="1:2">
      <c r="A3162" s="461"/>
      <c r="B3162" s="461"/>
    </row>
    <row r="3163" spans="1:2">
      <c r="A3163" s="461"/>
      <c r="B3163" s="461"/>
    </row>
    <row r="3164" spans="1:2">
      <c r="A3164" s="461"/>
      <c r="B3164" s="461"/>
    </row>
    <row r="3165" spans="1:2">
      <c r="A3165" s="461"/>
      <c r="B3165" s="461"/>
    </row>
    <row r="3166" spans="1:2">
      <c r="A3166" s="461"/>
      <c r="B3166" s="461"/>
    </row>
    <row r="3167" spans="1:2">
      <c r="A3167" s="461"/>
      <c r="B3167" s="461"/>
    </row>
    <row r="3168" spans="1:2">
      <c r="A3168" s="461"/>
      <c r="B3168" s="461"/>
    </row>
    <row r="3169" spans="1:2">
      <c r="A3169" s="461"/>
      <c r="B3169" s="461"/>
    </row>
    <row r="3170" spans="1:2">
      <c r="A3170" s="461"/>
      <c r="B3170" s="461"/>
    </row>
    <row r="3171" spans="1:2">
      <c r="A3171" s="461"/>
      <c r="B3171" s="461"/>
    </row>
    <row r="3172" spans="1:2">
      <c r="A3172" s="461"/>
      <c r="B3172" s="461"/>
    </row>
    <row r="3173" spans="1:2">
      <c r="A3173" s="461"/>
      <c r="B3173" s="461"/>
    </row>
    <row r="3174" spans="1:2">
      <c r="A3174" s="461"/>
      <c r="B3174" s="461"/>
    </row>
    <row r="3175" spans="1:2">
      <c r="A3175" s="461"/>
      <c r="B3175" s="461"/>
    </row>
    <row r="3176" spans="1:2">
      <c r="A3176" s="461"/>
      <c r="B3176" s="461"/>
    </row>
    <row r="3177" spans="1:2">
      <c r="A3177" s="461"/>
      <c r="B3177" s="461"/>
    </row>
    <row r="3178" spans="1:2">
      <c r="A3178" s="461"/>
      <c r="B3178" s="461"/>
    </row>
    <row r="3179" spans="1:2">
      <c r="A3179" s="461"/>
      <c r="B3179" s="461"/>
    </row>
    <row r="3180" spans="1:2">
      <c r="A3180" s="461"/>
      <c r="B3180" s="461"/>
    </row>
    <row r="3181" spans="1:2">
      <c r="A3181" s="461"/>
      <c r="B3181" s="461"/>
    </row>
    <row r="3182" spans="1:2">
      <c r="A3182" s="461"/>
      <c r="B3182" s="461"/>
    </row>
    <row r="3183" spans="1:2">
      <c r="A3183" s="461"/>
      <c r="B3183" s="461"/>
    </row>
    <row r="3184" spans="1:2">
      <c r="A3184" s="461"/>
      <c r="B3184" s="461"/>
    </row>
    <row r="3185" spans="1:2">
      <c r="A3185" s="461"/>
      <c r="B3185" s="461"/>
    </row>
    <row r="3186" spans="1:2">
      <c r="A3186" s="461"/>
      <c r="B3186" s="461"/>
    </row>
    <row r="3187" spans="1:2">
      <c r="A3187" s="461"/>
      <c r="B3187" s="461"/>
    </row>
    <row r="3188" spans="1:2">
      <c r="A3188" s="461"/>
      <c r="B3188" s="461"/>
    </row>
    <row r="3189" spans="1:2">
      <c r="A3189" s="461"/>
      <c r="B3189" s="461"/>
    </row>
    <row r="3190" spans="1:2">
      <c r="A3190" s="461"/>
      <c r="B3190" s="461"/>
    </row>
    <row r="3191" spans="1:2">
      <c r="A3191" s="461"/>
      <c r="B3191" s="461"/>
    </row>
    <row r="3192" spans="1:2">
      <c r="A3192" s="461"/>
      <c r="B3192" s="461"/>
    </row>
    <row r="3193" spans="1:2">
      <c r="A3193" s="461"/>
      <c r="B3193" s="461"/>
    </row>
    <row r="3194" spans="1:2">
      <c r="A3194" s="461"/>
      <c r="B3194" s="461"/>
    </row>
    <row r="3195" spans="1:2">
      <c r="A3195" s="461"/>
      <c r="B3195" s="461"/>
    </row>
    <row r="3196" spans="1:2">
      <c r="A3196" s="461"/>
      <c r="B3196" s="461"/>
    </row>
    <row r="3197" spans="1:2">
      <c r="A3197" s="461"/>
      <c r="B3197" s="461"/>
    </row>
    <row r="3198" spans="1:2">
      <c r="A3198" s="461"/>
      <c r="B3198" s="461"/>
    </row>
    <row r="3199" spans="1:2">
      <c r="A3199" s="461"/>
      <c r="B3199" s="461"/>
    </row>
    <row r="3200" spans="1:2">
      <c r="A3200" s="461"/>
      <c r="B3200" s="461"/>
    </row>
    <row r="3201" spans="1:2">
      <c r="A3201" s="461"/>
      <c r="B3201" s="461"/>
    </row>
    <row r="3202" spans="1:2">
      <c r="A3202" s="461"/>
      <c r="B3202" s="461"/>
    </row>
    <row r="3203" spans="1:2">
      <c r="A3203" s="461"/>
      <c r="B3203" s="461"/>
    </row>
    <row r="3204" spans="1:2">
      <c r="A3204" s="461"/>
      <c r="B3204" s="461"/>
    </row>
    <row r="3205" spans="1:2">
      <c r="A3205" s="461"/>
      <c r="B3205" s="461"/>
    </row>
    <row r="3206" spans="1:2">
      <c r="A3206" s="461"/>
      <c r="B3206" s="461"/>
    </row>
    <row r="3207" spans="1:2">
      <c r="A3207" s="461"/>
      <c r="B3207" s="461"/>
    </row>
    <row r="3208" spans="1:2">
      <c r="A3208" s="461"/>
      <c r="B3208" s="461"/>
    </row>
    <row r="3209" spans="1:2">
      <c r="A3209" s="461"/>
      <c r="B3209" s="461"/>
    </row>
    <row r="3210" spans="1:2">
      <c r="A3210" s="461"/>
      <c r="B3210" s="461"/>
    </row>
    <row r="3211" spans="1:2">
      <c r="A3211" s="461"/>
      <c r="B3211" s="461"/>
    </row>
    <row r="3212" spans="1:2">
      <c r="A3212" s="461"/>
      <c r="B3212" s="461"/>
    </row>
    <row r="3213" spans="1:2">
      <c r="A3213" s="461"/>
      <c r="B3213" s="461"/>
    </row>
    <row r="3214" spans="1:2">
      <c r="A3214" s="461"/>
      <c r="B3214" s="461"/>
    </row>
    <row r="3215" spans="1:2">
      <c r="A3215" s="461"/>
      <c r="B3215" s="461"/>
    </row>
    <row r="3216" spans="1:2">
      <c r="A3216" s="461"/>
      <c r="B3216" s="461"/>
    </row>
    <row r="3217" spans="1:2">
      <c r="A3217" s="461"/>
      <c r="B3217" s="461"/>
    </row>
    <row r="3218" spans="1:2">
      <c r="A3218" s="461"/>
      <c r="B3218" s="461"/>
    </row>
    <row r="3219" spans="1:2">
      <c r="A3219" s="461"/>
      <c r="B3219" s="461"/>
    </row>
    <row r="3220" spans="1:2">
      <c r="A3220" s="461"/>
      <c r="B3220" s="461"/>
    </row>
    <row r="3221" spans="1:2">
      <c r="A3221" s="461"/>
      <c r="B3221" s="461"/>
    </row>
    <row r="3222" spans="1:2">
      <c r="A3222" s="461"/>
      <c r="B3222" s="461"/>
    </row>
    <row r="3223" spans="1:2">
      <c r="A3223" s="461"/>
      <c r="B3223" s="461"/>
    </row>
    <row r="3224" spans="1:2">
      <c r="A3224" s="461"/>
      <c r="B3224" s="461"/>
    </row>
    <row r="3225" spans="1:2">
      <c r="A3225" s="461"/>
      <c r="B3225" s="461"/>
    </row>
    <row r="3226" spans="1:2">
      <c r="A3226" s="461"/>
      <c r="B3226" s="461"/>
    </row>
    <row r="3227" spans="1:2">
      <c r="A3227" s="461"/>
      <c r="B3227" s="461"/>
    </row>
    <row r="3228" spans="1:2">
      <c r="A3228" s="461"/>
      <c r="B3228" s="461"/>
    </row>
    <row r="3229" spans="1:2">
      <c r="A3229" s="461"/>
      <c r="B3229" s="461"/>
    </row>
    <row r="3230" spans="1:2">
      <c r="A3230" s="461"/>
      <c r="B3230" s="461"/>
    </row>
    <row r="3231" spans="1:2">
      <c r="A3231" s="461"/>
      <c r="B3231" s="461"/>
    </row>
    <row r="3232" spans="1:2">
      <c r="A3232" s="461"/>
      <c r="B3232" s="461"/>
    </row>
    <row r="3233" spans="1:2">
      <c r="A3233" s="461"/>
      <c r="B3233" s="461"/>
    </row>
    <row r="3234" spans="1:2">
      <c r="A3234" s="461"/>
      <c r="B3234" s="461"/>
    </row>
    <row r="3235" spans="1:2">
      <c r="A3235" s="461"/>
      <c r="B3235" s="461"/>
    </row>
    <row r="3236" spans="1:2">
      <c r="A3236" s="461"/>
      <c r="B3236" s="461"/>
    </row>
    <row r="3237" spans="1:2">
      <c r="A3237" s="461"/>
      <c r="B3237" s="461"/>
    </row>
    <row r="3238" spans="1:2">
      <c r="A3238" s="461"/>
      <c r="B3238" s="461"/>
    </row>
    <row r="3239" spans="1:2">
      <c r="A3239" s="461"/>
      <c r="B3239" s="461"/>
    </row>
    <row r="3240" spans="1:2">
      <c r="A3240" s="461"/>
      <c r="B3240" s="461"/>
    </row>
    <row r="3241" spans="1:2">
      <c r="A3241" s="461"/>
      <c r="B3241" s="461"/>
    </row>
    <row r="3242" spans="1:2">
      <c r="A3242" s="461"/>
      <c r="B3242" s="461"/>
    </row>
    <row r="3243" spans="1:2">
      <c r="A3243" s="461"/>
      <c r="B3243" s="461"/>
    </row>
    <row r="3244" spans="1:2">
      <c r="A3244" s="461"/>
      <c r="B3244" s="461"/>
    </row>
    <row r="3245" spans="1:2">
      <c r="A3245" s="461"/>
      <c r="B3245" s="461"/>
    </row>
    <row r="3246" spans="1:2">
      <c r="A3246" s="461"/>
      <c r="B3246" s="461"/>
    </row>
    <row r="3247" spans="1:2">
      <c r="A3247" s="461"/>
      <c r="B3247" s="461"/>
    </row>
    <row r="3248" spans="1:2">
      <c r="A3248" s="461"/>
      <c r="B3248" s="461"/>
    </row>
    <row r="3249" spans="1:2">
      <c r="A3249" s="461"/>
      <c r="B3249" s="461"/>
    </row>
    <row r="3250" spans="1:2">
      <c r="A3250" s="461"/>
      <c r="B3250" s="461"/>
    </row>
    <row r="3251" spans="1:2">
      <c r="A3251" s="461"/>
      <c r="B3251" s="461"/>
    </row>
    <row r="3252" spans="1:2">
      <c r="A3252" s="461"/>
      <c r="B3252" s="461"/>
    </row>
    <row r="3253" spans="1:2">
      <c r="A3253" s="461"/>
      <c r="B3253" s="461"/>
    </row>
    <row r="3254" spans="1:2">
      <c r="A3254" s="461"/>
      <c r="B3254" s="461"/>
    </row>
    <row r="3255" spans="1:2">
      <c r="A3255" s="461"/>
      <c r="B3255" s="461"/>
    </row>
    <row r="3256" spans="1:2">
      <c r="A3256" s="461"/>
      <c r="B3256" s="461"/>
    </row>
    <row r="3257" spans="1:2">
      <c r="A3257" s="461"/>
      <c r="B3257" s="461"/>
    </row>
    <row r="3258" spans="1:2">
      <c r="A3258" s="461"/>
      <c r="B3258" s="461"/>
    </row>
    <row r="3259" spans="1:2">
      <c r="A3259" s="461"/>
      <c r="B3259" s="461"/>
    </row>
    <row r="3260" spans="1:2">
      <c r="A3260" s="461"/>
      <c r="B3260" s="461"/>
    </row>
    <row r="3261" spans="1:2">
      <c r="A3261" s="461"/>
      <c r="B3261" s="461"/>
    </row>
    <row r="3262" spans="1:2">
      <c r="A3262" s="461"/>
      <c r="B3262" s="461"/>
    </row>
    <row r="3263" spans="1:2">
      <c r="A3263" s="461"/>
      <c r="B3263" s="461"/>
    </row>
    <row r="3264" spans="1:2">
      <c r="A3264" s="461"/>
      <c r="B3264" s="461"/>
    </row>
    <row r="3265" spans="1:2">
      <c r="A3265" s="461"/>
      <c r="B3265" s="461"/>
    </row>
    <row r="3266" spans="1:2">
      <c r="A3266" s="461"/>
      <c r="B3266" s="461"/>
    </row>
    <row r="3267" spans="1:2">
      <c r="A3267" s="461"/>
      <c r="B3267" s="461"/>
    </row>
    <row r="3268" spans="1:2">
      <c r="A3268" s="461"/>
      <c r="B3268" s="461"/>
    </row>
    <row r="3269" spans="1:2">
      <c r="A3269" s="461"/>
      <c r="B3269" s="461"/>
    </row>
    <row r="3270" spans="1:2">
      <c r="A3270" s="461"/>
      <c r="B3270" s="461"/>
    </row>
    <row r="3271" spans="1:2">
      <c r="A3271" s="461"/>
      <c r="B3271" s="461"/>
    </row>
    <row r="3272" spans="1:2">
      <c r="A3272" s="461"/>
      <c r="B3272" s="461"/>
    </row>
    <row r="3273" spans="1:2">
      <c r="A3273" s="461"/>
      <c r="B3273" s="461"/>
    </row>
    <row r="3274" spans="1:2">
      <c r="A3274" s="461"/>
      <c r="B3274" s="461"/>
    </row>
    <row r="3275" spans="1:2">
      <c r="A3275" s="461"/>
      <c r="B3275" s="461"/>
    </row>
    <row r="3276" spans="1:2">
      <c r="A3276" s="461"/>
      <c r="B3276" s="461"/>
    </row>
    <row r="3277" spans="1:2">
      <c r="A3277" s="461"/>
      <c r="B3277" s="461"/>
    </row>
    <row r="3278" spans="1:2">
      <c r="A3278" s="461"/>
      <c r="B3278" s="461"/>
    </row>
    <row r="3279" spans="1:2">
      <c r="A3279" s="461"/>
      <c r="B3279" s="461"/>
    </row>
    <row r="3280" spans="1:2">
      <c r="A3280" s="461"/>
      <c r="B3280" s="461"/>
    </row>
    <row r="3281" spans="1:2">
      <c r="A3281" s="461"/>
      <c r="B3281" s="461"/>
    </row>
    <row r="3282" spans="1:2">
      <c r="A3282" s="461"/>
      <c r="B3282" s="461"/>
    </row>
    <row r="3283" spans="1:2">
      <c r="A3283" s="461"/>
      <c r="B3283" s="461"/>
    </row>
    <row r="3284" spans="1:2">
      <c r="A3284" s="461"/>
      <c r="B3284" s="461"/>
    </row>
    <row r="3285" spans="1:2">
      <c r="A3285" s="461"/>
      <c r="B3285" s="461"/>
    </row>
    <row r="3286" spans="1:2">
      <c r="A3286" s="461"/>
      <c r="B3286" s="461"/>
    </row>
    <row r="3287" spans="1:2">
      <c r="A3287" s="461"/>
      <c r="B3287" s="461"/>
    </row>
    <row r="3288" spans="1:2">
      <c r="A3288" s="461"/>
      <c r="B3288" s="461"/>
    </row>
    <row r="3289" spans="1:2">
      <c r="A3289" s="461"/>
      <c r="B3289" s="461"/>
    </row>
    <row r="3290" spans="1:2">
      <c r="A3290" s="461"/>
      <c r="B3290" s="461"/>
    </row>
    <row r="3291" spans="1:2">
      <c r="A3291" s="461"/>
      <c r="B3291" s="461"/>
    </row>
    <row r="3292" spans="1:2">
      <c r="A3292" s="461"/>
      <c r="B3292" s="461"/>
    </row>
    <row r="3293" spans="1:2">
      <c r="A3293" s="461"/>
      <c r="B3293" s="461"/>
    </row>
    <row r="3294" spans="1:2">
      <c r="A3294" s="461"/>
      <c r="B3294" s="461"/>
    </row>
    <row r="3295" spans="1:2">
      <c r="A3295" s="461"/>
      <c r="B3295" s="461"/>
    </row>
    <row r="3296" spans="1:2">
      <c r="A3296" s="461"/>
      <c r="B3296" s="461"/>
    </row>
    <row r="3297" spans="1:2">
      <c r="A3297" s="461"/>
      <c r="B3297" s="461"/>
    </row>
    <row r="3298" spans="1:2">
      <c r="A3298" s="461"/>
      <c r="B3298" s="461"/>
    </row>
    <row r="3299" spans="1:2">
      <c r="A3299" s="461"/>
      <c r="B3299" s="461"/>
    </row>
    <row r="3300" spans="1:2">
      <c r="A3300" s="461"/>
      <c r="B3300" s="461"/>
    </row>
    <row r="3301" spans="1:2">
      <c r="A3301" s="461"/>
      <c r="B3301" s="461"/>
    </row>
    <row r="3302" spans="1:2">
      <c r="A3302" s="461"/>
      <c r="B3302" s="461"/>
    </row>
    <row r="3303" spans="1:2">
      <c r="A3303" s="461"/>
      <c r="B3303" s="461"/>
    </row>
    <row r="3304" spans="1:2">
      <c r="A3304" s="461"/>
      <c r="B3304" s="461"/>
    </row>
    <row r="3305" spans="1:2">
      <c r="A3305" s="461"/>
      <c r="B3305" s="461"/>
    </row>
    <row r="3306" spans="1:2">
      <c r="A3306" s="461"/>
      <c r="B3306" s="461"/>
    </row>
    <row r="3307" spans="1:2">
      <c r="A3307" s="461"/>
      <c r="B3307" s="461"/>
    </row>
    <row r="3308" spans="1:2">
      <c r="A3308" s="461"/>
      <c r="B3308" s="461"/>
    </row>
    <row r="3309" spans="1:2">
      <c r="A3309" s="461"/>
      <c r="B3309" s="461"/>
    </row>
    <row r="3310" spans="1:2">
      <c r="A3310" s="461"/>
      <c r="B3310" s="461"/>
    </row>
    <row r="3311" spans="1:2">
      <c r="A3311" s="461"/>
      <c r="B3311" s="461"/>
    </row>
    <row r="3312" spans="1:2">
      <c r="A3312" s="461"/>
      <c r="B3312" s="461"/>
    </row>
    <row r="3313" spans="1:2">
      <c r="A3313" s="461"/>
      <c r="B3313" s="461"/>
    </row>
    <row r="3314" spans="1:2">
      <c r="A3314" s="461"/>
      <c r="B3314" s="461"/>
    </row>
    <row r="3315" spans="1:2">
      <c r="A3315" s="461"/>
      <c r="B3315" s="461"/>
    </row>
    <row r="3316" spans="1:2">
      <c r="A3316" s="461"/>
      <c r="B3316" s="461"/>
    </row>
    <row r="3317" spans="1:2">
      <c r="A3317" s="461"/>
      <c r="B3317" s="461"/>
    </row>
    <row r="3318" spans="1:2">
      <c r="A3318" s="461"/>
      <c r="B3318" s="461"/>
    </row>
    <row r="3319" spans="1:2">
      <c r="A3319" s="461"/>
      <c r="B3319" s="461"/>
    </row>
    <row r="3320" spans="1:2">
      <c r="A3320" s="461"/>
      <c r="B3320" s="461"/>
    </row>
    <row r="3321" spans="1:2">
      <c r="A3321" s="461"/>
      <c r="B3321" s="461"/>
    </row>
    <row r="3322" spans="1:2">
      <c r="A3322" s="461"/>
      <c r="B3322" s="461"/>
    </row>
    <row r="3323" spans="1:2">
      <c r="A3323" s="461"/>
      <c r="B3323" s="461"/>
    </row>
    <row r="3324" spans="1:2">
      <c r="A3324" s="461"/>
      <c r="B3324" s="461"/>
    </row>
    <row r="3325" spans="1:2">
      <c r="A3325" s="461"/>
      <c r="B3325" s="461"/>
    </row>
    <row r="3326" spans="1:2">
      <c r="A3326" s="461"/>
      <c r="B3326" s="461"/>
    </row>
    <row r="3327" spans="1:2">
      <c r="A3327" s="461"/>
      <c r="B3327" s="461"/>
    </row>
    <row r="3328" spans="1:2">
      <c r="A3328" s="461"/>
      <c r="B3328" s="461"/>
    </row>
    <row r="3329" spans="1:2">
      <c r="A3329" s="461"/>
      <c r="B3329" s="461"/>
    </row>
    <row r="3330" spans="1:2">
      <c r="A3330" s="461"/>
      <c r="B3330" s="461"/>
    </row>
    <row r="3331" spans="1:2">
      <c r="A3331" s="461"/>
      <c r="B3331" s="461"/>
    </row>
    <row r="3332" spans="1:2">
      <c r="A3332" s="461"/>
      <c r="B3332" s="461"/>
    </row>
    <row r="3333" spans="1:2">
      <c r="A3333" s="461"/>
      <c r="B3333" s="461"/>
    </row>
    <row r="3334" spans="1:2">
      <c r="A3334" s="461"/>
      <c r="B3334" s="461"/>
    </row>
    <row r="3335" spans="1:2">
      <c r="A3335" s="461"/>
      <c r="B3335" s="461"/>
    </row>
    <row r="3336" spans="1:2">
      <c r="A3336" s="461"/>
      <c r="B3336" s="461"/>
    </row>
    <row r="3337" spans="1:2">
      <c r="A3337" s="461"/>
      <c r="B3337" s="461"/>
    </row>
    <row r="3338" spans="1:2">
      <c r="A3338" s="461"/>
      <c r="B3338" s="461"/>
    </row>
    <row r="3339" spans="1:2">
      <c r="A3339" s="461"/>
      <c r="B3339" s="461"/>
    </row>
    <row r="3340" spans="1:2">
      <c r="A3340" s="461"/>
      <c r="B3340" s="461"/>
    </row>
    <row r="3341" spans="1:2">
      <c r="A3341" s="461"/>
      <c r="B3341" s="461"/>
    </row>
    <row r="3342" spans="1:2">
      <c r="A3342" s="461"/>
      <c r="B3342" s="461"/>
    </row>
    <row r="3343" spans="1:2">
      <c r="A3343" s="461"/>
      <c r="B3343" s="461"/>
    </row>
    <row r="3344" spans="1:2">
      <c r="A3344" s="461"/>
      <c r="B3344" s="461"/>
    </row>
    <row r="3345" spans="1:2">
      <c r="A3345" s="461"/>
      <c r="B3345" s="461"/>
    </row>
    <row r="3346" spans="1:2">
      <c r="A3346" s="461"/>
      <c r="B3346" s="461"/>
    </row>
    <row r="3347" spans="1:2">
      <c r="A3347" s="461"/>
      <c r="B3347" s="461"/>
    </row>
    <row r="3348" spans="1:2">
      <c r="A3348" s="461"/>
      <c r="B3348" s="461"/>
    </row>
    <row r="3349" spans="1:2">
      <c r="A3349" s="461"/>
      <c r="B3349" s="461"/>
    </row>
    <row r="3350" spans="1:2">
      <c r="A3350" s="461"/>
      <c r="B3350" s="461"/>
    </row>
    <row r="3351" spans="1:2">
      <c r="A3351" s="461"/>
      <c r="B3351" s="461"/>
    </row>
    <row r="3352" spans="1:2">
      <c r="A3352" s="461"/>
      <c r="B3352" s="461"/>
    </row>
    <row r="3353" spans="1:2">
      <c r="A3353" s="461"/>
      <c r="B3353" s="461"/>
    </row>
    <row r="3354" spans="1:2">
      <c r="A3354" s="461"/>
      <c r="B3354" s="461"/>
    </row>
    <row r="3355" spans="1:2">
      <c r="A3355" s="461"/>
      <c r="B3355" s="461"/>
    </row>
    <row r="3356" spans="1:2">
      <c r="A3356" s="461"/>
      <c r="B3356" s="461"/>
    </row>
    <row r="3357" spans="1:2">
      <c r="A3357" s="461"/>
      <c r="B3357" s="461"/>
    </row>
    <row r="3358" spans="1:2">
      <c r="A3358" s="461"/>
      <c r="B3358" s="461"/>
    </row>
    <row r="3359" spans="1:2">
      <c r="A3359" s="461"/>
      <c r="B3359" s="461"/>
    </row>
    <row r="3360" spans="1:2">
      <c r="A3360" s="461"/>
      <c r="B3360" s="461"/>
    </row>
    <row r="3361" spans="1:2">
      <c r="A3361" s="461"/>
      <c r="B3361" s="461"/>
    </row>
    <row r="3362" spans="1:2">
      <c r="A3362" s="461"/>
      <c r="B3362" s="461"/>
    </row>
    <row r="3363" spans="1:2">
      <c r="A3363" s="461"/>
      <c r="B3363" s="461"/>
    </row>
    <row r="3364" spans="1:2">
      <c r="A3364" s="461"/>
      <c r="B3364" s="461"/>
    </row>
    <row r="3365" spans="1:2">
      <c r="A3365" s="461"/>
      <c r="B3365" s="461"/>
    </row>
    <row r="3366" spans="1:2">
      <c r="A3366" s="461"/>
      <c r="B3366" s="461"/>
    </row>
    <row r="3367" spans="1:2">
      <c r="A3367" s="461"/>
      <c r="B3367" s="461"/>
    </row>
    <row r="3368" spans="1:2">
      <c r="A3368" s="461"/>
      <c r="B3368" s="461"/>
    </row>
    <row r="3369" spans="1:2">
      <c r="A3369" s="461"/>
      <c r="B3369" s="461"/>
    </row>
    <row r="3370" spans="1:2">
      <c r="A3370" s="461"/>
      <c r="B3370" s="461"/>
    </row>
    <row r="3371" spans="1:2">
      <c r="A3371" s="461"/>
      <c r="B3371" s="461"/>
    </row>
    <row r="3372" spans="1:2">
      <c r="A3372" s="461"/>
      <c r="B3372" s="461"/>
    </row>
    <row r="3373" spans="1:2">
      <c r="A3373" s="461"/>
      <c r="B3373" s="461"/>
    </row>
    <row r="3374" spans="1:2">
      <c r="A3374" s="461"/>
      <c r="B3374" s="461"/>
    </row>
    <row r="3375" spans="1:2">
      <c r="A3375" s="461"/>
      <c r="B3375" s="461"/>
    </row>
    <row r="3376" spans="1:2">
      <c r="A3376" s="461"/>
      <c r="B3376" s="461"/>
    </row>
    <row r="3377" spans="1:2">
      <c r="A3377" s="461"/>
      <c r="B3377" s="461"/>
    </row>
    <row r="3378" spans="1:2">
      <c r="A3378" s="461"/>
      <c r="B3378" s="461"/>
    </row>
    <row r="3379" spans="1:2">
      <c r="A3379" s="461"/>
      <c r="B3379" s="461"/>
    </row>
    <row r="3380" spans="1:2">
      <c r="A3380" s="461"/>
      <c r="B3380" s="461"/>
    </row>
    <row r="3381" spans="1:2">
      <c r="A3381" s="461"/>
      <c r="B3381" s="461"/>
    </row>
    <row r="3382" spans="1:2">
      <c r="A3382" s="461"/>
      <c r="B3382" s="461"/>
    </row>
    <row r="3383" spans="1:2">
      <c r="A3383" s="461"/>
      <c r="B3383" s="461"/>
    </row>
    <row r="3384" spans="1:2">
      <c r="A3384" s="461"/>
      <c r="B3384" s="461"/>
    </row>
    <row r="3385" spans="1:2">
      <c r="A3385" s="461"/>
      <c r="B3385" s="461"/>
    </row>
    <row r="3386" spans="1:2">
      <c r="A3386" s="461"/>
      <c r="B3386" s="461"/>
    </row>
    <row r="3387" spans="1:2">
      <c r="A3387" s="461"/>
      <c r="B3387" s="461"/>
    </row>
    <row r="3388" spans="1:2">
      <c r="A3388" s="461"/>
      <c r="B3388" s="461"/>
    </row>
    <row r="3389" spans="1:2">
      <c r="A3389" s="461"/>
      <c r="B3389" s="461"/>
    </row>
    <row r="3390" spans="1:2">
      <c r="A3390" s="461"/>
      <c r="B3390" s="461"/>
    </row>
    <row r="3391" spans="1:2">
      <c r="A3391" s="461"/>
      <c r="B3391" s="461"/>
    </row>
    <row r="3392" spans="1:2">
      <c r="A3392" s="461"/>
      <c r="B3392" s="461"/>
    </row>
    <row r="3393" spans="1:2">
      <c r="A3393" s="461"/>
      <c r="B3393" s="461"/>
    </row>
    <row r="3394" spans="1:2">
      <c r="A3394" s="461"/>
      <c r="B3394" s="461"/>
    </row>
    <row r="3395" spans="1:2">
      <c r="A3395" s="461"/>
      <c r="B3395" s="461"/>
    </row>
    <row r="3396" spans="1:2">
      <c r="A3396" s="461"/>
      <c r="B3396" s="461"/>
    </row>
    <row r="3397" spans="1:2">
      <c r="A3397" s="461"/>
      <c r="B3397" s="461"/>
    </row>
    <row r="3398" spans="1:2">
      <c r="A3398" s="461"/>
      <c r="B3398" s="461"/>
    </row>
    <row r="3399" spans="1:2">
      <c r="A3399" s="461"/>
      <c r="B3399" s="461"/>
    </row>
    <row r="3400" spans="1:2">
      <c r="A3400" s="461"/>
      <c r="B3400" s="461"/>
    </row>
    <row r="3401" spans="1:2">
      <c r="A3401" s="461"/>
      <c r="B3401" s="461"/>
    </row>
    <row r="3402" spans="1:2">
      <c r="A3402" s="461"/>
      <c r="B3402" s="461"/>
    </row>
    <row r="3403" spans="1:2">
      <c r="A3403" s="461"/>
      <c r="B3403" s="461"/>
    </row>
    <row r="3404" spans="1:2">
      <c r="A3404" s="461"/>
      <c r="B3404" s="461"/>
    </row>
    <row r="3405" spans="1:2">
      <c r="A3405" s="461"/>
      <c r="B3405" s="461"/>
    </row>
    <row r="3406" spans="1:2">
      <c r="A3406" s="461"/>
      <c r="B3406" s="461"/>
    </row>
    <row r="3407" spans="1:2">
      <c r="A3407" s="461"/>
      <c r="B3407" s="461"/>
    </row>
    <row r="3408" spans="1:2">
      <c r="A3408" s="461"/>
      <c r="B3408" s="461"/>
    </row>
    <row r="3409" spans="1:2">
      <c r="A3409" s="461"/>
      <c r="B3409" s="461"/>
    </row>
    <row r="3410" spans="1:2">
      <c r="A3410" s="461"/>
      <c r="B3410" s="461"/>
    </row>
    <row r="3411" spans="1:2">
      <c r="A3411" s="461"/>
      <c r="B3411" s="461"/>
    </row>
    <row r="3412" spans="1:2">
      <c r="A3412" s="461"/>
      <c r="B3412" s="461"/>
    </row>
    <row r="3413" spans="1:2">
      <c r="A3413" s="461"/>
      <c r="B3413" s="461"/>
    </row>
    <row r="3414" spans="1:2">
      <c r="A3414" s="461"/>
      <c r="B3414" s="461"/>
    </row>
    <row r="3415" spans="1:2">
      <c r="A3415" s="461"/>
      <c r="B3415" s="461"/>
    </row>
    <row r="3416" spans="1:2">
      <c r="A3416" s="461"/>
      <c r="B3416" s="461"/>
    </row>
    <row r="3417" spans="1:2">
      <c r="A3417" s="461"/>
      <c r="B3417" s="461"/>
    </row>
    <row r="3418" spans="1:2">
      <c r="A3418" s="461"/>
      <c r="B3418" s="461"/>
    </row>
    <row r="3419" spans="1:2">
      <c r="A3419" s="461"/>
      <c r="B3419" s="461"/>
    </row>
    <row r="3420" spans="1:2">
      <c r="A3420" s="461"/>
      <c r="B3420" s="461"/>
    </row>
    <row r="3421" spans="1:2">
      <c r="A3421" s="461"/>
      <c r="B3421" s="461"/>
    </row>
    <row r="3422" spans="1:2">
      <c r="A3422" s="461"/>
      <c r="B3422" s="461"/>
    </row>
    <row r="3423" spans="1:2">
      <c r="A3423" s="461"/>
      <c r="B3423" s="461"/>
    </row>
    <row r="3424" spans="1:2">
      <c r="A3424" s="461"/>
      <c r="B3424" s="461"/>
    </row>
    <row r="3425" spans="1:2">
      <c r="A3425" s="461"/>
      <c r="B3425" s="461"/>
    </row>
    <row r="3426" spans="1:2">
      <c r="A3426" s="461"/>
      <c r="B3426" s="461"/>
    </row>
    <row r="3427" spans="1:2">
      <c r="A3427" s="461"/>
      <c r="B3427" s="461"/>
    </row>
    <row r="3428" spans="1:2">
      <c r="A3428" s="461"/>
      <c r="B3428" s="461"/>
    </row>
    <row r="3429" spans="1:2">
      <c r="A3429" s="461"/>
      <c r="B3429" s="461"/>
    </row>
    <row r="3430" spans="1:2">
      <c r="A3430" s="461"/>
      <c r="B3430" s="461"/>
    </row>
    <row r="3431" spans="1:2">
      <c r="A3431" s="461"/>
      <c r="B3431" s="461"/>
    </row>
    <row r="3432" spans="1:2">
      <c r="A3432" s="461"/>
      <c r="B3432" s="461"/>
    </row>
    <row r="3433" spans="1:2">
      <c r="A3433" s="461"/>
      <c r="B3433" s="461"/>
    </row>
    <row r="3434" spans="1:2">
      <c r="A3434" s="461"/>
      <c r="B3434" s="461"/>
    </row>
    <row r="3435" spans="1:2">
      <c r="A3435" s="461"/>
      <c r="B3435" s="461"/>
    </row>
    <row r="3436" spans="1:2">
      <c r="A3436" s="461"/>
      <c r="B3436" s="461"/>
    </row>
    <row r="3437" spans="1:2">
      <c r="A3437" s="461"/>
      <c r="B3437" s="461"/>
    </row>
    <row r="3438" spans="1:2">
      <c r="A3438" s="461"/>
      <c r="B3438" s="461"/>
    </row>
    <row r="3439" spans="1:2">
      <c r="A3439" s="461"/>
      <c r="B3439" s="461"/>
    </row>
    <row r="3440" spans="1:2">
      <c r="A3440" s="461"/>
      <c r="B3440" s="461"/>
    </row>
    <row r="3441" spans="1:2">
      <c r="A3441" s="461"/>
      <c r="B3441" s="461"/>
    </row>
    <row r="3442" spans="1:2">
      <c r="A3442" s="461"/>
      <c r="B3442" s="461"/>
    </row>
    <row r="3443" spans="1:2">
      <c r="A3443" s="461"/>
      <c r="B3443" s="461"/>
    </row>
    <row r="3444" spans="1:2">
      <c r="A3444" s="461"/>
      <c r="B3444" s="461"/>
    </row>
    <row r="3445" spans="1:2">
      <c r="A3445" s="461"/>
      <c r="B3445" s="461"/>
    </row>
    <row r="3446" spans="1:2">
      <c r="A3446" s="461"/>
      <c r="B3446" s="461"/>
    </row>
    <row r="3447" spans="1:2">
      <c r="A3447" s="461"/>
      <c r="B3447" s="461"/>
    </row>
    <row r="3448" spans="1:2">
      <c r="A3448" s="461"/>
      <c r="B3448" s="461"/>
    </row>
    <row r="3449" spans="1:2">
      <c r="A3449" s="461"/>
      <c r="B3449" s="461"/>
    </row>
    <row r="3450" spans="1:2">
      <c r="A3450" s="461"/>
      <c r="B3450" s="461"/>
    </row>
    <row r="3451" spans="1:2">
      <c r="A3451" s="461"/>
      <c r="B3451" s="461"/>
    </row>
    <row r="3452" spans="1:2">
      <c r="A3452" s="461"/>
      <c r="B3452" s="461"/>
    </row>
    <row r="3453" spans="1:2">
      <c r="A3453" s="461"/>
      <c r="B3453" s="461"/>
    </row>
    <row r="3454" spans="1:2">
      <c r="A3454" s="461"/>
      <c r="B3454" s="461"/>
    </row>
    <row r="3455" spans="1:2">
      <c r="A3455" s="461"/>
      <c r="B3455" s="461"/>
    </row>
    <row r="3456" spans="1:2">
      <c r="A3456" s="461"/>
      <c r="B3456" s="461"/>
    </row>
    <row r="3457" spans="1:2">
      <c r="A3457" s="461"/>
      <c r="B3457" s="461"/>
    </row>
    <row r="3458" spans="1:2">
      <c r="A3458" s="461"/>
      <c r="B3458" s="461"/>
    </row>
    <row r="3459" spans="1:2">
      <c r="A3459" s="461"/>
      <c r="B3459" s="461"/>
    </row>
    <row r="3460" spans="1:2">
      <c r="A3460" s="461"/>
      <c r="B3460" s="461"/>
    </row>
    <row r="3461" spans="1:2">
      <c r="A3461" s="461"/>
      <c r="B3461" s="461"/>
    </row>
    <row r="3462" spans="1:2">
      <c r="A3462" s="461"/>
      <c r="B3462" s="461"/>
    </row>
    <row r="3463" spans="1:2">
      <c r="A3463" s="461"/>
      <c r="B3463" s="461"/>
    </row>
    <row r="3464" spans="1:2">
      <c r="A3464" s="461"/>
      <c r="B3464" s="461"/>
    </row>
    <row r="3465" spans="1:2">
      <c r="A3465" s="461"/>
      <c r="B3465" s="461"/>
    </row>
    <row r="3466" spans="1:2">
      <c r="A3466" s="461"/>
      <c r="B3466" s="461"/>
    </row>
    <row r="3467" spans="1:2">
      <c r="A3467" s="461"/>
      <c r="B3467" s="461"/>
    </row>
    <row r="3468" spans="1:2">
      <c r="A3468" s="461"/>
      <c r="B3468" s="461"/>
    </row>
    <row r="3469" spans="1:2">
      <c r="A3469" s="461"/>
      <c r="B3469" s="461"/>
    </row>
    <row r="3470" spans="1:2">
      <c r="A3470" s="461"/>
      <c r="B3470" s="461"/>
    </row>
    <row r="3471" spans="1:2">
      <c r="A3471" s="461"/>
      <c r="B3471" s="461"/>
    </row>
    <row r="3472" spans="1:2">
      <c r="A3472" s="461"/>
      <c r="B3472" s="461"/>
    </row>
    <row r="3473" spans="1:2">
      <c r="A3473" s="461"/>
      <c r="B3473" s="461"/>
    </row>
    <row r="3474" spans="1:2">
      <c r="A3474" s="461"/>
      <c r="B3474" s="461"/>
    </row>
    <row r="3475" spans="1:2">
      <c r="A3475" s="461"/>
      <c r="B3475" s="461"/>
    </row>
    <row r="3476" spans="1:2">
      <c r="A3476" s="461"/>
      <c r="B3476" s="461"/>
    </row>
    <row r="3477" spans="1:2">
      <c r="A3477" s="461"/>
      <c r="B3477" s="461"/>
    </row>
    <row r="3478" spans="1:2">
      <c r="A3478" s="461"/>
      <c r="B3478" s="461"/>
    </row>
    <row r="3479" spans="1:2">
      <c r="A3479" s="461"/>
      <c r="B3479" s="461"/>
    </row>
    <row r="3480" spans="1:2">
      <c r="A3480" s="461"/>
      <c r="B3480" s="461"/>
    </row>
    <row r="3481" spans="1:2">
      <c r="A3481" s="461"/>
      <c r="B3481" s="461"/>
    </row>
    <row r="3482" spans="1:2">
      <c r="A3482" s="461"/>
      <c r="B3482" s="461"/>
    </row>
    <row r="3483" spans="1:2">
      <c r="A3483" s="461"/>
      <c r="B3483" s="461"/>
    </row>
    <row r="3484" spans="1:2">
      <c r="A3484" s="461"/>
      <c r="B3484" s="461"/>
    </row>
    <row r="3485" spans="1:2">
      <c r="A3485" s="461"/>
      <c r="B3485" s="461"/>
    </row>
    <row r="3486" spans="1:2">
      <c r="A3486" s="461"/>
      <c r="B3486" s="461"/>
    </row>
    <row r="3487" spans="1:2">
      <c r="A3487" s="461"/>
      <c r="B3487" s="461"/>
    </row>
    <row r="3488" spans="1:2">
      <c r="A3488" s="461"/>
      <c r="B3488" s="461"/>
    </row>
    <row r="3489" spans="1:2">
      <c r="A3489" s="461"/>
      <c r="B3489" s="461"/>
    </row>
    <row r="3490" spans="1:2">
      <c r="A3490" s="461"/>
      <c r="B3490" s="461"/>
    </row>
    <row r="3491" spans="1:2">
      <c r="A3491" s="461"/>
      <c r="B3491" s="461"/>
    </row>
    <row r="3492" spans="1:2">
      <c r="A3492" s="461"/>
      <c r="B3492" s="461"/>
    </row>
    <row r="3493" spans="1:2">
      <c r="A3493" s="461"/>
      <c r="B3493" s="461"/>
    </row>
    <row r="3494" spans="1:2">
      <c r="A3494" s="461"/>
      <c r="B3494" s="461"/>
    </row>
    <row r="3495" spans="1:2">
      <c r="A3495" s="461"/>
      <c r="B3495" s="461"/>
    </row>
    <row r="3496" spans="1:2">
      <c r="A3496" s="461"/>
      <c r="B3496" s="461"/>
    </row>
    <row r="3497" spans="1:2">
      <c r="A3497" s="461"/>
      <c r="B3497" s="461"/>
    </row>
    <row r="3498" spans="1:2">
      <c r="A3498" s="461"/>
      <c r="B3498" s="461"/>
    </row>
    <row r="3499" spans="1:2">
      <c r="A3499" s="461"/>
      <c r="B3499" s="461"/>
    </row>
    <row r="3500" spans="1:2">
      <c r="A3500" s="461"/>
      <c r="B3500" s="461"/>
    </row>
    <row r="3501" spans="1:2">
      <c r="A3501" s="461"/>
      <c r="B3501" s="461"/>
    </row>
    <row r="3502" spans="1:2">
      <c r="A3502" s="461"/>
      <c r="B3502" s="461"/>
    </row>
    <row r="3503" spans="1:2">
      <c r="A3503" s="461"/>
      <c r="B3503" s="461"/>
    </row>
    <row r="3504" spans="1:2">
      <c r="A3504" s="461"/>
      <c r="B3504" s="461"/>
    </row>
    <row r="3505" spans="1:2">
      <c r="A3505" s="461"/>
      <c r="B3505" s="461"/>
    </row>
    <row r="3506" spans="1:2">
      <c r="A3506" s="461"/>
      <c r="B3506" s="461"/>
    </row>
    <row r="3507" spans="1:2">
      <c r="A3507" s="461"/>
      <c r="B3507" s="461"/>
    </row>
    <row r="3508" spans="1:2">
      <c r="A3508" s="461"/>
      <c r="B3508" s="461"/>
    </row>
    <row r="3509" spans="1:2">
      <c r="A3509" s="461"/>
      <c r="B3509" s="461"/>
    </row>
    <row r="3510" spans="1:2">
      <c r="A3510" s="461"/>
      <c r="B3510" s="461"/>
    </row>
    <row r="3511" spans="1:2">
      <c r="A3511" s="461"/>
      <c r="B3511" s="461"/>
    </row>
    <row r="3512" spans="1:2">
      <c r="A3512" s="461"/>
      <c r="B3512" s="461"/>
    </row>
    <row r="3513" spans="1:2">
      <c r="A3513" s="461"/>
      <c r="B3513" s="461"/>
    </row>
    <row r="3514" spans="1:2">
      <c r="A3514" s="461"/>
      <c r="B3514" s="461"/>
    </row>
    <row r="3515" spans="1:2">
      <c r="A3515" s="461"/>
      <c r="B3515" s="461"/>
    </row>
    <row r="3516" spans="1:2">
      <c r="A3516" s="461"/>
      <c r="B3516" s="461"/>
    </row>
    <row r="3517" spans="1:2">
      <c r="A3517" s="461"/>
      <c r="B3517" s="461"/>
    </row>
    <row r="3518" spans="1:2">
      <c r="A3518" s="461"/>
      <c r="B3518" s="461"/>
    </row>
    <row r="3519" spans="1:2">
      <c r="A3519" s="461"/>
      <c r="B3519" s="461"/>
    </row>
    <row r="3520" spans="1:2">
      <c r="A3520" s="461"/>
      <c r="B3520" s="461"/>
    </row>
    <row r="3521" spans="1:2">
      <c r="A3521" s="461"/>
      <c r="B3521" s="461"/>
    </row>
    <row r="3522" spans="1:2">
      <c r="A3522" s="461"/>
      <c r="B3522" s="461"/>
    </row>
    <row r="3523" spans="1:2">
      <c r="A3523" s="461"/>
      <c r="B3523" s="461"/>
    </row>
    <row r="3524" spans="1:2">
      <c r="A3524" s="461"/>
      <c r="B3524" s="461"/>
    </row>
    <row r="3525" spans="1:2">
      <c r="A3525" s="461"/>
      <c r="B3525" s="461"/>
    </row>
    <row r="3526" spans="1:2">
      <c r="A3526" s="461"/>
      <c r="B3526" s="461"/>
    </row>
    <row r="3527" spans="1:2">
      <c r="A3527" s="461"/>
      <c r="B3527" s="461"/>
    </row>
    <row r="3528" spans="1:2">
      <c r="A3528" s="461"/>
      <c r="B3528" s="461"/>
    </row>
    <row r="3529" spans="1:2">
      <c r="A3529" s="461"/>
      <c r="B3529" s="461"/>
    </row>
    <row r="3530" spans="1:2">
      <c r="A3530" s="461"/>
      <c r="B3530" s="461"/>
    </row>
    <row r="3531" spans="1:2">
      <c r="A3531" s="461"/>
      <c r="B3531" s="461"/>
    </row>
    <row r="3532" spans="1:2">
      <c r="A3532" s="461"/>
      <c r="B3532" s="461"/>
    </row>
    <row r="3533" spans="1:2">
      <c r="A3533" s="461"/>
      <c r="B3533" s="461"/>
    </row>
    <row r="3534" spans="1:2">
      <c r="A3534" s="461"/>
      <c r="B3534" s="461"/>
    </row>
    <row r="3535" spans="1:2">
      <c r="A3535" s="461"/>
      <c r="B3535" s="461"/>
    </row>
    <row r="3536" spans="1:2">
      <c r="A3536" s="461"/>
      <c r="B3536" s="461"/>
    </row>
    <row r="3537" spans="1:2">
      <c r="A3537" s="461"/>
      <c r="B3537" s="461"/>
    </row>
    <row r="3538" spans="1:2">
      <c r="A3538" s="461"/>
      <c r="B3538" s="461"/>
    </row>
    <row r="3539" spans="1:2">
      <c r="A3539" s="461"/>
      <c r="B3539" s="461"/>
    </row>
    <row r="3540" spans="1:2">
      <c r="A3540" s="461"/>
      <c r="B3540" s="461"/>
    </row>
    <row r="3541" spans="1:2">
      <c r="A3541" s="461"/>
      <c r="B3541" s="461"/>
    </row>
    <row r="3542" spans="1:2">
      <c r="A3542" s="461"/>
      <c r="B3542" s="461"/>
    </row>
    <row r="3543" spans="1:2">
      <c r="A3543" s="461"/>
      <c r="B3543" s="461"/>
    </row>
    <row r="3544" spans="1:2">
      <c r="A3544" s="461"/>
      <c r="B3544" s="461"/>
    </row>
    <row r="3545" spans="1:2">
      <c r="A3545" s="461"/>
      <c r="B3545" s="461"/>
    </row>
    <row r="3546" spans="1:2">
      <c r="A3546" s="461"/>
      <c r="B3546" s="461"/>
    </row>
    <row r="3547" spans="1:2">
      <c r="A3547" s="461"/>
      <c r="B3547" s="461"/>
    </row>
    <row r="3548" spans="1:2">
      <c r="A3548" s="461"/>
      <c r="B3548" s="461"/>
    </row>
    <row r="3549" spans="1:2">
      <c r="A3549" s="461"/>
      <c r="B3549" s="461"/>
    </row>
    <row r="3550" spans="1:2">
      <c r="A3550" s="461"/>
      <c r="B3550" s="461"/>
    </row>
    <row r="3551" spans="1:2">
      <c r="A3551" s="461"/>
      <c r="B3551" s="461"/>
    </row>
    <row r="3552" spans="1:2">
      <c r="A3552" s="461"/>
      <c r="B3552" s="461"/>
    </row>
    <row r="3553" spans="1:2">
      <c r="A3553" s="461"/>
      <c r="B3553" s="461"/>
    </row>
    <row r="3554" spans="1:2">
      <c r="A3554" s="461"/>
      <c r="B3554" s="461"/>
    </row>
    <row r="3555" spans="1:2">
      <c r="A3555" s="461"/>
      <c r="B3555" s="461"/>
    </row>
    <row r="3556" spans="1:2">
      <c r="A3556" s="461"/>
      <c r="B3556" s="461"/>
    </row>
    <row r="3557" spans="1:2">
      <c r="A3557" s="461"/>
      <c r="B3557" s="461"/>
    </row>
    <row r="3558" spans="1:2">
      <c r="A3558" s="461"/>
      <c r="B3558" s="461"/>
    </row>
    <row r="3559" spans="1:2">
      <c r="A3559" s="461"/>
      <c r="B3559" s="461"/>
    </row>
    <row r="3560" spans="1:2">
      <c r="A3560" s="461"/>
      <c r="B3560" s="461"/>
    </row>
    <row r="3561" spans="1:2">
      <c r="A3561" s="461"/>
      <c r="B3561" s="461"/>
    </row>
    <row r="3562" spans="1:2">
      <c r="A3562" s="461"/>
      <c r="B3562" s="461"/>
    </row>
    <row r="3563" spans="1:2">
      <c r="A3563" s="461"/>
      <c r="B3563" s="461"/>
    </row>
    <row r="3564" spans="1:2">
      <c r="A3564" s="461"/>
      <c r="B3564" s="461"/>
    </row>
    <row r="3565" spans="1:2">
      <c r="A3565" s="461"/>
      <c r="B3565" s="461"/>
    </row>
    <row r="3566" spans="1:2">
      <c r="A3566" s="461"/>
      <c r="B3566" s="461"/>
    </row>
    <row r="3567" spans="1:2">
      <c r="A3567" s="461"/>
      <c r="B3567" s="461"/>
    </row>
    <row r="3568" spans="1:2">
      <c r="A3568" s="461"/>
      <c r="B3568" s="461"/>
    </row>
    <row r="3569" spans="1:2">
      <c r="A3569" s="461"/>
      <c r="B3569" s="461"/>
    </row>
    <row r="3570" spans="1:2">
      <c r="A3570" s="461"/>
      <c r="B3570" s="461"/>
    </row>
    <row r="3571" spans="1:2">
      <c r="A3571" s="461"/>
      <c r="B3571" s="461"/>
    </row>
    <row r="3572" spans="1:2">
      <c r="A3572" s="461"/>
      <c r="B3572" s="461"/>
    </row>
    <row r="3573" spans="1:2">
      <c r="A3573" s="461"/>
      <c r="B3573" s="461"/>
    </row>
    <row r="3574" spans="1:2">
      <c r="A3574" s="461"/>
      <c r="B3574" s="461"/>
    </row>
    <row r="3575" spans="1:2">
      <c r="A3575" s="461"/>
      <c r="B3575" s="461"/>
    </row>
    <row r="3576" spans="1:2">
      <c r="A3576" s="461"/>
      <c r="B3576" s="461"/>
    </row>
    <row r="3577" spans="1:2">
      <c r="A3577" s="461"/>
      <c r="B3577" s="461"/>
    </row>
    <row r="3578" spans="1:2">
      <c r="A3578" s="461"/>
      <c r="B3578" s="461"/>
    </row>
    <row r="3579" spans="1:2">
      <c r="A3579" s="461"/>
      <c r="B3579" s="461"/>
    </row>
    <row r="3580" spans="1:2">
      <c r="A3580" s="461"/>
      <c r="B3580" s="461"/>
    </row>
    <row r="3581" spans="1:2">
      <c r="A3581" s="461"/>
      <c r="B3581" s="461"/>
    </row>
    <row r="3582" spans="1:2">
      <c r="A3582" s="461"/>
      <c r="B3582" s="461"/>
    </row>
    <row r="3583" spans="1:2">
      <c r="A3583" s="461"/>
      <c r="B3583" s="461"/>
    </row>
    <row r="3584" spans="1:2">
      <c r="A3584" s="461"/>
      <c r="B3584" s="461"/>
    </row>
    <row r="3585" spans="1:2">
      <c r="A3585" s="461"/>
      <c r="B3585" s="461"/>
    </row>
    <row r="3586" spans="1:2">
      <c r="A3586" s="461"/>
      <c r="B3586" s="461"/>
    </row>
    <row r="3587" spans="1:2">
      <c r="A3587" s="461"/>
      <c r="B3587" s="461"/>
    </row>
    <row r="3588" spans="1:2">
      <c r="A3588" s="461"/>
      <c r="B3588" s="461"/>
    </row>
    <row r="3589" spans="1:2">
      <c r="A3589" s="461"/>
      <c r="B3589" s="461"/>
    </row>
    <row r="3590" spans="1:2">
      <c r="A3590" s="461"/>
      <c r="B3590" s="461"/>
    </row>
    <row r="3591" spans="1:2">
      <c r="A3591" s="461"/>
      <c r="B3591" s="461"/>
    </row>
    <row r="3592" spans="1:2">
      <c r="A3592" s="461"/>
      <c r="B3592" s="461"/>
    </row>
    <row r="3593" spans="1:2">
      <c r="A3593" s="461"/>
      <c r="B3593" s="461"/>
    </row>
    <row r="3594" spans="1:2">
      <c r="A3594" s="461"/>
      <c r="B3594" s="461"/>
    </row>
    <row r="3595" spans="1:2">
      <c r="A3595" s="461"/>
      <c r="B3595" s="461"/>
    </row>
    <row r="3596" spans="1:2">
      <c r="A3596" s="461"/>
      <c r="B3596" s="461"/>
    </row>
    <row r="3597" spans="1:2">
      <c r="A3597" s="461"/>
      <c r="B3597" s="461"/>
    </row>
    <row r="3598" spans="1:2">
      <c r="A3598" s="461"/>
      <c r="B3598" s="461"/>
    </row>
    <row r="3599" spans="1:2">
      <c r="A3599" s="461"/>
      <c r="B3599" s="461"/>
    </row>
    <row r="3600" spans="1:2">
      <c r="A3600" s="461"/>
      <c r="B3600" s="461"/>
    </row>
    <row r="3601" spans="1:2">
      <c r="A3601" s="461"/>
      <c r="B3601" s="461"/>
    </row>
    <row r="3602" spans="1:2">
      <c r="A3602" s="461"/>
      <c r="B3602" s="461"/>
    </row>
    <row r="3603" spans="1:2">
      <c r="A3603" s="461"/>
      <c r="B3603" s="461"/>
    </row>
    <row r="3604" spans="1:2">
      <c r="A3604" s="461"/>
      <c r="B3604" s="461"/>
    </row>
    <row r="3605" spans="1:2">
      <c r="A3605" s="461"/>
      <c r="B3605" s="461"/>
    </row>
    <row r="3606" spans="1:2">
      <c r="A3606" s="461"/>
      <c r="B3606" s="461"/>
    </row>
    <row r="3607" spans="1:2">
      <c r="A3607" s="461"/>
      <c r="B3607" s="461"/>
    </row>
    <row r="3608" spans="1:2">
      <c r="A3608" s="461"/>
      <c r="B3608" s="461"/>
    </row>
    <row r="3609" spans="1:2">
      <c r="A3609" s="461"/>
      <c r="B3609" s="461"/>
    </row>
    <row r="3610" spans="1:2">
      <c r="A3610" s="461"/>
      <c r="B3610" s="461"/>
    </row>
    <row r="3611" spans="1:2">
      <c r="A3611" s="461"/>
      <c r="B3611" s="461"/>
    </row>
    <row r="3612" spans="1:2">
      <c r="A3612" s="461"/>
      <c r="B3612" s="461"/>
    </row>
    <row r="3613" spans="1:2">
      <c r="A3613" s="461"/>
      <c r="B3613" s="461"/>
    </row>
    <row r="3614" spans="1:2">
      <c r="A3614" s="461"/>
      <c r="B3614" s="461"/>
    </row>
    <row r="3615" spans="1:2">
      <c r="A3615" s="461"/>
      <c r="B3615" s="461"/>
    </row>
    <row r="3616" spans="1:2">
      <c r="A3616" s="461"/>
      <c r="B3616" s="461"/>
    </row>
    <row r="3617" spans="1:2">
      <c r="A3617" s="461"/>
      <c r="B3617" s="461"/>
    </row>
    <row r="3618" spans="1:2">
      <c r="A3618" s="461"/>
      <c r="B3618" s="461"/>
    </row>
    <row r="3619" spans="1:2">
      <c r="A3619" s="461"/>
      <c r="B3619" s="461"/>
    </row>
    <row r="3620" spans="1:2">
      <c r="A3620" s="461"/>
      <c r="B3620" s="461"/>
    </row>
    <row r="3621" spans="1:2">
      <c r="A3621" s="461"/>
      <c r="B3621" s="461"/>
    </row>
    <row r="3622" spans="1:2">
      <c r="A3622" s="461"/>
      <c r="B3622" s="461"/>
    </row>
    <row r="3623" spans="1:2">
      <c r="A3623" s="461"/>
      <c r="B3623" s="461"/>
    </row>
    <row r="3624" spans="1:2">
      <c r="A3624" s="461"/>
      <c r="B3624" s="461"/>
    </row>
    <row r="3625" spans="1:2">
      <c r="A3625" s="461"/>
      <c r="B3625" s="461"/>
    </row>
    <row r="3626" spans="1:2">
      <c r="A3626" s="461"/>
      <c r="B3626" s="461"/>
    </row>
    <row r="3627" spans="1:2">
      <c r="A3627" s="461"/>
      <c r="B3627" s="461"/>
    </row>
    <row r="3628" spans="1:2">
      <c r="A3628" s="461"/>
      <c r="B3628" s="461"/>
    </row>
    <row r="3629" spans="1:2">
      <c r="A3629" s="461"/>
      <c r="B3629" s="461"/>
    </row>
    <row r="3630" spans="1:2">
      <c r="A3630" s="461"/>
      <c r="B3630" s="461"/>
    </row>
    <row r="3631" spans="1:2">
      <c r="A3631" s="461"/>
      <c r="B3631" s="461"/>
    </row>
    <row r="3632" spans="1:2">
      <c r="A3632" s="461"/>
      <c r="B3632" s="461"/>
    </row>
    <row r="3633" spans="1:2">
      <c r="A3633" s="461"/>
      <c r="B3633" s="461"/>
    </row>
    <row r="3634" spans="1:2">
      <c r="A3634" s="461"/>
      <c r="B3634" s="461"/>
    </row>
    <row r="3635" spans="1:2">
      <c r="A3635" s="461"/>
      <c r="B3635" s="461"/>
    </row>
    <row r="3636" spans="1:2">
      <c r="A3636" s="461"/>
      <c r="B3636" s="461"/>
    </row>
    <row r="3637" spans="1:2">
      <c r="A3637" s="461"/>
      <c r="B3637" s="461"/>
    </row>
    <row r="3638" spans="1:2">
      <c r="A3638" s="461"/>
      <c r="B3638" s="461"/>
    </row>
    <row r="3639" spans="1:2">
      <c r="A3639" s="461"/>
      <c r="B3639" s="461"/>
    </row>
    <row r="3640" spans="1:2">
      <c r="A3640" s="461"/>
      <c r="B3640" s="461"/>
    </row>
    <row r="3641" spans="1:2">
      <c r="A3641" s="461"/>
      <c r="B3641" s="461"/>
    </row>
    <row r="3642" spans="1:2">
      <c r="A3642" s="461"/>
      <c r="B3642" s="461"/>
    </row>
    <row r="3643" spans="1:2">
      <c r="A3643" s="461"/>
      <c r="B3643" s="461"/>
    </row>
    <row r="3644" spans="1:2">
      <c r="A3644" s="461"/>
      <c r="B3644" s="461"/>
    </row>
    <row r="3645" spans="1:2">
      <c r="A3645" s="461"/>
      <c r="B3645" s="461"/>
    </row>
    <row r="3646" spans="1:2">
      <c r="A3646" s="461"/>
      <c r="B3646" s="461"/>
    </row>
    <row r="3647" spans="1:2">
      <c r="A3647" s="461"/>
      <c r="B3647" s="461"/>
    </row>
    <row r="3648" spans="1:2">
      <c r="A3648" s="461"/>
      <c r="B3648" s="461"/>
    </row>
    <row r="3649" spans="1:2">
      <c r="A3649" s="461"/>
      <c r="B3649" s="461"/>
    </row>
    <row r="3650" spans="1:2">
      <c r="A3650" s="461"/>
      <c r="B3650" s="461"/>
    </row>
    <row r="3651" spans="1:2">
      <c r="A3651" s="461"/>
      <c r="B3651" s="461"/>
    </row>
    <row r="3652" spans="1:2">
      <c r="A3652" s="461"/>
      <c r="B3652" s="461"/>
    </row>
    <row r="3653" spans="1:2">
      <c r="A3653" s="461"/>
      <c r="B3653" s="461"/>
    </row>
    <row r="3654" spans="1:2">
      <c r="A3654" s="461"/>
      <c r="B3654" s="461"/>
    </row>
    <row r="3655" spans="1:2">
      <c r="A3655" s="461"/>
      <c r="B3655" s="461"/>
    </row>
    <row r="3656" spans="1:2">
      <c r="A3656" s="461"/>
      <c r="B3656" s="461"/>
    </row>
    <row r="3657" spans="1:2">
      <c r="A3657" s="461"/>
      <c r="B3657" s="461"/>
    </row>
    <row r="3658" spans="1:2">
      <c r="A3658" s="461"/>
      <c r="B3658" s="461"/>
    </row>
    <row r="3659" spans="1:2">
      <c r="A3659" s="461"/>
      <c r="B3659" s="461"/>
    </row>
    <row r="3660" spans="1:2">
      <c r="A3660" s="461"/>
      <c r="B3660" s="461"/>
    </row>
    <row r="3661" spans="1:2">
      <c r="A3661" s="461"/>
      <c r="B3661" s="461"/>
    </row>
    <row r="3662" spans="1:2">
      <c r="A3662" s="461"/>
      <c r="B3662" s="461"/>
    </row>
    <row r="3663" spans="1:2">
      <c r="A3663" s="461"/>
      <c r="B3663" s="461"/>
    </row>
    <row r="3664" spans="1:2">
      <c r="A3664" s="461"/>
      <c r="B3664" s="461"/>
    </row>
    <row r="3665" spans="1:2">
      <c r="A3665" s="461"/>
      <c r="B3665" s="461"/>
    </row>
    <row r="3666" spans="1:2">
      <c r="A3666" s="461"/>
      <c r="B3666" s="461"/>
    </row>
    <row r="3667" spans="1:2">
      <c r="A3667" s="461"/>
      <c r="B3667" s="461"/>
    </row>
    <row r="3668" spans="1:2">
      <c r="A3668" s="461"/>
      <c r="B3668" s="461"/>
    </row>
    <row r="3669" spans="1:2">
      <c r="A3669" s="461"/>
      <c r="B3669" s="461"/>
    </row>
    <row r="3670" spans="1:2">
      <c r="A3670" s="461"/>
      <c r="B3670" s="461"/>
    </row>
    <row r="3671" spans="1:2">
      <c r="A3671" s="461"/>
      <c r="B3671" s="461"/>
    </row>
    <row r="3672" spans="1:2">
      <c r="A3672" s="461"/>
      <c r="B3672" s="461"/>
    </row>
    <row r="3673" spans="1:2">
      <c r="A3673" s="461"/>
      <c r="B3673" s="461"/>
    </row>
    <row r="3674" spans="1:2">
      <c r="A3674" s="461"/>
      <c r="B3674" s="461"/>
    </row>
    <row r="3675" spans="1:2">
      <c r="A3675" s="461"/>
      <c r="B3675" s="461"/>
    </row>
    <row r="3676" spans="1:2">
      <c r="A3676" s="461"/>
      <c r="B3676" s="461"/>
    </row>
    <row r="3677" spans="1:2">
      <c r="A3677" s="461"/>
      <c r="B3677" s="461"/>
    </row>
    <row r="3678" spans="1:2">
      <c r="A3678" s="461"/>
      <c r="B3678" s="461"/>
    </row>
    <row r="3679" spans="1:2">
      <c r="A3679" s="461"/>
      <c r="B3679" s="461"/>
    </row>
    <row r="3680" spans="1:2">
      <c r="A3680" s="461"/>
      <c r="B3680" s="461"/>
    </row>
    <row r="3681" spans="1:2">
      <c r="A3681" s="461"/>
      <c r="B3681" s="461"/>
    </row>
    <row r="3682" spans="1:2">
      <c r="A3682" s="461"/>
      <c r="B3682" s="461"/>
    </row>
    <row r="3683" spans="1:2">
      <c r="A3683" s="461"/>
      <c r="B3683" s="461"/>
    </row>
    <row r="3684" spans="1:2">
      <c r="A3684" s="461"/>
      <c r="B3684" s="461"/>
    </row>
    <row r="3685" spans="1:2">
      <c r="A3685" s="461"/>
      <c r="B3685" s="461"/>
    </row>
    <row r="3686" spans="1:2">
      <c r="A3686" s="461"/>
      <c r="B3686" s="461"/>
    </row>
    <row r="3687" spans="1:2">
      <c r="A3687" s="461"/>
      <c r="B3687" s="461"/>
    </row>
    <row r="3688" spans="1:2">
      <c r="A3688" s="461"/>
      <c r="B3688" s="461"/>
    </row>
    <row r="3689" spans="1:2">
      <c r="A3689" s="461"/>
      <c r="B3689" s="461"/>
    </row>
    <row r="3690" spans="1:2">
      <c r="A3690" s="461"/>
      <c r="B3690" s="461"/>
    </row>
    <row r="3691" spans="1:2">
      <c r="A3691" s="461"/>
      <c r="B3691" s="461"/>
    </row>
    <row r="3692" spans="1:2">
      <c r="A3692" s="461"/>
      <c r="B3692" s="461"/>
    </row>
    <row r="3693" spans="1:2">
      <c r="A3693" s="461"/>
      <c r="B3693" s="461"/>
    </row>
    <row r="3694" spans="1:2">
      <c r="A3694" s="461"/>
      <c r="B3694" s="461"/>
    </row>
    <row r="3695" spans="1:2">
      <c r="A3695" s="461"/>
      <c r="B3695" s="461"/>
    </row>
    <row r="3696" spans="1:2">
      <c r="A3696" s="461"/>
      <c r="B3696" s="461"/>
    </row>
    <row r="3697" spans="1:2">
      <c r="A3697" s="461"/>
      <c r="B3697" s="461"/>
    </row>
    <row r="3698" spans="1:2">
      <c r="A3698" s="461"/>
      <c r="B3698" s="461"/>
    </row>
    <row r="3699" spans="1:2">
      <c r="A3699" s="461"/>
      <c r="B3699" s="461"/>
    </row>
    <row r="3700" spans="1:2">
      <c r="A3700" s="461"/>
      <c r="B3700" s="461"/>
    </row>
    <row r="3701" spans="1:2">
      <c r="A3701" s="461"/>
      <c r="B3701" s="461"/>
    </row>
    <row r="3702" spans="1:2">
      <c r="A3702" s="461"/>
      <c r="B3702" s="461"/>
    </row>
    <row r="3703" spans="1:2">
      <c r="A3703" s="461"/>
      <c r="B3703" s="461"/>
    </row>
    <row r="3704" spans="1:2">
      <c r="A3704" s="461"/>
      <c r="B3704" s="461"/>
    </row>
    <row r="3705" spans="1:2">
      <c r="A3705" s="461"/>
      <c r="B3705" s="461"/>
    </row>
    <row r="3706" spans="1:2">
      <c r="A3706" s="461"/>
      <c r="B3706" s="461"/>
    </row>
    <row r="3707" spans="1:2">
      <c r="A3707" s="461"/>
      <c r="B3707" s="461"/>
    </row>
    <row r="3708" spans="1:2">
      <c r="A3708" s="461"/>
      <c r="B3708" s="461"/>
    </row>
    <row r="3709" spans="1:2">
      <c r="A3709" s="461"/>
      <c r="B3709" s="461"/>
    </row>
    <row r="3710" spans="1:2">
      <c r="A3710" s="461"/>
      <c r="B3710" s="461"/>
    </row>
    <row r="3711" spans="1:2">
      <c r="A3711" s="461"/>
      <c r="B3711" s="461"/>
    </row>
    <row r="3712" spans="1:2">
      <c r="A3712" s="461"/>
      <c r="B3712" s="461"/>
    </row>
    <row r="3713" spans="1:2">
      <c r="A3713" s="461"/>
      <c r="B3713" s="461"/>
    </row>
    <row r="3714" spans="1:2">
      <c r="A3714" s="461"/>
      <c r="B3714" s="461"/>
    </row>
    <row r="3715" spans="1:2">
      <c r="A3715" s="461"/>
      <c r="B3715" s="461"/>
    </row>
    <row r="3716" spans="1:2">
      <c r="A3716" s="461"/>
      <c r="B3716" s="461"/>
    </row>
    <row r="3717" spans="1:2">
      <c r="A3717" s="461"/>
      <c r="B3717" s="461"/>
    </row>
    <row r="3718" spans="1:2">
      <c r="A3718" s="461"/>
      <c r="B3718" s="461"/>
    </row>
    <row r="3719" spans="1:2">
      <c r="A3719" s="461"/>
      <c r="B3719" s="461"/>
    </row>
    <row r="3720" spans="1:2">
      <c r="A3720" s="461"/>
      <c r="B3720" s="461"/>
    </row>
    <row r="3721" spans="1:2">
      <c r="A3721" s="461"/>
      <c r="B3721" s="461"/>
    </row>
    <row r="3722" spans="1:2">
      <c r="A3722" s="461"/>
      <c r="B3722" s="461"/>
    </row>
    <row r="3723" spans="1:2">
      <c r="A3723" s="461"/>
      <c r="B3723" s="461"/>
    </row>
    <row r="3724" spans="1:2">
      <c r="A3724" s="461"/>
      <c r="B3724" s="461"/>
    </row>
    <row r="3725" spans="1:2">
      <c r="A3725" s="461"/>
      <c r="B3725" s="461"/>
    </row>
    <row r="3726" spans="1:2">
      <c r="A3726" s="461"/>
      <c r="B3726" s="461"/>
    </row>
    <row r="3727" spans="1:2">
      <c r="A3727" s="461"/>
      <c r="B3727" s="461"/>
    </row>
    <row r="3728" spans="1:2">
      <c r="A3728" s="461"/>
      <c r="B3728" s="461"/>
    </row>
    <row r="3729" spans="1:2">
      <c r="A3729" s="461"/>
      <c r="B3729" s="461"/>
    </row>
    <row r="3730" spans="1:2">
      <c r="A3730" s="461"/>
      <c r="B3730" s="461"/>
    </row>
    <row r="3731" spans="1:2">
      <c r="A3731" s="461"/>
      <c r="B3731" s="461"/>
    </row>
    <row r="3732" spans="1:2">
      <c r="A3732" s="461"/>
      <c r="B3732" s="461"/>
    </row>
    <row r="3733" spans="1:2">
      <c r="A3733" s="461"/>
      <c r="B3733" s="461"/>
    </row>
    <row r="3734" spans="1:2">
      <c r="A3734" s="461"/>
      <c r="B3734" s="461"/>
    </row>
    <row r="3735" spans="1:2">
      <c r="A3735" s="461"/>
      <c r="B3735" s="461"/>
    </row>
    <row r="3736" spans="1:2">
      <c r="A3736" s="461"/>
      <c r="B3736" s="461"/>
    </row>
    <row r="3737" spans="1:2">
      <c r="A3737" s="461"/>
      <c r="B3737" s="461"/>
    </row>
    <row r="3738" spans="1:2">
      <c r="A3738" s="461"/>
      <c r="B3738" s="461"/>
    </row>
    <row r="3739" spans="1:2">
      <c r="A3739" s="461"/>
      <c r="B3739" s="461"/>
    </row>
    <row r="3740" spans="1:2">
      <c r="A3740" s="461"/>
      <c r="B3740" s="461"/>
    </row>
    <row r="3741" spans="1:2">
      <c r="A3741" s="461"/>
      <c r="B3741" s="461"/>
    </row>
    <row r="3742" spans="1:2">
      <c r="A3742" s="461"/>
      <c r="B3742" s="461"/>
    </row>
    <row r="3743" spans="1:2">
      <c r="A3743" s="461"/>
      <c r="B3743" s="461"/>
    </row>
    <row r="3744" spans="1:2">
      <c r="A3744" s="461"/>
      <c r="B3744" s="461"/>
    </row>
    <row r="3745" spans="1:2">
      <c r="A3745" s="461"/>
      <c r="B3745" s="461"/>
    </row>
    <row r="3746" spans="1:2">
      <c r="A3746" s="461"/>
      <c r="B3746" s="461"/>
    </row>
    <row r="3747" spans="1:2">
      <c r="A3747" s="461"/>
      <c r="B3747" s="461"/>
    </row>
    <row r="3748" spans="1:2">
      <c r="A3748" s="461"/>
      <c r="B3748" s="461"/>
    </row>
    <row r="3749" spans="1:2">
      <c r="A3749" s="461"/>
      <c r="B3749" s="461"/>
    </row>
    <row r="3750" spans="1:2">
      <c r="A3750" s="461"/>
      <c r="B3750" s="461"/>
    </row>
    <row r="3751" spans="1:2">
      <c r="A3751" s="461"/>
      <c r="B3751" s="461"/>
    </row>
    <row r="3752" spans="1:2">
      <c r="A3752" s="461"/>
      <c r="B3752" s="461"/>
    </row>
    <row r="3753" spans="1:2">
      <c r="A3753" s="461"/>
      <c r="B3753" s="461"/>
    </row>
    <row r="3754" spans="1:2">
      <c r="A3754" s="461"/>
      <c r="B3754" s="461"/>
    </row>
    <row r="3755" spans="1:2">
      <c r="A3755" s="461"/>
      <c r="B3755" s="461"/>
    </row>
    <row r="3756" spans="1:2">
      <c r="A3756" s="461"/>
      <c r="B3756" s="461"/>
    </row>
    <row r="3757" spans="1:2">
      <c r="A3757" s="461"/>
      <c r="B3757" s="461"/>
    </row>
    <row r="3758" spans="1:2">
      <c r="A3758" s="461"/>
      <c r="B3758" s="461"/>
    </row>
    <row r="3759" spans="1:2">
      <c r="A3759" s="461"/>
      <c r="B3759" s="461"/>
    </row>
    <row r="3760" spans="1:2">
      <c r="A3760" s="461"/>
      <c r="B3760" s="461"/>
    </row>
    <row r="3761" spans="1:2">
      <c r="A3761" s="461"/>
      <c r="B3761" s="461"/>
    </row>
    <row r="3762" spans="1:2">
      <c r="A3762" s="461"/>
      <c r="B3762" s="461"/>
    </row>
    <row r="3763" spans="1:2">
      <c r="A3763" s="461"/>
      <c r="B3763" s="461"/>
    </row>
    <row r="3764" spans="1:2">
      <c r="A3764" s="461"/>
      <c r="B3764" s="461"/>
    </row>
    <row r="3765" spans="1:2">
      <c r="A3765" s="461"/>
      <c r="B3765" s="461"/>
    </row>
    <row r="3766" spans="1:2">
      <c r="A3766" s="461"/>
      <c r="B3766" s="461"/>
    </row>
    <row r="3767" spans="1:2">
      <c r="A3767" s="461"/>
      <c r="B3767" s="461"/>
    </row>
    <row r="3768" spans="1:2">
      <c r="A3768" s="461"/>
      <c r="B3768" s="461"/>
    </row>
    <row r="3769" spans="1:2">
      <c r="A3769" s="461"/>
      <c r="B3769" s="461"/>
    </row>
    <row r="3770" spans="1:2">
      <c r="A3770" s="461"/>
      <c r="B3770" s="461"/>
    </row>
    <row r="3771" spans="1:2">
      <c r="A3771" s="461"/>
      <c r="B3771" s="461"/>
    </row>
    <row r="3772" spans="1:2">
      <c r="A3772" s="461"/>
      <c r="B3772" s="461"/>
    </row>
    <row r="3773" spans="1:2">
      <c r="A3773" s="461"/>
      <c r="B3773" s="461"/>
    </row>
    <row r="3774" spans="1:2">
      <c r="A3774" s="461"/>
      <c r="B3774" s="461"/>
    </row>
    <row r="3775" spans="1:2">
      <c r="A3775" s="461"/>
      <c r="B3775" s="461"/>
    </row>
    <row r="3776" spans="1:2">
      <c r="A3776" s="461"/>
      <c r="B3776" s="461"/>
    </row>
    <row r="3777" spans="1:2">
      <c r="A3777" s="461"/>
      <c r="B3777" s="461"/>
    </row>
    <row r="3778" spans="1:2">
      <c r="A3778" s="461"/>
      <c r="B3778" s="461"/>
    </row>
    <row r="3779" spans="1:2">
      <c r="A3779" s="461"/>
      <c r="B3779" s="461"/>
    </row>
    <row r="3780" spans="1:2">
      <c r="A3780" s="461"/>
      <c r="B3780" s="461"/>
    </row>
    <row r="3781" spans="1:2">
      <c r="A3781" s="461"/>
      <c r="B3781" s="461"/>
    </row>
    <row r="3782" spans="1:2">
      <c r="A3782" s="461"/>
      <c r="B3782" s="461"/>
    </row>
    <row r="3783" spans="1:2">
      <c r="A3783" s="461"/>
      <c r="B3783" s="461"/>
    </row>
    <row r="3784" spans="1:2">
      <c r="A3784" s="461"/>
      <c r="B3784" s="461"/>
    </row>
    <row r="3785" spans="1:2">
      <c r="A3785" s="461"/>
      <c r="B3785" s="461"/>
    </row>
    <row r="3786" spans="1:2">
      <c r="A3786" s="461"/>
      <c r="B3786" s="461"/>
    </row>
    <row r="3787" spans="1:2">
      <c r="A3787" s="461"/>
      <c r="B3787" s="461"/>
    </row>
    <row r="3788" spans="1:2">
      <c r="A3788" s="461"/>
      <c r="B3788" s="461"/>
    </row>
    <row r="3789" spans="1:2">
      <c r="A3789" s="461"/>
      <c r="B3789" s="461"/>
    </row>
    <row r="3790" spans="1:2">
      <c r="A3790" s="461"/>
      <c r="B3790" s="461"/>
    </row>
    <row r="3791" spans="1:2">
      <c r="A3791" s="461"/>
      <c r="B3791" s="461"/>
    </row>
    <row r="3792" spans="1:2">
      <c r="A3792" s="461"/>
      <c r="B3792" s="461"/>
    </row>
    <row r="3793" spans="1:2">
      <c r="A3793" s="461"/>
      <c r="B3793" s="461"/>
    </row>
    <row r="3794" spans="1:2">
      <c r="A3794" s="461"/>
      <c r="B3794" s="461"/>
    </row>
    <row r="3795" spans="1:2">
      <c r="A3795" s="461"/>
      <c r="B3795" s="461"/>
    </row>
    <row r="3796" spans="1:2">
      <c r="A3796" s="461"/>
      <c r="B3796" s="461"/>
    </row>
    <row r="3797" spans="1:2">
      <c r="A3797" s="461"/>
      <c r="B3797" s="461"/>
    </row>
    <row r="3798" spans="1:2">
      <c r="A3798" s="461"/>
      <c r="B3798" s="461"/>
    </row>
    <row r="3799" spans="1:2">
      <c r="A3799" s="461"/>
      <c r="B3799" s="461"/>
    </row>
    <row r="3800" spans="1:2">
      <c r="A3800" s="461"/>
      <c r="B3800" s="461"/>
    </row>
    <row r="3801" spans="1:2">
      <c r="A3801" s="461"/>
      <c r="B3801" s="461"/>
    </row>
    <row r="3802" spans="1:2">
      <c r="A3802" s="461"/>
      <c r="B3802" s="461"/>
    </row>
    <row r="3803" spans="1:2">
      <c r="A3803" s="461"/>
      <c r="B3803" s="461"/>
    </row>
    <row r="3804" spans="1:2">
      <c r="A3804" s="461"/>
      <c r="B3804" s="461"/>
    </row>
    <row r="3805" spans="1:2">
      <c r="A3805" s="461"/>
      <c r="B3805" s="461"/>
    </row>
    <row r="3806" spans="1:2">
      <c r="A3806" s="461"/>
      <c r="B3806" s="461"/>
    </row>
    <row r="3807" spans="1:2">
      <c r="A3807" s="461"/>
      <c r="B3807" s="461"/>
    </row>
    <row r="3808" spans="1:2">
      <c r="A3808" s="461"/>
      <c r="B3808" s="461"/>
    </row>
    <row r="3809" spans="1:2">
      <c r="A3809" s="461"/>
      <c r="B3809" s="461"/>
    </row>
    <row r="3810" spans="1:2">
      <c r="A3810" s="461"/>
      <c r="B3810" s="461"/>
    </row>
    <row r="3811" spans="1:2">
      <c r="A3811" s="461"/>
      <c r="B3811" s="461"/>
    </row>
    <row r="3812" spans="1:2">
      <c r="A3812" s="461"/>
      <c r="B3812" s="461"/>
    </row>
    <row r="3813" spans="1:2">
      <c r="A3813" s="461"/>
      <c r="B3813" s="461"/>
    </row>
    <row r="3814" spans="1:2">
      <c r="A3814" s="461"/>
      <c r="B3814" s="461"/>
    </row>
    <row r="3815" spans="1:2">
      <c r="A3815" s="461"/>
      <c r="B3815" s="461"/>
    </row>
    <row r="3816" spans="1:2">
      <c r="A3816" s="461"/>
      <c r="B3816" s="461"/>
    </row>
    <row r="3817" spans="1:2">
      <c r="A3817" s="461"/>
      <c r="B3817" s="461"/>
    </row>
    <row r="3818" spans="1:2">
      <c r="A3818" s="461"/>
      <c r="B3818" s="461"/>
    </row>
    <row r="3819" spans="1:2">
      <c r="A3819" s="461"/>
      <c r="B3819" s="461"/>
    </row>
    <row r="3820" spans="1:2">
      <c r="A3820" s="461"/>
      <c r="B3820" s="461"/>
    </row>
    <row r="3821" spans="1:2">
      <c r="A3821" s="461"/>
      <c r="B3821" s="461"/>
    </row>
    <row r="3822" spans="1:2">
      <c r="A3822" s="461"/>
      <c r="B3822" s="461"/>
    </row>
    <row r="3823" spans="1:2">
      <c r="A3823" s="461"/>
      <c r="B3823" s="461"/>
    </row>
    <row r="3824" spans="1:2">
      <c r="A3824" s="461"/>
      <c r="B3824" s="461"/>
    </row>
    <row r="3825" spans="1:2">
      <c r="A3825" s="461"/>
      <c r="B3825" s="461"/>
    </row>
    <row r="3826" spans="1:2">
      <c r="A3826" s="461"/>
      <c r="B3826" s="461"/>
    </row>
    <row r="3827" spans="1:2">
      <c r="A3827" s="461"/>
      <c r="B3827" s="461"/>
    </row>
    <row r="3828" spans="1:2">
      <c r="A3828" s="461"/>
      <c r="B3828" s="461"/>
    </row>
    <row r="3829" spans="1:2">
      <c r="A3829" s="461"/>
      <c r="B3829" s="461"/>
    </row>
    <row r="3830" spans="1:2">
      <c r="A3830" s="461"/>
      <c r="B3830" s="461"/>
    </row>
    <row r="3831" spans="1:2">
      <c r="A3831" s="461"/>
      <c r="B3831" s="461"/>
    </row>
    <row r="3832" spans="1:2">
      <c r="A3832" s="461"/>
      <c r="B3832" s="461"/>
    </row>
    <row r="3833" spans="1:2">
      <c r="A3833" s="461"/>
      <c r="B3833" s="461"/>
    </row>
    <row r="3834" spans="1:2">
      <c r="A3834" s="461"/>
      <c r="B3834" s="461"/>
    </row>
    <row r="3835" spans="1:2">
      <c r="A3835" s="461"/>
      <c r="B3835" s="461"/>
    </row>
    <row r="3836" spans="1:2">
      <c r="A3836" s="461"/>
      <c r="B3836" s="461"/>
    </row>
    <row r="3837" spans="1:2">
      <c r="A3837" s="461"/>
      <c r="B3837" s="461"/>
    </row>
    <row r="3838" spans="1:2">
      <c r="A3838" s="461"/>
      <c r="B3838" s="461"/>
    </row>
    <row r="3839" spans="1:2">
      <c r="A3839" s="461"/>
      <c r="B3839" s="461"/>
    </row>
    <row r="3840" spans="1:2">
      <c r="A3840" s="461"/>
      <c r="B3840" s="461"/>
    </row>
    <row r="3841" spans="1:2">
      <c r="A3841" s="461"/>
      <c r="B3841" s="461"/>
    </row>
    <row r="3842" spans="1:2">
      <c r="A3842" s="461"/>
      <c r="B3842" s="461"/>
    </row>
    <row r="3843" spans="1:2">
      <c r="A3843" s="461"/>
      <c r="B3843" s="461"/>
    </row>
    <row r="3844" spans="1:2">
      <c r="A3844" s="461"/>
      <c r="B3844" s="461"/>
    </row>
    <row r="3845" spans="1:2">
      <c r="A3845" s="461"/>
      <c r="B3845" s="461"/>
    </row>
    <row r="3846" spans="1:2">
      <c r="A3846" s="461"/>
      <c r="B3846" s="461"/>
    </row>
    <row r="3847" spans="1:2">
      <c r="A3847" s="461"/>
      <c r="B3847" s="461"/>
    </row>
    <row r="3848" spans="1:2">
      <c r="A3848" s="461"/>
      <c r="B3848" s="461"/>
    </row>
    <row r="3849" spans="1:2">
      <c r="A3849" s="461"/>
      <c r="B3849" s="461"/>
    </row>
    <row r="3850" spans="1:2">
      <c r="A3850" s="461"/>
      <c r="B3850" s="461"/>
    </row>
    <row r="3851" spans="1:2">
      <c r="A3851" s="461"/>
      <c r="B3851" s="461"/>
    </row>
    <row r="3852" spans="1:2">
      <c r="A3852" s="461"/>
      <c r="B3852" s="461"/>
    </row>
    <row r="3853" spans="1:2">
      <c r="A3853" s="461"/>
      <c r="B3853" s="461"/>
    </row>
    <row r="3854" spans="1:2">
      <c r="A3854" s="461"/>
      <c r="B3854" s="461"/>
    </row>
    <row r="3855" spans="1:2">
      <c r="A3855" s="461"/>
      <c r="B3855" s="461"/>
    </row>
    <row r="3856" spans="1:2">
      <c r="A3856" s="461"/>
      <c r="B3856" s="461"/>
    </row>
    <row r="3857" spans="1:2">
      <c r="A3857" s="461"/>
      <c r="B3857" s="461"/>
    </row>
    <row r="3858" spans="1:2">
      <c r="A3858" s="461"/>
      <c r="B3858" s="461"/>
    </row>
    <row r="3859" spans="1:2">
      <c r="A3859" s="461"/>
      <c r="B3859" s="461"/>
    </row>
    <row r="3860" spans="1:2">
      <c r="A3860" s="461"/>
      <c r="B3860" s="461"/>
    </row>
    <row r="3861" spans="1:2">
      <c r="A3861" s="461"/>
      <c r="B3861" s="461"/>
    </row>
    <row r="3862" spans="1:2">
      <c r="A3862" s="461"/>
      <c r="B3862" s="461"/>
    </row>
    <row r="3863" spans="1:2">
      <c r="A3863" s="461"/>
      <c r="B3863" s="461"/>
    </row>
    <row r="3864" spans="1:2">
      <c r="A3864" s="461"/>
      <c r="B3864" s="461"/>
    </row>
    <row r="3865" spans="1:2">
      <c r="A3865" s="461"/>
      <c r="B3865" s="461"/>
    </row>
    <row r="3866" spans="1:2">
      <c r="A3866" s="461"/>
      <c r="B3866" s="461"/>
    </row>
    <row r="3867" spans="1:2">
      <c r="A3867" s="461"/>
      <c r="B3867" s="461"/>
    </row>
    <row r="3868" spans="1:2">
      <c r="A3868" s="461"/>
      <c r="B3868" s="461"/>
    </row>
    <row r="3869" spans="1:2">
      <c r="A3869" s="461"/>
      <c r="B3869" s="461"/>
    </row>
    <row r="3870" spans="1:2">
      <c r="A3870" s="461"/>
      <c r="B3870" s="461"/>
    </row>
    <row r="3871" spans="1:2">
      <c r="A3871" s="461"/>
      <c r="B3871" s="461"/>
    </row>
    <row r="3872" spans="1:2">
      <c r="A3872" s="461"/>
      <c r="B3872" s="461"/>
    </row>
    <row r="3873" spans="1:2">
      <c r="A3873" s="461"/>
      <c r="B3873" s="461"/>
    </row>
    <row r="3874" spans="1:2">
      <c r="A3874" s="461"/>
      <c r="B3874" s="461"/>
    </row>
    <row r="3875" spans="1:2">
      <c r="A3875" s="461"/>
      <c r="B3875" s="461"/>
    </row>
    <row r="3876" spans="1:2">
      <c r="A3876" s="461"/>
      <c r="B3876" s="461"/>
    </row>
    <row r="3877" spans="1:2">
      <c r="A3877" s="461"/>
      <c r="B3877" s="461"/>
    </row>
    <row r="3878" spans="1:2">
      <c r="A3878" s="461"/>
      <c r="B3878" s="461"/>
    </row>
    <row r="3879" spans="1:2">
      <c r="A3879" s="461"/>
      <c r="B3879" s="461"/>
    </row>
    <row r="3880" spans="1:2">
      <c r="A3880" s="461"/>
      <c r="B3880" s="461"/>
    </row>
    <row r="3881" spans="1:2">
      <c r="A3881" s="461"/>
      <c r="B3881" s="461"/>
    </row>
    <row r="3882" spans="1:2">
      <c r="A3882" s="461"/>
      <c r="B3882" s="461"/>
    </row>
    <row r="3883" spans="1:2">
      <c r="A3883" s="461"/>
      <c r="B3883" s="461"/>
    </row>
    <row r="3884" spans="1:2">
      <c r="A3884" s="461"/>
      <c r="B3884" s="461"/>
    </row>
    <row r="3885" spans="1:2">
      <c r="A3885" s="461"/>
      <c r="B3885" s="461"/>
    </row>
    <row r="3886" spans="1:2">
      <c r="A3886" s="461"/>
      <c r="B3886" s="461"/>
    </row>
    <row r="3887" spans="1:2">
      <c r="A3887" s="461"/>
      <c r="B3887" s="461"/>
    </row>
    <row r="3888" spans="1:2">
      <c r="A3888" s="461"/>
      <c r="B3888" s="461"/>
    </row>
    <row r="3889" spans="1:2">
      <c r="A3889" s="461"/>
      <c r="B3889" s="461"/>
    </row>
    <row r="3890" spans="1:2">
      <c r="A3890" s="461"/>
      <c r="B3890" s="461"/>
    </row>
    <row r="3891" spans="1:2">
      <c r="A3891" s="461"/>
      <c r="B3891" s="461"/>
    </row>
    <row r="3892" spans="1:2">
      <c r="A3892" s="461"/>
      <c r="B3892" s="461"/>
    </row>
    <row r="3893" spans="1:2">
      <c r="A3893" s="461"/>
      <c r="B3893" s="461"/>
    </row>
    <row r="3894" spans="1:2">
      <c r="A3894" s="461"/>
      <c r="B3894" s="461"/>
    </row>
    <row r="3895" spans="1:2">
      <c r="A3895" s="461"/>
      <c r="B3895" s="461"/>
    </row>
    <row r="3896" spans="1:2">
      <c r="A3896" s="461"/>
      <c r="B3896" s="461"/>
    </row>
    <row r="3897" spans="1:2">
      <c r="A3897" s="461"/>
      <c r="B3897" s="461"/>
    </row>
    <row r="3898" spans="1:2">
      <c r="A3898" s="461"/>
      <c r="B3898" s="461"/>
    </row>
    <row r="3899" spans="1:2">
      <c r="A3899" s="461"/>
      <c r="B3899" s="461"/>
    </row>
    <row r="3900" spans="1:2">
      <c r="A3900" s="461"/>
      <c r="B3900" s="461"/>
    </row>
    <row r="3901" spans="1:2">
      <c r="A3901" s="461"/>
      <c r="B3901" s="461"/>
    </row>
    <row r="3902" spans="1:2">
      <c r="A3902" s="461"/>
      <c r="B3902" s="461"/>
    </row>
    <row r="3903" spans="1:2">
      <c r="A3903" s="461"/>
      <c r="B3903" s="461"/>
    </row>
    <row r="3904" spans="1:2">
      <c r="A3904" s="461"/>
      <c r="B3904" s="461"/>
    </row>
    <row r="3905" spans="1:2">
      <c r="A3905" s="461"/>
      <c r="B3905" s="461"/>
    </row>
    <row r="3906" spans="1:2">
      <c r="A3906" s="461"/>
      <c r="B3906" s="461"/>
    </row>
    <row r="3907" spans="1:2">
      <c r="A3907" s="461"/>
      <c r="B3907" s="461"/>
    </row>
    <row r="3908" spans="1:2">
      <c r="A3908" s="461"/>
      <c r="B3908" s="461"/>
    </row>
    <row r="3909" spans="1:2">
      <c r="A3909" s="461"/>
      <c r="B3909" s="461"/>
    </row>
    <row r="3910" spans="1:2">
      <c r="A3910" s="461"/>
      <c r="B3910" s="461"/>
    </row>
    <row r="3911" spans="1:2">
      <c r="A3911" s="461"/>
      <c r="B3911" s="461"/>
    </row>
    <row r="3912" spans="1:2">
      <c r="A3912" s="461"/>
      <c r="B3912" s="461"/>
    </row>
    <row r="3913" spans="1:2">
      <c r="A3913" s="461"/>
      <c r="B3913" s="461"/>
    </row>
    <row r="3914" spans="1:2">
      <c r="A3914" s="461"/>
      <c r="B3914" s="461"/>
    </row>
    <row r="3915" spans="1:2">
      <c r="A3915" s="461"/>
      <c r="B3915" s="461"/>
    </row>
    <row r="3916" spans="1:2">
      <c r="A3916" s="461"/>
      <c r="B3916" s="461"/>
    </row>
    <row r="3917" spans="1:2">
      <c r="A3917" s="461"/>
      <c r="B3917" s="461"/>
    </row>
    <row r="3918" spans="1:2">
      <c r="A3918" s="461"/>
      <c r="B3918" s="461"/>
    </row>
    <row r="3919" spans="1:2">
      <c r="A3919" s="461"/>
      <c r="B3919" s="461"/>
    </row>
    <row r="3920" spans="1:2">
      <c r="A3920" s="461"/>
      <c r="B3920" s="461"/>
    </row>
    <row r="3921" spans="1:2">
      <c r="A3921" s="461"/>
      <c r="B3921" s="461"/>
    </row>
    <row r="3922" spans="1:2">
      <c r="A3922" s="461"/>
      <c r="B3922" s="461"/>
    </row>
    <row r="3923" spans="1:2">
      <c r="A3923" s="461"/>
      <c r="B3923" s="461"/>
    </row>
    <row r="3924" spans="1:2">
      <c r="A3924" s="461"/>
      <c r="B3924" s="461"/>
    </row>
    <row r="3925" spans="1:2">
      <c r="A3925" s="461"/>
      <c r="B3925" s="461"/>
    </row>
    <row r="3926" spans="1:2">
      <c r="A3926" s="461"/>
      <c r="B3926" s="461"/>
    </row>
    <row r="3927" spans="1:2">
      <c r="A3927" s="461"/>
      <c r="B3927" s="461"/>
    </row>
    <row r="3928" spans="1:2">
      <c r="A3928" s="461"/>
      <c r="B3928" s="461"/>
    </row>
    <row r="3929" spans="1:2">
      <c r="A3929" s="461"/>
      <c r="B3929" s="461"/>
    </row>
    <row r="3930" spans="1:2">
      <c r="A3930" s="461"/>
      <c r="B3930" s="461"/>
    </row>
    <row r="3931" spans="1:2">
      <c r="A3931" s="461"/>
      <c r="B3931" s="461"/>
    </row>
    <row r="3932" spans="1:2">
      <c r="A3932" s="461"/>
      <c r="B3932" s="461"/>
    </row>
    <row r="3933" spans="1:2">
      <c r="A3933" s="461"/>
      <c r="B3933" s="461"/>
    </row>
    <row r="3934" spans="1:2">
      <c r="A3934" s="461"/>
      <c r="B3934" s="461"/>
    </row>
    <row r="3935" spans="1:2">
      <c r="A3935" s="461"/>
      <c r="B3935" s="461"/>
    </row>
    <row r="3936" spans="1:2">
      <c r="A3936" s="461"/>
      <c r="B3936" s="461"/>
    </row>
    <row r="3937" spans="1:2">
      <c r="A3937" s="461"/>
      <c r="B3937" s="461"/>
    </row>
    <row r="3938" spans="1:2">
      <c r="A3938" s="461"/>
      <c r="B3938" s="461"/>
    </row>
    <row r="3939" spans="1:2">
      <c r="A3939" s="461"/>
      <c r="B3939" s="461"/>
    </row>
    <row r="3940" spans="1:2">
      <c r="A3940" s="461"/>
      <c r="B3940" s="461"/>
    </row>
    <row r="3941" spans="1:2">
      <c r="A3941" s="461"/>
      <c r="B3941" s="461"/>
    </row>
    <row r="3942" spans="1:2">
      <c r="A3942" s="461"/>
      <c r="B3942" s="461"/>
    </row>
    <row r="3943" spans="1:2">
      <c r="A3943" s="461"/>
      <c r="B3943" s="461"/>
    </row>
    <row r="3944" spans="1:2">
      <c r="A3944" s="461"/>
      <c r="B3944" s="461"/>
    </row>
    <row r="3945" spans="1:2">
      <c r="A3945" s="461"/>
      <c r="B3945" s="461"/>
    </row>
    <row r="3946" spans="1:2">
      <c r="A3946" s="461"/>
      <c r="B3946" s="461"/>
    </row>
    <row r="3947" spans="1:2">
      <c r="A3947" s="461"/>
      <c r="B3947" s="461"/>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activeCell="O6" sqref="O6"/>
      <selection pane="topRight" activeCell="O6" sqref="O6"/>
      <selection pane="bottomLeft" activeCell="O6" sqref="O6"/>
      <selection pane="bottomRight" activeCell="O6" sqref="O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04" t="s">
        <v>102</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04" t="s">
        <v>99</v>
      </c>
      <c r="D8" s="452">
        <v>547</v>
      </c>
      <c r="F8" s="369">
        <f t="shared" si="0"/>
        <v>124839938</v>
      </c>
      <c r="G8" s="371">
        <v>5026392</v>
      </c>
      <c r="H8" s="371">
        <v>7894662</v>
      </c>
      <c r="I8" s="371">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399" t="s">
        <v>98</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04" t="s">
        <v>97</v>
      </c>
      <c r="D10" s="368">
        <v>11</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04" t="s">
        <v>95</v>
      </c>
      <c r="D11" s="453">
        <v>55700003</v>
      </c>
      <c r="E11" s="453"/>
      <c r="F11" s="369">
        <f t="shared" si="0"/>
        <v>446664</v>
      </c>
      <c r="G11" s="371">
        <v>31295</v>
      </c>
      <c r="H11" s="371">
        <v>61045</v>
      </c>
      <c r="I11" s="371">
        <v>24569</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04" t="s">
        <v>94</v>
      </c>
      <c r="D12" s="453">
        <v>447</v>
      </c>
      <c r="F12" s="369">
        <f t="shared" si="0"/>
        <v>-89323512</v>
      </c>
      <c r="G12" s="371">
        <v>-2689153</v>
      </c>
      <c r="H12" s="371">
        <v>-3954384</v>
      </c>
      <c r="I12" s="371">
        <v>-4383362</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04" t="s">
        <v>93</v>
      </c>
      <c r="D13" s="453">
        <v>565</v>
      </c>
      <c r="F13" s="369">
        <f t="shared" si="0"/>
        <v>115807778</v>
      </c>
      <c r="G13" s="371">
        <v>9742317</v>
      </c>
      <c r="H13" s="371">
        <v>9668270</v>
      </c>
      <c r="I13" s="371">
        <v>9531005</v>
      </c>
      <c r="J13" s="371">
        <v>9472832</v>
      </c>
      <c r="K13" s="371">
        <v>9156560</v>
      </c>
      <c r="L13" s="371">
        <v>9392381</v>
      </c>
      <c r="M13" s="371">
        <v>9285812</v>
      </c>
      <c r="N13" s="371">
        <v>10038659</v>
      </c>
      <c r="O13" s="371">
        <v>9766167</v>
      </c>
      <c r="P13" s="371">
        <v>9970355</v>
      </c>
      <c r="Q13" s="371">
        <v>9839390</v>
      </c>
      <c r="R13" s="372">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00"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2">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f t="shared" ref="F15:R15" si="1">SUM(F7:F14)</f>
        <v>671135345.84000003</v>
      </c>
      <c r="G15" s="377">
        <f t="shared" si="1"/>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04" t="s">
        <v>102</v>
      </c>
      <c r="D18" s="452">
        <v>501</v>
      </c>
      <c r="E18" s="388" t="s">
        <v>119</v>
      </c>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04" t="s">
        <v>99</v>
      </c>
      <c r="D19" s="452">
        <v>547</v>
      </c>
      <c r="E19" s="388" t="s">
        <v>118</v>
      </c>
      <c r="F19" s="382">
        <f t="shared" si="2"/>
        <v>1063362</v>
      </c>
      <c r="G19" s="371">
        <v>1063362</v>
      </c>
      <c r="H19" s="371"/>
      <c r="I19" s="371"/>
      <c r="J19" s="371"/>
      <c r="K19" s="371"/>
      <c r="L19" s="372"/>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399" t="s">
        <v>98</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04" t="s">
        <v>97</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04" t="s">
        <v>95</v>
      </c>
      <c r="D22" s="453">
        <v>55700003</v>
      </c>
      <c r="E22" s="390"/>
      <c r="F22" s="382">
        <f t="shared" si="2"/>
        <v>0</v>
      </c>
      <c r="G22" s="382"/>
      <c r="H22" s="369"/>
      <c r="I22" s="369"/>
      <c r="J22" s="370"/>
      <c r="K22" s="369"/>
      <c r="L22" s="369"/>
      <c r="M22" s="369"/>
      <c r="N22" s="369"/>
      <c r="O22" s="369"/>
      <c r="P22" s="369"/>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04" t="s">
        <v>94</v>
      </c>
      <c r="D23" s="452">
        <v>447</v>
      </c>
      <c r="E23" s="390"/>
      <c r="F23" s="382">
        <f t="shared" si="2"/>
        <v>0</v>
      </c>
      <c r="G23" s="382"/>
      <c r="H23" s="369"/>
      <c r="I23" s="369"/>
      <c r="J23" s="369"/>
      <c r="K23" s="369"/>
      <c r="L23" s="369"/>
      <c r="M23" s="369"/>
      <c r="N23" s="370"/>
      <c r="O23" s="371"/>
      <c r="P23" s="370"/>
      <c r="Q23" s="369"/>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04" t="s">
        <v>93</v>
      </c>
      <c r="D24" s="452">
        <v>565</v>
      </c>
      <c r="E24" s="390"/>
      <c r="F24" s="382">
        <f t="shared" si="2"/>
        <v>0</v>
      </c>
      <c r="G24" s="382"/>
      <c r="H24" s="369"/>
      <c r="I24" s="369"/>
      <c r="J24" s="369"/>
      <c r="K24" s="369"/>
      <c r="L24" s="369"/>
      <c r="M24" s="369"/>
      <c r="N24" s="369"/>
      <c r="O24" s="371"/>
      <c r="P24" s="369"/>
      <c r="Q24" s="370"/>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00"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04" t="s">
        <v>102</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04" t="s">
        <v>99</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399" t="s">
        <v>98</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04" t="s">
        <v>97</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04" t="s">
        <v>95</v>
      </c>
      <c r="D33" s="452">
        <v>55700003</v>
      </c>
      <c r="F33" s="382">
        <f t="shared" si="4"/>
        <v>446664</v>
      </c>
      <c r="G33" s="382">
        <f t="shared" ref="G33:R33" si="9">G22+G11</f>
        <v>31295</v>
      </c>
      <c r="H33" s="382">
        <f t="shared" si="9"/>
        <v>61045</v>
      </c>
      <c r="I33" s="382">
        <f t="shared" si="9"/>
        <v>24569</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04" t="s">
        <v>94</v>
      </c>
      <c r="D34" s="452">
        <v>447</v>
      </c>
      <c r="F34" s="382">
        <f t="shared" si="4"/>
        <v>-89323512</v>
      </c>
      <c r="G34" s="382">
        <f t="shared" ref="G34:R34" si="10">G23+G12</f>
        <v>-2689153</v>
      </c>
      <c r="H34" s="382">
        <f t="shared" si="10"/>
        <v>-3954384</v>
      </c>
      <c r="I34" s="382">
        <f t="shared" si="10"/>
        <v>-4383362</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04" t="s">
        <v>93</v>
      </c>
      <c r="D35" s="452">
        <v>565</v>
      </c>
      <c r="F35" s="382">
        <f t="shared" si="4"/>
        <v>115807778</v>
      </c>
      <c r="G35" s="382">
        <f t="shared" ref="G35:R35" si="11">G24+G13</f>
        <v>9742317</v>
      </c>
      <c r="H35" s="382">
        <f t="shared" si="11"/>
        <v>9668270</v>
      </c>
      <c r="I35" s="382">
        <f t="shared" si="11"/>
        <v>9531005</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00" t="s">
        <v>92</v>
      </c>
      <c r="D36" s="452">
        <v>40810005</v>
      </c>
      <c r="F36" s="382">
        <f t="shared" si="4"/>
        <v>1346488</v>
      </c>
      <c r="G36" s="382">
        <f t="shared" ref="G36:M36" si="12">+G14+G25</f>
        <v>111694</v>
      </c>
      <c r="H36" s="382">
        <f t="shared" si="12"/>
        <v>127402</v>
      </c>
      <c r="I36" s="382">
        <f t="shared" si="12"/>
        <v>127402</v>
      </c>
      <c r="J36" s="382">
        <f t="shared" si="12"/>
        <v>178554</v>
      </c>
      <c r="K36" s="382">
        <f t="shared" si="12"/>
        <v>127402</v>
      </c>
      <c r="L36" s="382">
        <f t="shared" si="12"/>
        <v>127402</v>
      </c>
      <c r="M36" s="382">
        <f t="shared" si="12"/>
        <v>-53302</v>
      </c>
      <c r="N36" s="382">
        <f>+N14+N22</f>
        <v>127402</v>
      </c>
      <c r="O36" s="382">
        <f>+O14+O22</f>
        <v>127402</v>
      </c>
      <c r="P36" s="382">
        <f>+P14+P22</f>
        <v>90326</v>
      </c>
      <c r="Q36" s="382">
        <f>+Q14+Q22</f>
        <v>127402</v>
      </c>
      <c r="R36" s="382">
        <f>+R14+R22</f>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378"/>
      <c r="G41" s="378"/>
      <c r="H41" s="378"/>
      <c r="I41" s="378"/>
      <c r="J41" s="378"/>
      <c r="K41" s="378"/>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115</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F44" s="426">
        <f>SUM(F7:F10,F12,F13)</f>
        <v>669342193.84000003</v>
      </c>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0.5" customHeight="1">
      <c r="F45" s="426"/>
      <c r="G45" s="426"/>
      <c r="H45" s="426"/>
      <c r="I45" s="426"/>
      <c r="J45" s="426"/>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c r="D46" s="390"/>
      <c r="E46" s="390"/>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c r="C47" s="580"/>
      <c r="D47" s="580"/>
      <c r="E47" s="580"/>
      <c r="F47" s="26"/>
      <c r="G47" s="26"/>
      <c r="H47" s="26"/>
      <c r="I47" s="26"/>
      <c r="J47" s="26" t="s">
        <v>712</v>
      </c>
      <c r="K47" s="26" t="s">
        <v>713</v>
      </c>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c r="C48" s="580" t="s">
        <v>714</v>
      </c>
      <c r="D48" s="398"/>
      <c r="E48" s="580"/>
      <c r="F48" s="26"/>
      <c r="G48" s="26"/>
      <c r="H48" s="26"/>
      <c r="I48" s="26"/>
      <c r="J48" s="26">
        <f>+'CT Oil Valuation'!B5</f>
        <v>-1063362.3600000001</v>
      </c>
      <c r="K48" s="26">
        <f>-J48</f>
        <v>1063362.3600000001</v>
      </c>
      <c r="L48" s="426"/>
      <c r="M48" s="426"/>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5:247">
      <c r="F49" s="426"/>
      <c r="G49" s="426"/>
      <c r="H49" s="426"/>
      <c r="I49" s="426"/>
      <c r="J49" s="426"/>
      <c r="K49" s="426"/>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5:247">
      <c r="F50" s="382"/>
      <c r="G50" s="382"/>
      <c r="H50" s="382"/>
      <c r="I50" s="382"/>
      <c r="J50" s="382"/>
      <c r="K50" s="382"/>
      <c r="L50" s="382"/>
      <c r="M50" s="382"/>
      <c r="N50" s="382"/>
      <c r="O50" s="382"/>
      <c r="P50" s="382"/>
      <c r="Q50" s="382"/>
      <c r="R50" s="382"/>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5:247">
      <c r="F51" s="382"/>
      <c r="G51" s="382"/>
      <c r="H51" s="382"/>
      <c r="I51" s="382"/>
      <c r="J51" s="382"/>
      <c r="K51" s="382"/>
      <c r="L51" s="382"/>
      <c r="M51" s="382"/>
      <c r="N51" s="382"/>
      <c r="O51" s="382"/>
      <c r="P51" s="382"/>
      <c r="Q51" s="382"/>
      <c r="R51" s="382"/>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5:247">
      <c r="F52" s="382"/>
      <c r="G52" s="382"/>
      <c r="H52" s="382"/>
      <c r="I52" s="382"/>
      <c r="J52" s="382"/>
      <c r="K52" s="381"/>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5:247">
      <c r="F53" s="382"/>
      <c r="G53" s="382"/>
      <c r="H53" s="382"/>
      <c r="I53" s="382"/>
      <c r="J53" s="382"/>
      <c r="K53" s="381"/>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5:247">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5:247">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5:247">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5:247">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5:247">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5:247">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5:247">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5:247">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5:247">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5:247">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5:247">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6: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6: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6: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6: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6:247">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6:247">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6:247">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6:247">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6:247">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6:247">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6:247">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6: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6: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6: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6: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6: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f>1687-1991</f>
        <v>-304</v>
      </c>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f>G83*160</f>
        <v>-48640</v>
      </c>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
  <sheetViews>
    <sheetView workbookViewId="0">
      <selection activeCell="A6" sqref="A6"/>
    </sheetView>
  </sheetViews>
  <sheetFormatPr defaultRowHeight="12.75"/>
  <cols>
    <col min="1" max="1" width="25.28515625" style="29" bestFit="1" customWidth="1"/>
    <col min="2" max="2" width="12.28515625" style="29" bestFit="1" customWidth="1"/>
    <col min="3" max="5" width="8.42578125" style="29" bestFit="1" customWidth="1"/>
    <col min="6" max="13" width="7.28515625" style="29" bestFit="1" customWidth="1"/>
    <col min="14" max="14" width="12.28515625" style="29" bestFit="1" customWidth="1"/>
    <col min="15" max="16384" width="9.140625" style="29"/>
  </cols>
  <sheetData>
    <row r="4" spans="1:14" ht="15">
      <c r="A4" s="31" t="s">
        <v>27</v>
      </c>
      <c r="B4" s="30" t="s">
        <v>28</v>
      </c>
      <c r="C4" s="30" t="s">
        <v>699</v>
      </c>
      <c r="D4" s="30" t="s">
        <v>700</v>
      </c>
      <c r="E4" s="30" t="s">
        <v>701</v>
      </c>
      <c r="F4" s="30" t="s">
        <v>702</v>
      </c>
      <c r="G4" s="30" t="s">
        <v>703</v>
      </c>
      <c r="H4" s="30" t="s">
        <v>704</v>
      </c>
      <c r="I4" s="30" t="s">
        <v>705</v>
      </c>
      <c r="J4" s="30" t="s">
        <v>706</v>
      </c>
      <c r="K4" s="30" t="s">
        <v>707</v>
      </c>
      <c r="L4" s="30" t="s">
        <v>708</v>
      </c>
      <c r="M4" s="30" t="s">
        <v>709</v>
      </c>
      <c r="N4" s="30" t="s">
        <v>710</v>
      </c>
    </row>
    <row r="5" spans="1:14">
      <c r="A5" s="28" t="s">
        <v>711</v>
      </c>
      <c r="B5" s="27">
        <v>-1063362.3600000001</v>
      </c>
      <c r="C5" s="27">
        <v>0</v>
      </c>
      <c r="D5" s="27">
        <v>0</v>
      </c>
      <c r="E5" s="27">
        <v>0</v>
      </c>
      <c r="F5" s="27">
        <v>0</v>
      </c>
      <c r="G5" s="27">
        <v>0</v>
      </c>
      <c r="H5" s="27">
        <v>0</v>
      </c>
      <c r="I5" s="27">
        <v>0</v>
      </c>
      <c r="J5" s="27">
        <v>0</v>
      </c>
      <c r="K5" s="27">
        <v>0</v>
      </c>
      <c r="L5" s="27">
        <v>0</v>
      </c>
      <c r="M5" s="27">
        <v>0</v>
      </c>
      <c r="N5" s="27">
        <v>-1063362.3600000001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workbookViewId="0">
      <selection activeCell="O6" sqref="O6"/>
    </sheetView>
  </sheetViews>
  <sheetFormatPr defaultRowHeight="15"/>
  <cols>
    <col min="1" max="2" width="9.140625" style="613"/>
    <col min="3" max="3" width="15.85546875" style="613" customWidth="1"/>
    <col min="4" max="4" width="9.140625" style="613"/>
    <col min="5" max="5" width="14.7109375" style="613" bestFit="1" customWidth="1"/>
    <col min="6" max="6" width="10.5703125" style="613" bestFit="1" customWidth="1"/>
    <col min="7" max="7" width="11.5703125" style="613" bestFit="1" customWidth="1"/>
    <col min="8" max="16384" width="9.140625" style="613"/>
  </cols>
  <sheetData>
    <row r="1" spans="2:8">
      <c r="C1" s="855" t="s">
        <v>694</v>
      </c>
      <c r="D1" s="855"/>
      <c r="E1" s="855"/>
      <c r="F1" s="614"/>
    </row>
    <row r="2" spans="2:8">
      <c r="C2" s="855" t="s">
        <v>695</v>
      </c>
      <c r="D2" s="855"/>
      <c r="E2" s="855"/>
      <c r="F2" s="614"/>
    </row>
    <row r="3" spans="2:8">
      <c r="C3" s="855">
        <v>2018</v>
      </c>
      <c r="D3" s="855"/>
      <c r="E3" s="855"/>
      <c r="F3" s="614"/>
    </row>
    <row r="4" spans="2:8">
      <c r="C4" s="615"/>
      <c r="D4" s="615"/>
      <c r="E4" s="615"/>
      <c r="F4" s="614"/>
    </row>
    <row r="5" spans="2:8">
      <c r="C5" s="616" t="s">
        <v>687</v>
      </c>
      <c r="D5" s="616" t="s">
        <v>696</v>
      </c>
      <c r="E5" s="616" t="s">
        <v>697</v>
      </c>
    </row>
    <row r="6" spans="2:8">
      <c r="B6" s="617">
        <v>43466</v>
      </c>
      <c r="C6" s="618">
        <v>282720</v>
      </c>
      <c r="D6" s="619">
        <v>1.49</v>
      </c>
      <c r="E6" s="620">
        <f t="shared" ref="E6:E17" si="0">C6*D6</f>
        <v>421252.8</v>
      </c>
      <c r="F6" s="621">
        <v>421253</v>
      </c>
      <c r="G6" s="622">
        <f t="shared" ref="G6:G18" si="1">E6-F6</f>
        <v>-0.20000000001164153</v>
      </c>
    </row>
    <row r="7" spans="2:8">
      <c r="B7" s="617">
        <v>43497</v>
      </c>
      <c r="C7" s="618">
        <v>255360</v>
      </c>
      <c r="D7" s="619">
        <v>1.49</v>
      </c>
      <c r="E7" s="620">
        <f t="shared" si="0"/>
        <v>380486.40000000002</v>
      </c>
      <c r="F7" s="621">
        <v>380486</v>
      </c>
      <c r="G7" s="622">
        <f t="shared" si="1"/>
        <v>0.40000000002328306</v>
      </c>
    </row>
    <row r="8" spans="2:8">
      <c r="B8" s="617">
        <v>43525</v>
      </c>
      <c r="C8" s="618">
        <v>282340</v>
      </c>
      <c r="D8" s="619">
        <v>1.49</v>
      </c>
      <c r="E8" s="620">
        <f t="shared" si="0"/>
        <v>420686.6</v>
      </c>
      <c r="F8" s="621">
        <v>420687</v>
      </c>
      <c r="G8" s="622">
        <f t="shared" si="1"/>
        <v>-0.40000000002328306</v>
      </c>
    </row>
    <row r="9" spans="2:8">
      <c r="B9" s="617">
        <v>43556</v>
      </c>
      <c r="C9" s="618">
        <v>273600</v>
      </c>
      <c r="D9" s="619">
        <v>1.49</v>
      </c>
      <c r="E9" s="620">
        <f t="shared" si="0"/>
        <v>407664</v>
      </c>
      <c r="F9" s="621">
        <v>407664</v>
      </c>
      <c r="G9" s="622">
        <f t="shared" si="1"/>
        <v>0</v>
      </c>
    </row>
    <row r="10" spans="2:8">
      <c r="B10" s="617">
        <v>43586</v>
      </c>
      <c r="C10" s="618">
        <v>282720</v>
      </c>
      <c r="D10" s="619">
        <v>1.49</v>
      </c>
      <c r="E10" s="620">
        <f t="shared" si="0"/>
        <v>421252.8</v>
      </c>
      <c r="F10" s="621">
        <v>421253</v>
      </c>
      <c r="G10" s="622">
        <f t="shared" si="1"/>
        <v>-0.20000000001164153</v>
      </c>
    </row>
    <row r="11" spans="2:8">
      <c r="B11" s="617">
        <v>43617</v>
      </c>
      <c r="C11" s="618">
        <v>273600</v>
      </c>
      <c r="D11" s="619">
        <v>1.49</v>
      </c>
      <c r="E11" s="620">
        <f t="shared" si="0"/>
        <v>407664</v>
      </c>
      <c r="F11" s="621">
        <v>407664</v>
      </c>
      <c r="G11" s="623">
        <f t="shared" si="1"/>
        <v>0</v>
      </c>
    </row>
    <row r="12" spans="2:8">
      <c r="B12" s="617">
        <v>43647</v>
      </c>
      <c r="C12" s="618">
        <v>282720</v>
      </c>
      <c r="D12" s="619">
        <v>1.49</v>
      </c>
      <c r="E12" s="620">
        <f t="shared" si="0"/>
        <v>421252.8</v>
      </c>
      <c r="F12" s="621">
        <f>421253-924</f>
        <v>420329</v>
      </c>
      <c r="G12" s="623">
        <f t="shared" si="1"/>
        <v>923.79999999998836</v>
      </c>
      <c r="H12" s="624" t="s">
        <v>698</v>
      </c>
    </row>
    <row r="13" spans="2:8">
      <c r="B13" s="617">
        <v>43678</v>
      </c>
      <c r="C13" s="618">
        <v>282720</v>
      </c>
      <c r="D13" s="619">
        <v>1.49</v>
      </c>
      <c r="E13" s="620">
        <f t="shared" si="0"/>
        <v>421252.8</v>
      </c>
      <c r="F13" s="621">
        <v>421253</v>
      </c>
      <c r="G13" s="622">
        <f t="shared" si="1"/>
        <v>-0.20000000001164153</v>
      </c>
    </row>
    <row r="14" spans="2:8">
      <c r="B14" s="617">
        <v>43709</v>
      </c>
      <c r="C14" s="618">
        <v>273600</v>
      </c>
      <c r="D14" s="619">
        <v>1.49</v>
      </c>
      <c r="E14" s="620">
        <f t="shared" si="0"/>
        <v>407664</v>
      </c>
      <c r="F14" s="621">
        <v>407664</v>
      </c>
      <c r="G14" s="622">
        <f t="shared" si="1"/>
        <v>0</v>
      </c>
    </row>
    <row r="15" spans="2:8">
      <c r="B15" s="617">
        <v>43739</v>
      </c>
      <c r="C15" s="618">
        <v>282720</v>
      </c>
      <c r="D15" s="619">
        <v>1.49</v>
      </c>
      <c r="E15" s="620">
        <f t="shared" si="0"/>
        <v>421252.8</v>
      </c>
      <c r="F15" s="621">
        <v>421253</v>
      </c>
      <c r="G15" s="622">
        <f t="shared" si="1"/>
        <v>-0.20000000001164153</v>
      </c>
    </row>
    <row r="16" spans="2:8">
      <c r="B16" s="617">
        <v>43770</v>
      </c>
      <c r="C16" s="618">
        <v>273980</v>
      </c>
      <c r="D16" s="619">
        <v>1.49</v>
      </c>
      <c r="E16" s="620">
        <f t="shared" si="0"/>
        <v>408230.2</v>
      </c>
      <c r="F16" s="621">
        <v>408230</v>
      </c>
      <c r="G16" s="622">
        <f t="shared" si="1"/>
        <v>0.20000000001164153</v>
      </c>
    </row>
    <row r="17" spans="2:7">
      <c r="B17" s="617">
        <v>43800</v>
      </c>
      <c r="C17" s="618">
        <v>282720</v>
      </c>
      <c r="D17" s="619">
        <v>1.49</v>
      </c>
      <c r="E17" s="620">
        <f t="shared" si="0"/>
        <v>421252.8</v>
      </c>
      <c r="F17" s="621">
        <v>421252.8</v>
      </c>
      <c r="G17" s="622">
        <f t="shared" si="1"/>
        <v>0</v>
      </c>
    </row>
    <row r="18" spans="2:7" ht="15.75" thickBot="1">
      <c r="C18" s="625">
        <f>SUM(C6:C17)</f>
        <v>3328800</v>
      </c>
      <c r="E18" s="626">
        <f>SUM(E6:E17)</f>
        <v>4959911.9999999991</v>
      </c>
      <c r="F18" s="627">
        <f>SUM(F6:F17)</f>
        <v>4958988.8</v>
      </c>
      <c r="G18" s="622">
        <f t="shared" si="1"/>
        <v>923.19999999925494</v>
      </c>
    </row>
    <row r="19" spans="2:7" ht="15.75" thickTop="1"/>
  </sheetData>
  <mergeCells count="3">
    <mergeCell ref="C1:E1"/>
    <mergeCell ref="C2:E2"/>
    <mergeCell ref="C3:E3"/>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H44"/>
  <sheetViews>
    <sheetView zoomScale="85" zoomScaleNormal="85" workbookViewId="0">
      <selection activeCell="C26" sqref="C26"/>
    </sheetView>
  </sheetViews>
  <sheetFormatPr defaultColWidth="9.140625" defaultRowHeight="12.75"/>
  <cols>
    <col min="1" max="1" width="9.140625" style="464"/>
    <col min="2" max="2" width="54.42578125" style="464" customWidth="1"/>
    <col min="3" max="3" width="18.7109375" style="464" customWidth="1"/>
    <col min="4" max="4" width="17.5703125" style="464" bestFit="1" customWidth="1"/>
    <col min="5" max="5" width="15.85546875" style="464" bestFit="1" customWidth="1"/>
    <col min="6" max="6" width="18.42578125" style="464" customWidth="1"/>
    <col min="7" max="7" width="33.42578125" style="464" bestFit="1" customWidth="1"/>
    <col min="8" max="8" width="19.5703125" style="464" bestFit="1" customWidth="1"/>
    <col min="9" max="9" width="9.5703125" style="464" bestFit="1" customWidth="1"/>
    <col min="10" max="16384" width="9.140625" style="464"/>
  </cols>
  <sheetData>
    <row r="4" spans="1:7" ht="15.75">
      <c r="B4" s="479" t="s">
        <v>2</v>
      </c>
      <c r="C4" s="477"/>
      <c r="D4" s="477"/>
      <c r="E4" s="477"/>
    </row>
    <row r="5" spans="1:7" ht="15.75">
      <c r="B5" s="479" t="s">
        <v>13</v>
      </c>
      <c r="C5" s="477"/>
      <c r="D5" s="477"/>
      <c r="E5" s="477"/>
    </row>
    <row r="6" spans="1:7" ht="15.75">
      <c r="B6" s="479" t="s">
        <v>30</v>
      </c>
      <c r="C6" s="477"/>
      <c r="D6" s="477"/>
      <c r="E6" s="477"/>
    </row>
    <row r="7" spans="1:7" ht="15.75">
      <c r="B7" s="478" t="s">
        <v>14</v>
      </c>
      <c r="C7" s="477"/>
      <c r="D7" s="477"/>
      <c r="E7" s="477"/>
    </row>
    <row r="8" spans="1:7" ht="15">
      <c r="B8" s="467"/>
      <c r="C8" s="467"/>
      <c r="D8" s="467"/>
      <c r="E8" s="467"/>
    </row>
    <row r="9" spans="1:7" ht="15">
      <c r="B9" s="467"/>
      <c r="C9" s="467"/>
      <c r="D9" s="467"/>
      <c r="E9" s="467"/>
    </row>
    <row r="10" spans="1:7" ht="15.75">
      <c r="A10" s="475" t="s">
        <v>11</v>
      </c>
      <c r="B10" s="476"/>
      <c r="C10" s="475"/>
      <c r="D10" s="475"/>
      <c r="E10" s="475" t="s">
        <v>3</v>
      </c>
    </row>
    <row r="11" spans="1:7" ht="15.75">
      <c r="A11" s="475" t="s">
        <v>12</v>
      </c>
      <c r="B11" s="475" t="s">
        <v>0</v>
      </c>
      <c r="C11" s="475" t="s">
        <v>1</v>
      </c>
      <c r="D11" s="475" t="s">
        <v>4</v>
      </c>
      <c r="E11" s="475" t="s">
        <v>5</v>
      </c>
    </row>
    <row r="12" spans="1:7" ht="15">
      <c r="A12" s="474"/>
      <c r="B12" s="473"/>
      <c r="C12" s="473"/>
      <c r="D12" s="473"/>
      <c r="E12" s="473"/>
    </row>
    <row r="13" spans="1:7" ht="15">
      <c r="A13" s="469">
        <v>1</v>
      </c>
      <c r="B13" s="467" t="s">
        <v>6</v>
      </c>
      <c r="C13" s="358"/>
      <c r="D13" s="467"/>
      <c r="E13" s="467"/>
    </row>
    <row r="14" spans="1:7" ht="15">
      <c r="A14" s="469">
        <f t="shared" ref="A14:A26" si="0">+A13+1</f>
        <v>2</v>
      </c>
      <c r="B14" s="467" t="s">
        <v>742</v>
      </c>
      <c r="C14" s="357">
        <f>+'Power Costs'!O6</f>
        <v>79334191.840000004</v>
      </c>
      <c r="D14" s="472">
        <f>C14+E14</f>
        <v>79334191.840000004</v>
      </c>
      <c r="E14" s="472"/>
    </row>
    <row r="15" spans="1:7" ht="15">
      <c r="A15" s="469">
        <f t="shared" si="0"/>
        <v>3</v>
      </c>
      <c r="B15" s="467" t="s">
        <v>743</v>
      </c>
      <c r="C15" s="466">
        <f>+'Power Costs'!O7</f>
        <v>124839938.45000002</v>
      </c>
      <c r="D15" s="466">
        <f>C15+E15</f>
        <v>125903300.81000002</v>
      </c>
      <c r="E15" s="466">
        <f>+F18</f>
        <v>1063362.3600000001</v>
      </c>
      <c r="F15" s="466">
        <f>+Centrailia!F18</f>
        <v>4958988.8</v>
      </c>
      <c r="G15" s="464" t="s">
        <v>18</v>
      </c>
    </row>
    <row r="16" spans="1:7" ht="15">
      <c r="A16" s="469">
        <f t="shared" si="0"/>
        <v>4</v>
      </c>
      <c r="B16" s="467" t="s">
        <v>127</v>
      </c>
      <c r="C16" s="466">
        <f>+'[1]Unallocated Detail (CBR)'!$B$49</f>
        <v>574163746.96999896</v>
      </c>
      <c r="D16" s="466">
        <f t="shared" ref="D16:D20" si="1">C16+E16</f>
        <v>588866958.71446157</v>
      </c>
      <c r="E16" s="466">
        <f>+F15+F16</f>
        <v>14703211.744462606</v>
      </c>
      <c r="F16" s="466">
        <f>+'PKW 557'!N8</f>
        <v>9744222.9444626067</v>
      </c>
      <c r="G16" s="470" t="s">
        <v>459</v>
      </c>
    </row>
    <row r="17" spans="1:8" ht="15">
      <c r="A17" s="469">
        <f t="shared" si="0"/>
        <v>5</v>
      </c>
      <c r="B17" s="467" t="s">
        <v>128</v>
      </c>
      <c r="C17" s="466">
        <f>+'[1]Unallocated Detail (CBR)'!$B$50</f>
        <v>17679050.599999901</v>
      </c>
      <c r="D17" s="466">
        <f t="shared" si="1"/>
        <v>11519514.7099999</v>
      </c>
      <c r="E17" s="466">
        <f>+F17+F19</f>
        <v>-6159535.8900000006</v>
      </c>
      <c r="F17" s="466">
        <f>-'Power Costs'!B28</f>
        <v>-4700172.3600000003</v>
      </c>
      <c r="G17" s="470" t="s">
        <v>126</v>
      </c>
    </row>
    <row r="18" spans="1:8" ht="15">
      <c r="A18" s="469">
        <f t="shared" si="0"/>
        <v>6</v>
      </c>
      <c r="B18" s="467" t="s">
        <v>15</v>
      </c>
      <c r="C18" s="466">
        <f>+'[1]Allocated (CBR)'!$B$20</f>
        <v>115807777.5999999</v>
      </c>
      <c r="D18" s="466">
        <f t="shared" si="1"/>
        <v>115807777.5999999</v>
      </c>
      <c r="E18" s="466"/>
      <c r="F18" s="466">
        <f>+Actuals!K48</f>
        <v>1063362.3600000001</v>
      </c>
      <c r="G18" s="470" t="s">
        <v>29</v>
      </c>
    </row>
    <row r="19" spans="1:8" ht="15">
      <c r="A19" s="469">
        <f t="shared" si="0"/>
        <v>7</v>
      </c>
      <c r="B19" s="467" t="s">
        <v>16</v>
      </c>
      <c r="C19" s="466">
        <f>-'[1]Allocated (CBR)'!$B$11</f>
        <v>-155333122.24000001</v>
      </c>
      <c r="D19" s="466">
        <f t="shared" si="1"/>
        <v>-155333122.24000001</v>
      </c>
      <c r="E19" s="466"/>
      <c r="F19" s="466">
        <f>-'PKW24C FERC 557 costs'!B26</f>
        <v>-1459363.53</v>
      </c>
      <c r="G19" s="358" t="s">
        <v>941</v>
      </c>
    </row>
    <row r="20" spans="1:8" ht="15">
      <c r="A20" s="469">
        <f t="shared" si="0"/>
        <v>8</v>
      </c>
      <c r="B20" s="467" t="s">
        <v>17</v>
      </c>
      <c r="C20" s="466">
        <f>+'Power Costs'!P4</f>
        <v>-69470811.980000019</v>
      </c>
      <c r="D20" s="466">
        <f t="shared" si="1"/>
        <v>-69470811.980000019</v>
      </c>
      <c r="E20" s="466"/>
    </row>
    <row r="21" spans="1:8" ht="15">
      <c r="A21" s="469">
        <f t="shared" si="0"/>
        <v>9</v>
      </c>
      <c r="B21" s="467" t="s">
        <v>7</v>
      </c>
      <c r="C21" s="471">
        <f>SUM(C14:C20)</f>
        <v>687020771.23999882</v>
      </c>
      <c r="D21" s="471">
        <f>SUM(D14:D20)</f>
        <v>696627809.45446146</v>
      </c>
      <c r="E21" s="471">
        <f>SUM(E14:E20)</f>
        <v>9607038.2144626044</v>
      </c>
      <c r="F21" s="471">
        <f>SUM(F15:F20)</f>
        <v>9607038.2144626062</v>
      </c>
      <c r="G21" s="470" t="s">
        <v>19</v>
      </c>
    </row>
    <row r="22" spans="1:8" ht="15">
      <c r="A22" s="469">
        <f t="shared" si="0"/>
        <v>10</v>
      </c>
      <c r="B22" s="467"/>
      <c r="C22" s="466"/>
      <c r="D22" s="466"/>
      <c r="E22" s="466"/>
      <c r="F22"/>
      <c r="G22"/>
    </row>
    <row r="23" spans="1:8" ht="15">
      <c r="A23" s="469">
        <f t="shared" si="0"/>
        <v>11</v>
      </c>
      <c r="B23" s="467" t="s">
        <v>8</v>
      </c>
      <c r="C23" s="466"/>
      <c r="D23" s="466"/>
      <c r="E23" s="466">
        <f>-E21</f>
        <v>-9607038.2144626044</v>
      </c>
      <c r="F23"/>
      <c r="G23"/>
      <c r="H23" s="821"/>
    </row>
    <row r="24" spans="1:8" ht="15">
      <c r="A24" s="469">
        <f t="shared" si="0"/>
        <v>12</v>
      </c>
      <c r="B24" s="467"/>
      <c r="C24" s="466"/>
      <c r="D24" s="466"/>
      <c r="E24" s="466"/>
    </row>
    <row r="25" spans="1:8" ht="15">
      <c r="A25" s="469">
        <f t="shared" si="0"/>
        <v>13</v>
      </c>
      <c r="B25" s="467" t="s">
        <v>9</v>
      </c>
      <c r="C25" s="480">
        <f>[2]!FIT_E</f>
        <v>0.21</v>
      </c>
      <c r="D25" s="466"/>
      <c r="E25" s="466">
        <f>E23*C25</f>
        <v>-2017478.0250371469</v>
      </c>
    </row>
    <row r="26" spans="1:8" ht="15.75" thickBot="1">
      <c r="A26" s="469">
        <f t="shared" si="0"/>
        <v>14</v>
      </c>
      <c r="B26" s="467" t="s">
        <v>10</v>
      </c>
      <c r="C26" s="466"/>
      <c r="D26" s="466"/>
      <c r="E26" s="468">
        <f>E23-E25</f>
        <v>-7589560.1894254573</v>
      </c>
    </row>
    <row r="27" spans="1:8" ht="13.5" thickTop="1"/>
    <row r="29" spans="1:8">
      <c r="A29" s="558" t="s">
        <v>458</v>
      </c>
      <c r="B29" s="559"/>
      <c r="C29" s="559"/>
      <c r="D29" s="559"/>
      <c r="E29" s="559"/>
      <c r="F29" s="559"/>
      <c r="G29" s="559"/>
    </row>
    <row r="30" spans="1:8" ht="15">
      <c r="A30" s="560">
        <v>1</v>
      </c>
      <c r="B30" s="561" t="s">
        <v>6</v>
      </c>
      <c r="C30" s="562"/>
      <c r="D30" s="561"/>
      <c r="E30" s="561"/>
      <c r="F30" s="559"/>
      <c r="G30" s="559"/>
    </row>
    <row r="31" spans="1:8" ht="15">
      <c r="A31" s="560">
        <f t="shared" ref="A31:A43" si="2">+A30+1</f>
        <v>2</v>
      </c>
      <c r="B31" s="561" t="s">
        <v>740</v>
      </c>
      <c r="C31" s="563">
        <f t="shared" ref="C31:C37" si="3">+C14</f>
        <v>79334191.840000004</v>
      </c>
      <c r="D31" s="564">
        <f t="shared" ref="D31:D37" si="4">C31+E31</f>
        <v>79334191.840000004</v>
      </c>
      <c r="E31" s="564"/>
      <c r="F31" s="565"/>
      <c r="G31" s="559"/>
    </row>
    <row r="32" spans="1:8" ht="15">
      <c r="A32" s="560">
        <f t="shared" si="2"/>
        <v>3</v>
      </c>
      <c r="B32" s="561" t="s">
        <v>741</v>
      </c>
      <c r="C32" s="563">
        <f t="shared" si="3"/>
        <v>124839938.45000002</v>
      </c>
      <c r="D32" s="563">
        <f>+D15</f>
        <v>125903300.81000002</v>
      </c>
      <c r="E32" s="563">
        <f>+E15</f>
        <v>1063362.3600000001</v>
      </c>
      <c r="F32" s="565">
        <f>+F15</f>
        <v>4958988.8</v>
      </c>
      <c r="G32" s="559" t="s">
        <v>18</v>
      </c>
    </row>
    <row r="33" spans="1:7" ht="15">
      <c r="A33" s="560">
        <f t="shared" si="2"/>
        <v>4</v>
      </c>
      <c r="B33" s="561" t="s">
        <v>127</v>
      </c>
      <c r="C33" s="565">
        <f t="shared" si="3"/>
        <v>574163746.96999896</v>
      </c>
      <c r="D33" s="565">
        <f t="shared" si="4"/>
        <v>579122735.76999891</v>
      </c>
      <c r="E33" s="565">
        <f>+F32</f>
        <v>4958988.8</v>
      </c>
      <c r="F33" s="565"/>
      <c r="G33" s="566" t="s">
        <v>459</v>
      </c>
    </row>
    <row r="34" spans="1:7" ht="15">
      <c r="A34" s="560">
        <f t="shared" si="2"/>
        <v>5</v>
      </c>
      <c r="B34" s="561" t="s">
        <v>128</v>
      </c>
      <c r="C34" s="565">
        <f t="shared" si="3"/>
        <v>17679050.599999901</v>
      </c>
      <c r="D34" s="565">
        <f t="shared" si="4"/>
        <v>12978878.239999902</v>
      </c>
      <c r="E34" s="565">
        <f>+F34</f>
        <v>-4700172.3600000003</v>
      </c>
      <c r="F34" s="565">
        <f>+F17</f>
        <v>-4700172.3600000003</v>
      </c>
      <c r="G34" s="566" t="s">
        <v>126</v>
      </c>
    </row>
    <row r="35" spans="1:7" ht="15">
      <c r="A35" s="560">
        <f t="shared" si="2"/>
        <v>6</v>
      </c>
      <c r="B35" s="561" t="s">
        <v>15</v>
      </c>
      <c r="C35" s="565">
        <f t="shared" si="3"/>
        <v>115807777.5999999</v>
      </c>
      <c r="D35" s="565">
        <f t="shared" si="4"/>
        <v>115807777.5999999</v>
      </c>
      <c r="E35" s="565"/>
      <c r="F35" s="565">
        <f>+F18</f>
        <v>1063362.3600000001</v>
      </c>
      <c r="G35" s="566" t="s">
        <v>29</v>
      </c>
    </row>
    <row r="36" spans="1:7" ht="15">
      <c r="A36" s="560">
        <f t="shared" si="2"/>
        <v>7</v>
      </c>
      <c r="B36" s="561" t="s">
        <v>16</v>
      </c>
      <c r="C36" s="565">
        <f t="shared" si="3"/>
        <v>-155333122.24000001</v>
      </c>
      <c r="D36" s="565">
        <f t="shared" si="4"/>
        <v>-155333122.24000001</v>
      </c>
      <c r="E36" s="565"/>
      <c r="F36" s="559"/>
      <c r="G36" s="559"/>
    </row>
    <row r="37" spans="1:7" ht="15">
      <c r="A37" s="560">
        <f t="shared" si="2"/>
        <v>8</v>
      </c>
      <c r="B37" s="561" t="s">
        <v>17</v>
      </c>
      <c r="C37" s="565">
        <f t="shared" si="3"/>
        <v>-69470811.980000019</v>
      </c>
      <c r="D37" s="565">
        <f t="shared" si="4"/>
        <v>-69470811.980000019</v>
      </c>
      <c r="E37" s="565"/>
      <c r="F37" s="559"/>
      <c r="G37" s="559"/>
    </row>
    <row r="38" spans="1:7" ht="15">
      <c r="A38" s="560">
        <f t="shared" si="2"/>
        <v>9</v>
      </c>
      <c r="B38" s="561" t="s">
        <v>7</v>
      </c>
      <c r="C38" s="567">
        <f>SUM(C31:C37)</f>
        <v>687020771.23999882</v>
      </c>
      <c r="D38" s="567">
        <f>SUM(D31:D37)</f>
        <v>688342950.03999865</v>
      </c>
      <c r="E38" s="567">
        <f>SUM(E31:E37)</f>
        <v>1322178.7999999998</v>
      </c>
      <c r="F38" s="567">
        <f>SUM(F31:F37)</f>
        <v>1322178.7999999996</v>
      </c>
      <c r="G38" s="566" t="s">
        <v>19</v>
      </c>
    </row>
    <row r="39" spans="1:7" ht="15">
      <c r="A39" s="560">
        <f t="shared" si="2"/>
        <v>10</v>
      </c>
      <c r="B39" s="561"/>
      <c r="C39" s="565"/>
      <c r="D39" s="565"/>
      <c r="E39" s="565"/>
      <c r="F39" s="568"/>
      <c r="G39" s="568"/>
    </row>
    <row r="40" spans="1:7" ht="15">
      <c r="A40" s="560">
        <f t="shared" si="2"/>
        <v>11</v>
      </c>
      <c r="B40" s="561" t="s">
        <v>8</v>
      </c>
      <c r="C40" s="565"/>
      <c r="D40" s="565"/>
      <c r="E40" s="565">
        <f>-E38</f>
        <v>-1322178.7999999998</v>
      </c>
      <c r="F40" s="568"/>
      <c r="G40" s="568"/>
    </row>
    <row r="41" spans="1:7" ht="15">
      <c r="A41" s="560">
        <f t="shared" si="2"/>
        <v>12</v>
      </c>
      <c r="B41" s="561"/>
      <c r="C41" s="565"/>
      <c r="D41" s="565"/>
      <c r="E41" s="565"/>
      <c r="F41" s="559"/>
      <c r="G41" s="559"/>
    </row>
    <row r="42" spans="1:7" ht="15">
      <c r="A42" s="560">
        <f t="shared" si="2"/>
        <v>13</v>
      </c>
      <c r="B42" s="561" t="s">
        <v>9</v>
      </c>
      <c r="C42" s="569">
        <f>+C25</f>
        <v>0.21</v>
      </c>
      <c r="D42" s="565"/>
      <c r="E42" s="565">
        <f>E40*C42</f>
        <v>-277657.54799999995</v>
      </c>
      <c r="F42" s="559"/>
      <c r="G42" s="559"/>
    </row>
    <row r="43" spans="1:7" ht="15.75" thickBot="1">
      <c r="A43" s="560">
        <f t="shared" si="2"/>
        <v>14</v>
      </c>
      <c r="B43" s="561" t="s">
        <v>10</v>
      </c>
      <c r="C43" s="565"/>
      <c r="D43" s="565"/>
      <c r="E43" s="570">
        <f>E40-E42</f>
        <v>-1044521.2519999999</v>
      </c>
      <c r="F43" s="559"/>
      <c r="G43" s="559"/>
    </row>
    <row r="44" spans="1:7" ht="13.5" thickTop="1"/>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73"/>
  <sheetViews>
    <sheetView zoomScaleNormal="100" workbookViewId="0">
      <pane xSplit="1" ySplit="7" topLeftCell="B61" activePane="bottomRight" state="frozen"/>
      <selection activeCell="D32" sqref="D32"/>
      <selection pane="topRight" activeCell="D32" sqref="D32"/>
      <selection pane="bottomLeft" activeCell="D32" sqref="D32"/>
      <selection pane="bottomRight" activeCell="B70" sqref="B70"/>
    </sheetView>
  </sheetViews>
  <sheetFormatPr defaultColWidth="8.85546875" defaultRowHeight="15"/>
  <cols>
    <col min="1" max="1" width="57.140625" style="789" customWidth="1"/>
    <col min="2" max="2" width="18.28515625" style="789" customWidth="1"/>
    <col min="3" max="3" width="18.5703125" style="789" customWidth="1"/>
    <col min="4" max="4" width="16.85546875" style="789" customWidth="1"/>
    <col min="5" max="12" width="8.85546875" style="789"/>
    <col min="13" max="212" width="8.85546875" style="813"/>
    <col min="213" max="16384" width="8.85546875" style="814"/>
  </cols>
  <sheetData>
    <row r="1" spans="1:5" ht="18.75">
      <c r="A1" s="788" t="s">
        <v>517</v>
      </c>
    </row>
    <row r="2" spans="1:5" ht="21">
      <c r="A2" s="790" t="s">
        <v>942</v>
      </c>
      <c r="B2" s="791"/>
      <c r="C2" s="791"/>
      <c r="D2" s="791"/>
    </row>
    <row r="3" spans="1:5" ht="15.75">
      <c r="A3" s="792" t="s">
        <v>716</v>
      </c>
    </row>
    <row r="4" spans="1:5" ht="15.75">
      <c r="A4" s="792"/>
    </row>
    <row r="5" spans="1:5">
      <c r="C5" s="793"/>
      <c r="D5" s="793"/>
    </row>
    <row r="6" spans="1:5" ht="27" thickBot="1">
      <c r="A6" s="794"/>
      <c r="B6" s="795" t="s">
        <v>716</v>
      </c>
      <c r="C6" s="795" t="s">
        <v>349</v>
      </c>
      <c r="D6" s="795" t="s">
        <v>719</v>
      </c>
      <c r="E6" s="796"/>
    </row>
    <row r="7" spans="1:5">
      <c r="A7" s="796"/>
      <c r="B7" s="797" t="s">
        <v>943</v>
      </c>
      <c r="C7" s="797" t="s">
        <v>944</v>
      </c>
      <c r="D7" s="798"/>
      <c r="E7" s="796"/>
    </row>
    <row r="8" spans="1:5">
      <c r="A8" s="799" t="s">
        <v>945</v>
      </c>
      <c r="B8" s="800">
        <v>0</v>
      </c>
      <c r="C8" s="800">
        <v>215089.42</v>
      </c>
      <c r="D8" s="800">
        <f>B8-C8</f>
        <v>-215089.42</v>
      </c>
      <c r="E8" s="796"/>
    </row>
    <row r="9" spans="1:5">
      <c r="A9" s="801" t="s">
        <v>946</v>
      </c>
      <c r="B9" s="802">
        <v>8171.76</v>
      </c>
      <c r="C9" s="802">
        <v>0</v>
      </c>
      <c r="D9" s="802">
        <f t="shared" ref="D9:D70" si="0">B9-C9</f>
        <v>8171.76</v>
      </c>
      <c r="E9" s="796"/>
    </row>
    <row r="10" spans="1:5">
      <c r="A10" s="801" t="s">
        <v>947</v>
      </c>
      <c r="B10" s="802">
        <v>243891.42</v>
      </c>
      <c r="C10" s="802">
        <v>0</v>
      </c>
      <c r="D10" s="802">
        <f t="shared" si="0"/>
        <v>243891.42</v>
      </c>
      <c r="E10" s="796"/>
    </row>
    <row r="11" spans="1:5">
      <c r="A11" s="801" t="s">
        <v>948</v>
      </c>
      <c r="B11" s="802">
        <v>53500</v>
      </c>
      <c r="C11" s="802">
        <v>0</v>
      </c>
      <c r="D11" s="802">
        <f t="shared" si="0"/>
        <v>53500</v>
      </c>
      <c r="E11" s="796"/>
    </row>
    <row r="12" spans="1:5">
      <c r="A12" s="801" t="s">
        <v>949</v>
      </c>
      <c r="B12" s="802">
        <v>4478.37</v>
      </c>
      <c r="C12" s="802">
        <v>168993.03</v>
      </c>
      <c r="D12" s="802">
        <f t="shared" si="0"/>
        <v>-164514.66</v>
      </c>
      <c r="E12" s="796"/>
    </row>
    <row r="13" spans="1:5">
      <c r="A13" s="803" t="s">
        <v>950</v>
      </c>
      <c r="B13" s="802">
        <v>0</v>
      </c>
      <c r="C13" s="802">
        <v>23890</v>
      </c>
      <c r="D13" s="802">
        <f t="shared" si="0"/>
        <v>-23890</v>
      </c>
      <c r="E13" s="796"/>
    </row>
    <row r="14" spans="1:5">
      <c r="A14" s="801" t="s">
        <v>951</v>
      </c>
      <c r="B14" s="802">
        <v>524481.32999999996</v>
      </c>
      <c r="C14" s="802">
        <v>187077.24</v>
      </c>
      <c r="D14" s="802">
        <f t="shared" si="0"/>
        <v>337404.08999999997</v>
      </c>
      <c r="E14" s="796"/>
    </row>
    <row r="15" spans="1:5">
      <c r="A15" s="801" t="s">
        <v>952</v>
      </c>
      <c r="B15" s="802">
        <v>5428.75</v>
      </c>
      <c r="C15" s="802">
        <v>254.24</v>
      </c>
      <c r="D15" s="802">
        <f t="shared" si="0"/>
        <v>5174.51</v>
      </c>
      <c r="E15" s="796"/>
    </row>
    <row r="16" spans="1:5">
      <c r="A16" s="801" t="s">
        <v>953</v>
      </c>
      <c r="B16" s="802">
        <v>50637.97</v>
      </c>
      <c r="C16" s="802">
        <v>270794.82</v>
      </c>
      <c r="D16" s="802">
        <f t="shared" si="0"/>
        <v>-220156.85</v>
      </c>
      <c r="E16" s="796"/>
    </row>
    <row r="17" spans="1:5">
      <c r="A17" s="801" t="s">
        <v>954</v>
      </c>
      <c r="B17" s="802">
        <v>166.49</v>
      </c>
      <c r="C17" s="802">
        <v>13269.39</v>
      </c>
      <c r="D17" s="802">
        <f t="shared" si="0"/>
        <v>-13102.9</v>
      </c>
      <c r="E17" s="796"/>
    </row>
    <row r="18" spans="1:5">
      <c r="A18" s="801" t="s">
        <v>955</v>
      </c>
      <c r="B18" s="802">
        <v>6500.36</v>
      </c>
      <c r="C18" s="802">
        <v>5724.03</v>
      </c>
      <c r="D18" s="802">
        <f t="shared" si="0"/>
        <v>776.32999999999993</v>
      </c>
      <c r="E18" s="796"/>
    </row>
    <row r="19" spans="1:5">
      <c r="A19" s="801" t="s">
        <v>956</v>
      </c>
      <c r="B19" s="802">
        <v>1150.53</v>
      </c>
      <c r="C19" s="802">
        <v>1515.17</v>
      </c>
      <c r="D19" s="802">
        <f t="shared" si="0"/>
        <v>-364.6400000000001</v>
      </c>
      <c r="E19" s="796"/>
    </row>
    <row r="20" spans="1:5">
      <c r="A20" s="801" t="s">
        <v>957</v>
      </c>
      <c r="B20" s="802">
        <v>593279.04</v>
      </c>
      <c r="C20" s="802">
        <v>18864.77</v>
      </c>
      <c r="D20" s="802">
        <f t="shared" si="0"/>
        <v>574414.27</v>
      </c>
      <c r="E20" s="796"/>
    </row>
    <row r="21" spans="1:5">
      <c r="A21" s="801" t="s">
        <v>958</v>
      </c>
      <c r="B21" s="802">
        <v>330.89</v>
      </c>
      <c r="C21" s="802">
        <v>0</v>
      </c>
      <c r="D21" s="802">
        <f t="shared" si="0"/>
        <v>330.89</v>
      </c>
      <c r="E21" s="796"/>
    </row>
    <row r="22" spans="1:5">
      <c r="A22" s="801" t="s">
        <v>959</v>
      </c>
      <c r="B22" s="802">
        <v>165.07</v>
      </c>
      <c r="C22" s="802">
        <v>3158.59</v>
      </c>
      <c r="D22" s="802">
        <f t="shared" si="0"/>
        <v>-2993.52</v>
      </c>
      <c r="E22" s="796"/>
    </row>
    <row r="23" spans="1:5">
      <c r="A23" s="801" t="s">
        <v>960</v>
      </c>
      <c r="B23" s="802">
        <v>281151.59000000003</v>
      </c>
      <c r="C23" s="802">
        <v>0</v>
      </c>
      <c r="D23" s="802">
        <f t="shared" si="0"/>
        <v>281151.59000000003</v>
      </c>
      <c r="E23" s="796"/>
    </row>
    <row r="24" spans="1:5">
      <c r="A24" s="801" t="s">
        <v>961</v>
      </c>
      <c r="B24" s="802">
        <v>1331.38</v>
      </c>
      <c r="C24" s="802">
        <v>0</v>
      </c>
      <c r="D24" s="802">
        <f t="shared" si="0"/>
        <v>1331.38</v>
      </c>
      <c r="E24" s="796"/>
    </row>
    <row r="25" spans="1:5">
      <c r="A25" s="803" t="s">
        <v>962</v>
      </c>
      <c r="B25" s="802">
        <v>0</v>
      </c>
      <c r="C25" s="802">
        <v>168775.67</v>
      </c>
      <c r="D25" s="802">
        <f t="shared" si="0"/>
        <v>-168775.67</v>
      </c>
      <c r="E25" s="796"/>
    </row>
    <row r="26" spans="1:5">
      <c r="A26" s="804" t="s">
        <v>963</v>
      </c>
      <c r="B26" s="805">
        <v>1459363.53</v>
      </c>
      <c r="C26" s="805">
        <v>1455389.93</v>
      </c>
      <c r="D26" s="805">
        <f t="shared" si="0"/>
        <v>3973.6000000000931</v>
      </c>
      <c r="E26" s="796"/>
    </row>
    <row r="27" spans="1:5">
      <c r="A27" s="803" t="s">
        <v>964</v>
      </c>
      <c r="B27" s="802"/>
      <c r="C27" s="802">
        <v>293528.69</v>
      </c>
      <c r="D27" s="802">
        <f t="shared" si="0"/>
        <v>-293528.69</v>
      </c>
      <c r="E27" s="796"/>
    </row>
    <row r="28" spans="1:5" ht="14.25" customHeight="1">
      <c r="A28" s="801" t="s">
        <v>965</v>
      </c>
      <c r="B28" s="802">
        <v>1385</v>
      </c>
      <c r="C28" s="802"/>
      <c r="D28" s="802">
        <f t="shared" si="0"/>
        <v>1385</v>
      </c>
      <c r="E28" s="796"/>
    </row>
    <row r="29" spans="1:5">
      <c r="A29" s="801" t="s">
        <v>966</v>
      </c>
      <c r="B29" s="802">
        <v>32796.58</v>
      </c>
      <c r="C29" s="802">
        <v>28876.14</v>
      </c>
      <c r="D29" s="802">
        <f t="shared" si="0"/>
        <v>3920.4400000000023</v>
      </c>
      <c r="E29" s="796"/>
    </row>
    <row r="30" spans="1:5">
      <c r="A30" s="801" t="s">
        <v>967</v>
      </c>
      <c r="B30" s="802">
        <v>40493.26</v>
      </c>
      <c r="C30" s="802">
        <v>8199.81</v>
      </c>
      <c r="D30" s="802">
        <f t="shared" si="0"/>
        <v>32293.450000000004</v>
      </c>
      <c r="E30" s="796"/>
    </row>
    <row r="31" spans="1:5">
      <c r="A31" s="801" t="s">
        <v>968</v>
      </c>
      <c r="B31" s="802">
        <v>1431350.94</v>
      </c>
      <c r="C31" s="802">
        <v>1044904.25</v>
      </c>
      <c r="D31" s="802">
        <f t="shared" si="0"/>
        <v>386446.68999999994</v>
      </c>
      <c r="E31" s="796"/>
    </row>
    <row r="32" spans="1:5">
      <c r="A32" s="806" t="s">
        <v>969</v>
      </c>
      <c r="B32" s="800">
        <v>3183849.03</v>
      </c>
      <c r="C32" s="800">
        <v>104612.43</v>
      </c>
      <c r="D32" s="800">
        <f t="shared" si="0"/>
        <v>3079236.5999999996</v>
      </c>
      <c r="E32" s="796"/>
    </row>
    <row r="33" spans="1:5">
      <c r="A33" s="807" t="s">
        <v>970</v>
      </c>
      <c r="B33" s="808">
        <v>222614.04</v>
      </c>
      <c r="C33" s="808"/>
      <c r="D33" s="808">
        <f t="shared" si="0"/>
        <v>222614.04</v>
      </c>
      <c r="E33" s="796"/>
    </row>
    <row r="34" spans="1:5">
      <c r="A34" s="801" t="s">
        <v>971</v>
      </c>
      <c r="B34" s="802">
        <v>590788.92000000004</v>
      </c>
      <c r="C34" s="802">
        <v>406658.09</v>
      </c>
      <c r="D34" s="802">
        <f t="shared" si="0"/>
        <v>184130.83000000002</v>
      </c>
      <c r="E34" s="796"/>
    </row>
    <row r="35" spans="1:5">
      <c r="A35" s="801" t="s">
        <v>972</v>
      </c>
      <c r="B35" s="802">
        <v>7549.62</v>
      </c>
      <c r="C35" s="802">
        <v>0</v>
      </c>
      <c r="D35" s="802">
        <f t="shared" si="0"/>
        <v>7549.62</v>
      </c>
      <c r="E35" s="796"/>
    </row>
    <row r="36" spans="1:5">
      <c r="A36" s="809" t="s">
        <v>973</v>
      </c>
      <c r="B36" s="805">
        <v>0</v>
      </c>
      <c r="C36" s="805">
        <v>325278</v>
      </c>
      <c r="D36" s="805">
        <f t="shared" si="0"/>
        <v>-325278</v>
      </c>
      <c r="E36" s="796"/>
    </row>
    <row r="37" spans="1:5">
      <c r="A37" s="801" t="s">
        <v>974</v>
      </c>
      <c r="B37" s="802">
        <v>272445.65000000002</v>
      </c>
      <c r="C37" s="802">
        <v>4246698.9400000004</v>
      </c>
      <c r="D37" s="802">
        <f t="shared" si="0"/>
        <v>-3974253.2900000005</v>
      </c>
      <c r="E37" s="796"/>
    </row>
    <row r="38" spans="1:5">
      <c r="A38" s="801" t="s">
        <v>975</v>
      </c>
      <c r="B38" s="802">
        <v>38834.230000000003</v>
      </c>
      <c r="C38" s="802">
        <v>364294.67</v>
      </c>
      <c r="D38" s="802">
        <f t="shared" si="0"/>
        <v>-325460.44</v>
      </c>
      <c r="E38" s="796"/>
    </row>
    <row r="39" spans="1:5">
      <c r="A39" s="801" t="s">
        <v>976</v>
      </c>
      <c r="B39" s="802">
        <v>446665.22</v>
      </c>
      <c r="C39" s="802">
        <v>0</v>
      </c>
      <c r="D39" s="802">
        <f t="shared" si="0"/>
        <v>446665.22</v>
      </c>
      <c r="E39" s="796"/>
    </row>
    <row r="40" spans="1:5">
      <c r="A40" s="801" t="s">
        <v>977</v>
      </c>
      <c r="B40" s="802">
        <v>638.37</v>
      </c>
      <c r="C40" s="802">
        <v>0</v>
      </c>
      <c r="D40" s="802">
        <f t="shared" si="0"/>
        <v>638.37</v>
      </c>
      <c r="E40" s="796"/>
    </row>
    <row r="41" spans="1:5">
      <c r="A41" s="801" t="s">
        <v>978</v>
      </c>
      <c r="B41" s="802">
        <v>464.2</v>
      </c>
      <c r="C41" s="802">
        <v>0</v>
      </c>
      <c r="D41" s="802">
        <f t="shared" si="0"/>
        <v>464.2</v>
      </c>
      <c r="E41" s="796"/>
    </row>
    <row r="42" spans="1:5">
      <c r="A42" s="801" t="s">
        <v>979</v>
      </c>
      <c r="B42" s="802">
        <v>587607.65</v>
      </c>
      <c r="C42" s="802">
        <v>0</v>
      </c>
      <c r="D42" s="802">
        <f t="shared" si="0"/>
        <v>587607.65</v>
      </c>
      <c r="E42" s="796"/>
    </row>
    <row r="43" spans="1:5">
      <c r="A43" s="801" t="s">
        <v>980</v>
      </c>
      <c r="B43" s="802">
        <v>1001625.28</v>
      </c>
      <c r="C43" s="802">
        <v>0</v>
      </c>
      <c r="D43" s="802">
        <f t="shared" si="0"/>
        <v>1001625.28</v>
      </c>
      <c r="E43" s="796"/>
    </row>
    <row r="44" spans="1:5">
      <c r="A44" s="801" t="s">
        <v>981</v>
      </c>
      <c r="B44" s="802">
        <v>131745.95000000001</v>
      </c>
      <c r="C44" s="802">
        <v>0</v>
      </c>
      <c r="D44" s="802">
        <f t="shared" si="0"/>
        <v>131745.95000000001</v>
      </c>
      <c r="E44" s="796"/>
    </row>
    <row r="45" spans="1:5">
      <c r="A45" s="803" t="s">
        <v>982</v>
      </c>
      <c r="B45" s="802">
        <v>0</v>
      </c>
      <c r="C45" s="802">
        <v>59057.279999999999</v>
      </c>
      <c r="D45" s="802">
        <f t="shared" si="0"/>
        <v>-59057.279999999999</v>
      </c>
      <c r="E45" s="796"/>
    </row>
    <row r="46" spans="1:5">
      <c r="A46" s="803" t="s">
        <v>983</v>
      </c>
      <c r="B46" s="802">
        <v>0</v>
      </c>
      <c r="C46" s="802">
        <v>5125.29</v>
      </c>
      <c r="D46" s="802">
        <f t="shared" si="0"/>
        <v>-5125.29</v>
      </c>
      <c r="E46" s="796"/>
    </row>
    <row r="47" spans="1:5">
      <c r="A47" s="803" t="s">
        <v>984</v>
      </c>
      <c r="B47" s="802">
        <v>0</v>
      </c>
      <c r="C47" s="802">
        <v>0</v>
      </c>
      <c r="D47" s="802">
        <f t="shared" si="0"/>
        <v>0</v>
      </c>
      <c r="E47" s="796"/>
    </row>
    <row r="48" spans="1:5">
      <c r="A48" s="801" t="s">
        <v>985</v>
      </c>
      <c r="B48" s="802">
        <v>1268020.27</v>
      </c>
      <c r="C48" s="802">
        <v>0</v>
      </c>
      <c r="D48" s="802">
        <f t="shared" si="0"/>
        <v>1268020.27</v>
      </c>
      <c r="E48" s="796"/>
    </row>
    <row r="49" spans="1:5">
      <c r="A49" s="801" t="s">
        <v>986</v>
      </c>
      <c r="B49" s="802">
        <v>135464.51</v>
      </c>
      <c r="C49" s="802">
        <v>0</v>
      </c>
      <c r="D49" s="802">
        <f t="shared" si="0"/>
        <v>135464.51</v>
      </c>
      <c r="E49" s="796"/>
    </row>
    <row r="50" spans="1:5">
      <c r="A50" s="801" t="s">
        <v>987</v>
      </c>
      <c r="B50" s="802">
        <v>1430</v>
      </c>
      <c r="C50" s="802">
        <v>724971.84</v>
      </c>
      <c r="D50" s="802">
        <f t="shared" si="0"/>
        <v>-723541.84</v>
      </c>
      <c r="E50" s="796"/>
    </row>
    <row r="51" spans="1:5">
      <c r="A51" s="801" t="s">
        <v>988</v>
      </c>
      <c r="B51" s="802">
        <v>843.57</v>
      </c>
      <c r="C51" s="802">
        <v>0</v>
      </c>
      <c r="D51" s="802">
        <f t="shared" si="0"/>
        <v>843.57</v>
      </c>
      <c r="E51" s="796"/>
    </row>
    <row r="52" spans="1:5">
      <c r="A52" s="801" t="s">
        <v>989</v>
      </c>
      <c r="B52" s="802">
        <v>26963.01</v>
      </c>
      <c r="C52" s="802">
        <v>0</v>
      </c>
      <c r="D52" s="802">
        <f t="shared" si="0"/>
        <v>26963.01</v>
      </c>
      <c r="E52" s="796"/>
    </row>
    <row r="53" spans="1:5">
      <c r="A53" s="801" t="s">
        <v>990</v>
      </c>
      <c r="B53" s="802">
        <v>13492.98</v>
      </c>
      <c r="C53" s="802">
        <v>0</v>
      </c>
      <c r="D53" s="802">
        <f t="shared" si="0"/>
        <v>13492.98</v>
      </c>
      <c r="E53" s="796"/>
    </row>
    <row r="54" spans="1:5">
      <c r="A54" s="801" t="s">
        <v>991</v>
      </c>
      <c r="B54" s="802">
        <v>7392.7</v>
      </c>
      <c r="C54" s="802">
        <v>887094.86</v>
      </c>
      <c r="D54" s="802">
        <f t="shared" si="0"/>
        <v>-879702.16</v>
      </c>
      <c r="E54" s="796"/>
    </row>
    <row r="55" spans="1:5">
      <c r="A55" s="801" t="s">
        <v>992</v>
      </c>
      <c r="B55" s="802">
        <v>863.19</v>
      </c>
      <c r="C55" s="802">
        <v>0</v>
      </c>
      <c r="D55" s="802">
        <f t="shared" si="0"/>
        <v>863.19</v>
      </c>
      <c r="E55" s="796"/>
    </row>
    <row r="56" spans="1:5">
      <c r="A56" s="801" t="s">
        <v>993</v>
      </c>
      <c r="B56" s="802">
        <v>48.85</v>
      </c>
      <c r="C56" s="802">
        <v>0</v>
      </c>
      <c r="D56" s="802">
        <f t="shared" si="0"/>
        <v>48.85</v>
      </c>
      <c r="E56" s="796"/>
    </row>
    <row r="57" spans="1:5">
      <c r="A57" s="801" t="s">
        <v>994</v>
      </c>
      <c r="B57" s="802">
        <v>1156703.05</v>
      </c>
      <c r="C57" s="802">
        <v>0</v>
      </c>
      <c r="D57" s="802">
        <f t="shared" si="0"/>
        <v>1156703.05</v>
      </c>
      <c r="E57" s="796"/>
    </row>
    <row r="58" spans="1:5">
      <c r="A58" s="801" t="s">
        <v>995</v>
      </c>
      <c r="B58" s="802">
        <v>691603.13</v>
      </c>
      <c r="C58" s="802">
        <v>0</v>
      </c>
      <c r="D58" s="802">
        <f t="shared" si="0"/>
        <v>691603.13</v>
      </c>
      <c r="E58" s="796"/>
    </row>
    <row r="59" spans="1:5">
      <c r="A59" s="801" t="s">
        <v>996</v>
      </c>
      <c r="B59" s="802">
        <v>706326.54</v>
      </c>
      <c r="C59" s="802">
        <v>0</v>
      </c>
      <c r="D59" s="802">
        <f t="shared" si="0"/>
        <v>706326.54</v>
      </c>
      <c r="E59" s="796"/>
    </row>
    <row r="60" spans="1:5">
      <c r="A60" s="801" t="s">
        <v>997</v>
      </c>
      <c r="B60" s="802">
        <v>17872.75</v>
      </c>
      <c r="C60" s="802">
        <v>0</v>
      </c>
      <c r="D60" s="802">
        <f t="shared" si="0"/>
        <v>17872.75</v>
      </c>
      <c r="E60" s="796"/>
    </row>
    <row r="61" spans="1:5">
      <c r="A61" s="801" t="s">
        <v>998</v>
      </c>
      <c r="B61" s="802">
        <v>1916.17</v>
      </c>
      <c r="C61" s="802">
        <v>0</v>
      </c>
      <c r="D61" s="802">
        <f t="shared" si="0"/>
        <v>1916.17</v>
      </c>
      <c r="E61" s="796"/>
    </row>
    <row r="62" spans="1:5">
      <c r="A62" s="801" t="s">
        <v>999</v>
      </c>
      <c r="B62" s="802">
        <v>48065.64</v>
      </c>
      <c r="C62" s="802">
        <v>0</v>
      </c>
      <c r="D62" s="802">
        <f t="shared" si="0"/>
        <v>48065.64</v>
      </c>
      <c r="E62" s="796"/>
    </row>
    <row r="63" spans="1:5">
      <c r="A63" s="801" t="s">
        <v>1000</v>
      </c>
      <c r="B63" s="802">
        <v>-166409.96</v>
      </c>
      <c r="C63" s="802">
        <v>0</v>
      </c>
      <c r="D63" s="802">
        <f t="shared" si="0"/>
        <v>-166409.96</v>
      </c>
      <c r="E63" s="796"/>
    </row>
    <row r="64" spans="1:5">
      <c r="A64" s="810" t="s">
        <v>1001</v>
      </c>
      <c r="B64" s="802">
        <v>0</v>
      </c>
      <c r="C64" s="802">
        <v>9033.7199999999993</v>
      </c>
      <c r="D64" s="802">
        <f t="shared" si="0"/>
        <v>-9033.7199999999993</v>
      </c>
      <c r="E64" s="796"/>
    </row>
    <row r="65" spans="1:212">
      <c r="A65" s="811" t="s">
        <v>1002</v>
      </c>
      <c r="B65" s="812">
        <f>SUM(B8:B64)</f>
        <v>15135478.819999998</v>
      </c>
      <c r="C65" s="812">
        <f>SUM(C8:C64)</f>
        <v>11041130.309999999</v>
      </c>
      <c r="D65" s="812">
        <f t="shared" si="0"/>
        <v>4094348.51</v>
      </c>
      <c r="E65" s="796"/>
    </row>
    <row r="66" spans="1:212">
      <c r="A66" s="815" t="s">
        <v>1003</v>
      </c>
      <c r="B66" s="802">
        <f>-SUM(B32:B33)</f>
        <v>-3406463.07</v>
      </c>
      <c r="C66" s="802">
        <f>-SUM(C32:C33)</f>
        <v>-104612.43</v>
      </c>
      <c r="D66" s="802">
        <f t="shared" si="0"/>
        <v>-3301850.6399999997</v>
      </c>
      <c r="E66" s="796"/>
    </row>
    <row r="67" spans="1:212">
      <c r="A67" s="815" t="s">
        <v>1004</v>
      </c>
      <c r="B67" s="802">
        <f>-B36</f>
        <v>0</v>
      </c>
      <c r="C67" s="802">
        <f>-C36</f>
        <v>-325278</v>
      </c>
      <c r="D67" s="802">
        <f t="shared" si="0"/>
        <v>325278</v>
      </c>
      <c r="E67" s="796"/>
      <c r="L67" s="813"/>
      <c r="HD67" s="814"/>
    </row>
    <row r="68" spans="1:212">
      <c r="A68" s="815" t="s">
        <v>1005</v>
      </c>
      <c r="B68" s="802">
        <f>-B26</f>
        <v>-1459363.53</v>
      </c>
      <c r="C68" s="802">
        <f>-C26</f>
        <v>-1455389.93</v>
      </c>
      <c r="D68" s="802">
        <f t="shared" si="0"/>
        <v>-3973.6000000000931</v>
      </c>
      <c r="E68" s="796"/>
      <c r="L68" s="813"/>
      <c r="HD68" s="814"/>
    </row>
    <row r="69" spans="1:212">
      <c r="A69" s="815" t="s">
        <v>1006</v>
      </c>
      <c r="B69" s="816">
        <f>-B63</f>
        <v>166409.96</v>
      </c>
      <c r="C69" s="817"/>
      <c r="D69" s="817">
        <f t="shared" si="0"/>
        <v>166409.96</v>
      </c>
      <c r="E69" s="796"/>
      <c r="L69" s="813"/>
      <c r="HD69" s="814"/>
    </row>
    <row r="70" spans="1:212">
      <c r="A70" s="818" t="s">
        <v>1007</v>
      </c>
      <c r="B70" s="822">
        <f>SUM(B65:B69)</f>
        <v>10436062.18</v>
      </c>
      <c r="C70" s="819">
        <f>SUM(C65:C69)</f>
        <v>9155849.9499999993</v>
      </c>
      <c r="D70" s="819">
        <f t="shared" si="0"/>
        <v>1280212.2300000004</v>
      </c>
      <c r="E70" s="796"/>
    </row>
    <row r="72" spans="1:212">
      <c r="A72" s="789" t="s">
        <v>1008</v>
      </c>
    </row>
    <row r="73" spans="1:212">
      <c r="A73" s="820" t="s">
        <v>732</v>
      </c>
    </row>
  </sheetData>
  <pageMargins left="0.7" right="0.7" top="0.75" bottom="0.75" header="0.3" footer="0.3"/>
  <pageSetup scale="63" orientation="portrait" r:id="rId1"/>
  <headerFooter alignWithMargins="0">
    <oddFooter>&amp;L&amp;F&amp;C&amp;A&amp;R&amp;D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1"/>
  <sheetViews>
    <sheetView topLeftCell="AC1" zoomScale="70" zoomScaleNormal="70" workbookViewId="0">
      <pane xSplit="2" ySplit="7" topLeftCell="AE15" activePane="bottomRight" state="frozen"/>
      <selection activeCell="AF50" sqref="AF50"/>
      <selection pane="topRight" activeCell="AF50" sqref="AF50"/>
      <selection pane="bottomLeft" activeCell="AF50" sqref="AF50"/>
      <selection pane="bottomRight" activeCell="AF50" sqref="AF50"/>
    </sheetView>
  </sheetViews>
  <sheetFormatPr defaultColWidth="80.28515625" defaultRowHeight="12.75"/>
  <cols>
    <col min="1" max="1" width="45.5703125" style="684" bestFit="1" customWidth="1"/>
    <col min="2" max="2" width="6.42578125" style="684" bestFit="1" customWidth="1"/>
    <col min="3" max="3" width="9.85546875" style="684" bestFit="1" customWidth="1"/>
    <col min="4" max="4" width="10.7109375" style="684" bestFit="1" customWidth="1"/>
    <col min="5" max="5" width="8.5703125" style="684" bestFit="1" customWidth="1"/>
    <col min="6" max="6" width="7.28515625" style="684" bestFit="1" customWidth="1"/>
    <col min="7" max="7" width="6.28515625" style="684" bestFit="1" customWidth="1"/>
    <col min="8" max="8" width="9.7109375" style="684" bestFit="1" customWidth="1"/>
    <col min="9" max="9" width="8.85546875" style="684" bestFit="1" customWidth="1"/>
    <col min="10" max="10" width="14.140625" style="684" bestFit="1" customWidth="1"/>
    <col min="11" max="11" width="80.28515625" style="684"/>
    <col min="12" max="12" width="51" style="684" bestFit="1" customWidth="1"/>
    <col min="13" max="13" width="6.42578125" style="684" bestFit="1" customWidth="1"/>
    <col min="14" max="14" width="12.7109375" style="684" bestFit="1" customWidth="1"/>
    <col min="15" max="16" width="11.140625" style="684" bestFit="1" customWidth="1"/>
    <col min="17" max="18" width="9.140625" style="684" bestFit="1" customWidth="1"/>
    <col min="19" max="19" width="12.7109375" style="684" bestFit="1" customWidth="1"/>
    <col min="20" max="20" width="11.140625" style="684" bestFit="1" customWidth="1"/>
    <col min="21" max="21" width="14.140625" style="684" bestFit="1" customWidth="1"/>
    <col min="22" max="22" width="80.28515625" style="684"/>
    <col min="23" max="23" width="40.42578125" style="684" bestFit="1" customWidth="1"/>
    <col min="24" max="24" width="6.42578125" style="684" bestFit="1" customWidth="1"/>
    <col min="25" max="26" width="10.7109375" style="684" bestFit="1" customWidth="1"/>
    <col min="27" max="27" width="10.140625" style="684" bestFit="1" customWidth="1"/>
    <col min="28" max="28" width="8.28515625" style="684" bestFit="1" customWidth="1"/>
    <col min="29" max="29" width="11.7109375" style="684" customWidth="1"/>
    <col min="30" max="30" width="10.28515625" style="684" bestFit="1" customWidth="1"/>
    <col min="31" max="31" width="21" style="684" bestFit="1" customWidth="1"/>
    <col min="32" max="32" width="15.140625" style="684" bestFit="1" customWidth="1"/>
    <col min="33" max="33" width="15.85546875" style="684" bestFit="1" customWidth="1"/>
    <col min="34" max="34" width="12.140625" style="684" bestFit="1" customWidth="1"/>
    <col min="35" max="35" width="14.140625" style="684" bestFit="1" customWidth="1"/>
    <col min="36" max="36" width="10.140625" style="684" bestFit="1" customWidth="1"/>
    <col min="37" max="38" width="15.140625" style="684" bestFit="1" customWidth="1"/>
    <col min="39" max="39" width="14.5703125" style="684" bestFit="1" customWidth="1"/>
    <col min="40" max="40" width="13.5703125" style="684" bestFit="1" customWidth="1"/>
    <col min="41" max="41" width="12.7109375" style="684" bestFit="1" customWidth="1"/>
    <col min="42" max="42" width="11.140625" style="684" bestFit="1" customWidth="1"/>
    <col min="43" max="43" width="12.7109375" style="684" bestFit="1" customWidth="1"/>
    <col min="44" max="44" width="11.140625" style="684" bestFit="1" customWidth="1"/>
    <col min="45" max="45" width="10.140625" style="684" bestFit="1" customWidth="1"/>
    <col min="46" max="46" width="11.140625" style="684" bestFit="1" customWidth="1"/>
    <col min="47" max="47" width="16.140625" style="684" bestFit="1" customWidth="1"/>
    <col min="48" max="48" width="15.140625" style="684" bestFit="1" customWidth="1"/>
    <col min="49" max="49" width="10.85546875" style="684" bestFit="1" customWidth="1"/>
    <col min="50" max="50" width="11.42578125" style="684" bestFit="1" customWidth="1"/>
    <col min="51" max="51" width="11.140625" style="684" bestFit="1" customWidth="1"/>
    <col min="52" max="53" width="10.140625" style="684" bestFit="1" customWidth="1"/>
    <col min="54" max="55" width="11.140625" style="684" bestFit="1" customWidth="1"/>
    <col min="56" max="56" width="10.140625" style="684" bestFit="1" customWidth="1"/>
    <col min="57" max="57" width="9.140625" style="684" bestFit="1" customWidth="1"/>
    <col min="58" max="58" width="6.5703125" style="684" bestFit="1" customWidth="1"/>
    <col min="59" max="59" width="9.140625" style="684" bestFit="1" customWidth="1"/>
    <col min="60" max="61" width="10.140625" style="684" bestFit="1" customWidth="1"/>
    <col min="62" max="66" width="9.140625" style="684" bestFit="1" customWidth="1"/>
    <col min="67" max="67" width="6.5703125" style="684" bestFit="1" customWidth="1"/>
    <col min="68" max="68" width="13.7109375" style="684" bestFit="1" customWidth="1"/>
    <col min="69" max="69" width="10.140625" style="684" bestFit="1" customWidth="1"/>
    <col min="70" max="70" width="12.7109375" style="684" bestFit="1" customWidth="1"/>
    <col min="71" max="71" width="11.140625" style="684" bestFit="1" customWidth="1"/>
    <col min="72" max="72" width="14.140625" style="684" bestFit="1" customWidth="1"/>
    <col min="73" max="73" width="14.28515625" style="684" bestFit="1" customWidth="1"/>
    <col min="74" max="74" width="5.28515625" style="684" customWidth="1"/>
    <col min="75" max="75" width="13.85546875" style="684" customWidth="1"/>
    <col min="76" max="76" width="9.140625" style="684" bestFit="1" customWidth="1"/>
    <col min="77" max="77" width="12.7109375" style="684" bestFit="1" customWidth="1"/>
    <col min="78" max="78" width="13.140625" style="684" bestFit="1" customWidth="1"/>
    <col min="79" max="79" width="14.140625" style="684" bestFit="1" customWidth="1"/>
    <col min="80" max="80" width="10.140625" style="684" bestFit="1" customWidth="1"/>
    <col min="81" max="81" width="15.140625" style="684" bestFit="1" customWidth="1"/>
    <col min="82" max="82" width="10" style="684" bestFit="1" customWidth="1"/>
    <col min="83" max="83" width="11.140625" style="684" bestFit="1" customWidth="1"/>
    <col min="84" max="84" width="15.140625" style="684" bestFit="1" customWidth="1"/>
    <col min="85" max="85" width="10.140625" style="684" bestFit="1" customWidth="1"/>
    <col min="86" max="86" width="11.140625" style="684" bestFit="1" customWidth="1"/>
    <col min="87" max="87" width="10.140625" style="684" bestFit="1" customWidth="1"/>
    <col min="88" max="88" width="10.28515625" style="684" bestFit="1" customWidth="1"/>
    <col min="89" max="89" width="13.28515625" style="684" bestFit="1" customWidth="1"/>
    <col min="90" max="91" width="13.7109375" style="684" bestFit="1" customWidth="1"/>
    <col min="92" max="92" width="6.28515625" style="684" bestFit="1" customWidth="1"/>
    <col min="93" max="16384" width="80.28515625" style="684"/>
  </cols>
  <sheetData>
    <row r="1" spans="1:92" ht="21">
      <c r="A1" s="737" t="s">
        <v>906</v>
      </c>
      <c r="L1" s="737" t="s">
        <v>905</v>
      </c>
      <c r="W1" s="737" t="s">
        <v>904</v>
      </c>
      <c r="AC1" s="735" t="s">
        <v>903</v>
      </c>
      <c r="AD1" s="721"/>
      <c r="AE1" s="721"/>
      <c r="AF1" s="721"/>
      <c r="AG1" s="721"/>
      <c r="AH1" s="721"/>
      <c r="AI1" s="721"/>
      <c r="AJ1" s="721"/>
      <c r="AK1" s="721"/>
      <c r="AL1" s="721"/>
      <c r="AM1" s="721"/>
      <c r="AN1" s="721"/>
      <c r="AO1" s="721"/>
      <c r="AP1" s="721"/>
      <c r="AQ1" s="721"/>
      <c r="AR1" s="721"/>
      <c r="AS1" s="721"/>
      <c r="AT1" s="721"/>
      <c r="AU1" s="721"/>
      <c r="AV1" s="721"/>
      <c r="AW1" s="736"/>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W1" s="735" t="str">
        <f>+AC1</f>
        <v>As-Delivered Monthly Sales &amp; Transportation by Rate Schedule</v>
      </c>
    </row>
    <row r="2" spans="1:92" ht="18.75">
      <c r="A2" s="734" t="s">
        <v>902</v>
      </c>
      <c r="L2" s="730"/>
      <c r="AC2" s="733" t="s">
        <v>901</v>
      </c>
      <c r="AD2" s="721"/>
      <c r="AE2" s="721"/>
      <c r="AF2" s="721"/>
      <c r="AG2" s="721"/>
      <c r="AH2" s="721"/>
      <c r="AI2" s="721"/>
      <c r="AJ2" s="721"/>
      <c r="AK2" s="721"/>
      <c r="AL2" s="721"/>
      <c r="AM2" s="721"/>
      <c r="AN2" s="721"/>
      <c r="AO2" s="721"/>
      <c r="AP2" s="721"/>
      <c r="AQ2" s="721"/>
      <c r="AR2" s="721"/>
      <c r="AS2" s="721"/>
      <c r="AT2" s="721"/>
      <c r="AU2" s="721"/>
      <c r="AV2" s="721"/>
      <c r="AW2" s="732"/>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W2" s="731" t="str">
        <f>+AC2</f>
        <v>Reconciled to LFG's F2018</v>
      </c>
    </row>
    <row r="3" spans="1:92" ht="18.75">
      <c r="A3" s="730"/>
      <c r="L3" s="730"/>
      <c r="W3" s="730"/>
      <c r="AC3" s="728"/>
      <c r="AD3" s="721"/>
      <c r="AE3" s="721"/>
      <c r="AF3" s="721"/>
      <c r="AG3" s="721"/>
      <c r="AH3" s="721"/>
      <c r="AI3" s="721"/>
      <c r="AJ3" s="721"/>
      <c r="AK3" s="721"/>
      <c r="AL3" s="721"/>
      <c r="AM3" s="721"/>
      <c r="AN3" s="721"/>
      <c r="AO3" s="721"/>
      <c r="AP3" s="721"/>
      <c r="AQ3" s="721"/>
      <c r="AR3" s="721"/>
      <c r="AS3" s="721"/>
      <c r="AT3" s="721"/>
      <c r="AU3" s="721"/>
      <c r="AV3" s="721"/>
      <c r="AW3" s="729"/>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W3" s="728"/>
    </row>
    <row r="4" spans="1:92" ht="15">
      <c r="A4" s="727"/>
      <c r="L4" s="727"/>
      <c r="W4" s="727"/>
      <c r="AC4" s="724"/>
      <c r="AD4" s="721"/>
      <c r="AE4" s="721"/>
      <c r="AF4" s="721"/>
      <c r="AG4" s="721"/>
      <c r="AH4" s="721"/>
      <c r="AI4" s="721"/>
      <c r="AJ4" s="721"/>
      <c r="AK4" s="721"/>
      <c r="AL4" s="721"/>
      <c r="AM4" s="721"/>
      <c r="AN4" s="721"/>
      <c r="AO4" s="721"/>
      <c r="AP4" s="721"/>
      <c r="AQ4" s="721"/>
      <c r="AR4" s="721"/>
      <c r="AS4" s="721"/>
      <c r="AT4" s="721"/>
      <c r="AU4" s="721"/>
      <c r="AV4" s="721"/>
      <c r="AW4" s="726"/>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W4" s="724"/>
    </row>
    <row r="5" spans="1:92" ht="15.75">
      <c r="A5" s="725"/>
      <c r="L5" s="725"/>
      <c r="W5" s="725"/>
      <c r="AC5" s="722"/>
      <c r="AD5" s="724"/>
      <c r="AE5" s="724"/>
      <c r="AF5" s="721"/>
      <c r="AG5" s="721"/>
      <c r="AH5" s="721"/>
      <c r="AI5" s="721"/>
      <c r="AJ5" s="721"/>
      <c r="AK5" s="721"/>
      <c r="AL5" s="721"/>
      <c r="AM5" s="721"/>
      <c r="AN5" s="721"/>
      <c r="AO5" s="721"/>
      <c r="AP5" s="721"/>
      <c r="AQ5" s="721"/>
      <c r="AR5" s="721"/>
      <c r="AS5" s="721"/>
      <c r="AT5" s="721"/>
      <c r="AU5" s="721"/>
      <c r="AV5" s="721"/>
      <c r="AW5" s="723"/>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W5" s="722"/>
    </row>
    <row r="6" spans="1:92">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row>
    <row r="7" spans="1:92" ht="15">
      <c r="A7" s="718" t="s">
        <v>633</v>
      </c>
      <c r="B7" s="719" t="s">
        <v>895</v>
      </c>
      <c r="C7" s="718" t="s">
        <v>813</v>
      </c>
      <c r="D7" s="717" t="s">
        <v>898</v>
      </c>
      <c r="E7" s="717" t="s">
        <v>897</v>
      </c>
      <c r="F7" s="717" t="s">
        <v>896</v>
      </c>
      <c r="G7" s="719" t="s">
        <v>900</v>
      </c>
      <c r="H7" s="720" t="s">
        <v>857</v>
      </c>
      <c r="I7" s="720" t="s">
        <v>899</v>
      </c>
      <c r="J7" s="720" t="s">
        <v>853</v>
      </c>
      <c r="L7" s="718" t="s">
        <v>633</v>
      </c>
      <c r="M7" s="719" t="s">
        <v>895</v>
      </c>
      <c r="N7" s="718" t="s">
        <v>813</v>
      </c>
      <c r="O7" s="717" t="s">
        <v>898</v>
      </c>
      <c r="P7" s="717" t="s">
        <v>897</v>
      </c>
      <c r="Q7" s="717" t="s">
        <v>896</v>
      </c>
      <c r="R7" s="719" t="s">
        <v>900</v>
      </c>
      <c r="S7" s="720" t="s">
        <v>857</v>
      </c>
      <c r="T7" s="720" t="s">
        <v>899</v>
      </c>
      <c r="U7" s="720" t="s">
        <v>853</v>
      </c>
      <c r="W7" s="718" t="s">
        <v>633</v>
      </c>
      <c r="X7" s="719" t="s">
        <v>895</v>
      </c>
      <c r="Y7" s="718" t="s">
        <v>813</v>
      </c>
      <c r="Z7" s="717" t="s">
        <v>898</v>
      </c>
      <c r="AA7" s="717" t="s">
        <v>897</v>
      </c>
      <c r="AB7" s="717" t="s">
        <v>896</v>
      </c>
      <c r="AC7" s="716" t="s">
        <v>633</v>
      </c>
      <c r="AD7" s="716" t="s">
        <v>895</v>
      </c>
      <c r="AE7" s="716" t="s">
        <v>894</v>
      </c>
      <c r="AF7" s="715" t="s">
        <v>893</v>
      </c>
      <c r="AG7" s="715" t="s">
        <v>892</v>
      </c>
      <c r="AH7" s="715" t="s">
        <v>891</v>
      </c>
      <c r="AI7" s="715" t="s">
        <v>890</v>
      </c>
      <c r="AJ7" s="715" t="s">
        <v>889</v>
      </c>
      <c r="AK7" s="715" t="s">
        <v>888</v>
      </c>
      <c r="AL7" s="715" t="s">
        <v>887</v>
      </c>
      <c r="AM7" s="715" t="s">
        <v>886</v>
      </c>
      <c r="AN7" s="715" t="s">
        <v>885</v>
      </c>
      <c r="AO7" s="715" t="s">
        <v>884</v>
      </c>
      <c r="AP7" s="715" t="s">
        <v>883</v>
      </c>
      <c r="AQ7" s="715" t="s">
        <v>882</v>
      </c>
      <c r="AR7" s="715" t="s">
        <v>881</v>
      </c>
      <c r="AS7" s="715" t="s">
        <v>880</v>
      </c>
      <c r="AT7" s="715" t="s">
        <v>879</v>
      </c>
      <c r="AU7" s="715" t="s">
        <v>878</v>
      </c>
      <c r="AV7" s="715" t="s">
        <v>877</v>
      </c>
      <c r="AW7" s="715" t="s">
        <v>876</v>
      </c>
      <c r="AX7" s="715" t="s">
        <v>875</v>
      </c>
      <c r="AY7" s="715" t="s">
        <v>874</v>
      </c>
      <c r="AZ7" s="715" t="s">
        <v>873</v>
      </c>
      <c r="BA7" s="715" t="s">
        <v>872</v>
      </c>
      <c r="BB7" s="715" t="s">
        <v>871</v>
      </c>
      <c r="BC7" s="715" t="s">
        <v>870</v>
      </c>
      <c r="BD7" s="715" t="s">
        <v>869</v>
      </c>
      <c r="BE7" s="715" t="s">
        <v>868</v>
      </c>
      <c r="BF7" s="715" t="s">
        <v>867</v>
      </c>
      <c r="BG7" s="715" t="s">
        <v>866</v>
      </c>
      <c r="BH7" s="715" t="s">
        <v>865</v>
      </c>
      <c r="BI7" s="715" t="s">
        <v>864</v>
      </c>
      <c r="BJ7" s="715" t="s">
        <v>863</v>
      </c>
      <c r="BK7" s="715" t="s">
        <v>862</v>
      </c>
      <c r="BL7" s="715" t="s">
        <v>861</v>
      </c>
      <c r="BM7" s="715" t="s">
        <v>860</v>
      </c>
      <c r="BN7" s="715" t="s">
        <v>859</v>
      </c>
      <c r="BO7" s="714" t="s">
        <v>858</v>
      </c>
      <c r="BP7" s="713" t="s">
        <v>857</v>
      </c>
      <c r="BQ7" s="716" t="s">
        <v>856</v>
      </c>
      <c r="BR7" s="715" t="s">
        <v>855</v>
      </c>
      <c r="BS7" s="714" t="s">
        <v>854</v>
      </c>
      <c r="BT7" s="713" t="s">
        <v>853</v>
      </c>
      <c r="BU7" s="713" t="s">
        <v>852</v>
      </c>
      <c r="BW7" s="711" t="s">
        <v>851</v>
      </c>
      <c r="BX7" s="712" t="s">
        <v>850</v>
      </c>
      <c r="BY7" s="712" t="s">
        <v>849</v>
      </c>
      <c r="BZ7" s="712" t="s">
        <v>848</v>
      </c>
      <c r="CA7" s="712" t="s">
        <v>847</v>
      </c>
      <c r="CB7" s="712" t="s">
        <v>846</v>
      </c>
      <c r="CC7" s="712" t="s">
        <v>845</v>
      </c>
      <c r="CD7" s="712" t="s">
        <v>844</v>
      </c>
      <c r="CE7" s="712" t="s">
        <v>843</v>
      </c>
      <c r="CF7" s="712" t="s">
        <v>842</v>
      </c>
      <c r="CG7" s="712" t="s">
        <v>841</v>
      </c>
      <c r="CH7" s="712" t="s">
        <v>840</v>
      </c>
      <c r="CI7" s="712" t="s">
        <v>839</v>
      </c>
      <c r="CJ7" s="712" t="s">
        <v>786</v>
      </c>
      <c r="CK7" s="712" t="s">
        <v>838</v>
      </c>
      <c r="CL7" s="711" t="s">
        <v>837</v>
      </c>
      <c r="CM7" s="711" t="s">
        <v>836</v>
      </c>
    </row>
    <row r="8" spans="1:92" ht="15">
      <c r="A8" s="705">
        <v>2019</v>
      </c>
      <c r="B8" s="704">
        <v>1</v>
      </c>
      <c r="C8" s="710">
        <v>1259288</v>
      </c>
      <c r="D8" s="710">
        <v>840538</v>
      </c>
      <c r="E8" s="710">
        <v>115042</v>
      </c>
      <c r="F8" s="710">
        <v>6704</v>
      </c>
      <c r="G8" s="709">
        <v>883</v>
      </c>
      <c r="H8" s="706">
        <f t="shared" ref="H8:H19" si="0">SUM(C8:G8)</f>
        <v>2222455</v>
      </c>
      <c r="I8" s="708">
        <v>169276</v>
      </c>
      <c r="J8" s="706">
        <f t="shared" ref="J8:J19" si="1">H8+I8</f>
        <v>2391731</v>
      </c>
      <c r="L8" s="705">
        <f>$A8</f>
        <v>2019</v>
      </c>
      <c r="M8" s="704">
        <f t="shared" ref="M8:M19" si="2">$B8</f>
        <v>1</v>
      </c>
      <c r="N8" s="703">
        <v>1221192507.9196978</v>
      </c>
      <c r="O8" s="703">
        <v>800015799.98110354</v>
      </c>
      <c r="P8" s="703">
        <v>101922741.53055555</v>
      </c>
      <c r="Q8" s="703">
        <v>6774889.8944900967</v>
      </c>
      <c r="R8" s="707">
        <v>1002762.6554125422</v>
      </c>
      <c r="S8" s="706">
        <f t="shared" ref="S8:S19" si="3">SUM(N8:R8)</f>
        <v>2130908701.9812591</v>
      </c>
      <c r="T8" s="706">
        <v>179038424.45006558</v>
      </c>
      <c r="U8" s="706">
        <f t="shared" ref="U8:U19" si="4">S8+T8</f>
        <v>2309947126.4313245</v>
      </c>
      <c r="W8" s="705">
        <f>$A8</f>
        <v>2019</v>
      </c>
      <c r="X8" s="704">
        <f t="shared" ref="X8:X19" si="5">$B8</f>
        <v>1</v>
      </c>
      <c r="Y8" s="703">
        <f t="shared" ref="Y8:Y19" si="6">C8*1000-N8</f>
        <v>38095492.080302238</v>
      </c>
      <c r="Z8" s="703">
        <f t="shared" ref="Z8:Z19" si="7">D8*1000-O8</f>
        <v>40522200.018896461</v>
      </c>
      <c r="AA8" s="703">
        <f t="shared" ref="AA8:AA19" si="8">E8*1000-P8</f>
        <v>13119258.469444454</v>
      </c>
      <c r="AB8" s="703">
        <f t="shared" ref="AB8:AB19" si="9">F8*1000-Q8</f>
        <v>-70889.894490096718</v>
      </c>
      <c r="AC8" s="695">
        <f>$A8</f>
        <v>2019</v>
      </c>
      <c r="AD8" s="695">
        <f t="shared" ref="AD8:AD19" si="10">$B8</f>
        <v>1</v>
      </c>
      <c r="AE8" s="694">
        <v>586.20925204601849</v>
      </c>
      <c r="AF8" s="691">
        <v>883000</v>
      </c>
      <c r="AG8" s="691">
        <v>1259041236.2574518</v>
      </c>
      <c r="AH8" s="691">
        <v>246763.74254819399</v>
      </c>
      <c r="AI8" s="691">
        <v>28705035.019130263</v>
      </c>
      <c r="AJ8" s="691">
        <v>3505706.2417982067</v>
      </c>
      <c r="AK8" s="691">
        <v>16323351.933456073</v>
      </c>
      <c r="AL8" s="691">
        <v>1847412.4709986101</v>
      </c>
      <c r="AM8" s="691">
        <v>255254595.06954047</v>
      </c>
      <c r="AN8" s="691">
        <v>9956276.2694686335</v>
      </c>
      <c r="AO8" s="691">
        <v>255659484.60162878</v>
      </c>
      <c r="AP8" s="691">
        <v>17852629.299122993</v>
      </c>
      <c r="AQ8" s="691">
        <v>142973965.70689952</v>
      </c>
      <c r="AR8" s="691">
        <v>19902555.220342811</v>
      </c>
      <c r="AS8" s="691">
        <v>315788.5348240076</v>
      </c>
      <c r="AT8" s="691">
        <v>76302398.733366907</v>
      </c>
      <c r="AU8" s="691">
        <v>46403958.384831436</v>
      </c>
      <c r="AV8" s="691">
        <v>4087.3146850610569</v>
      </c>
      <c r="AW8" s="691">
        <v>2719439.595675719</v>
      </c>
      <c r="AX8" s="691">
        <v>5407683.2957852241</v>
      </c>
      <c r="AY8" s="691">
        <v>16004158.587572709</v>
      </c>
      <c r="AZ8" s="691">
        <v>1804762.7837271909</v>
      </c>
      <c r="BA8" s="691">
        <v>4467143.1212358745</v>
      </c>
      <c r="BB8" s="691">
        <v>38583171.952107154</v>
      </c>
      <c r="BC8" s="691">
        <v>11051754.409213005</v>
      </c>
      <c r="BD8" s="691">
        <v>1302621.634382043</v>
      </c>
      <c r="BE8" s="691">
        <v>114674.13224155147</v>
      </c>
      <c r="BF8" s="691">
        <v>4727.0004089303447</v>
      </c>
      <c r="BG8" s="691">
        <v>234894.14798039943</v>
      </c>
      <c r="BH8" s="691">
        <v>1138013.7634041277</v>
      </c>
      <c r="BI8" s="691">
        <v>2979911.9269417701</v>
      </c>
      <c r="BJ8" s="691">
        <v>558029.52789298084</v>
      </c>
      <c r="BK8" s="691">
        <v>166937.66489330141</v>
      </c>
      <c r="BL8" s="691">
        <v>157708.29992196511</v>
      </c>
      <c r="BM8" s="691">
        <v>370541.65749614971</v>
      </c>
      <c r="BN8" s="691">
        <v>202178.2416272336</v>
      </c>
      <c r="BO8" s="691">
        <v>7817.2481467786638</v>
      </c>
      <c r="BP8" s="691">
        <f t="shared" ref="BP8:BP19" si="11">SUM(AE8:BO8)</f>
        <v>2222455000</v>
      </c>
      <c r="BQ8" s="691">
        <v>6185278.1736883279</v>
      </c>
      <c r="BR8" s="691">
        <v>136994976.98184752</v>
      </c>
      <c r="BS8" s="691">
        <v>26095744.844464149</v>
      </c>
      <c r="BT8" s="691">
        <f t="shared" ref="BT8:BT19" si="12">BP8+SUM(BQ8:BS8)</f>
        <v>2391731000</v>
      </c>
      <c r="BU8" s="691">
        <v>40701887.911405884</v>
      </c>
      <c r="BV8" s="693"/>
      <c r="BW8" s="692">
        <f t="shared" ref="BW8:BW43" si="13">ROUND(AG8,-3)</f>
        <v>1259041000</v>
      </c>
      <c r="BX8" s="692">
        <f t="shared" ref="BX8:BX43" si="14">ROUND(AH8,-3)</f>
        <v>247000</v>
      </c>
      <c r="BY8" s="692">
        <f t="shared" ref="BY8:BY43" si="15">ROUND(SUM(AI8,AM8:AN8,BD8),-3)</f>
        <v>295219000</v>
      </c>
      <c r="BZ8" s="692">
        <f>ROUND(SUM(AK8,AO8:AP8,BE8),-3)</f>
        <v>289950000</v>
      </c>
      <c r="CA8" s="692">
        <f t="shared" ref="CA8:CA43" si="16">ROUND(SUM(AL8,AQ8:AR8),-3)</f>
        <v>164724000</v>
      </c>
      <c r="CB8" s="692">
        <f t="shared" ref="CB8:CB43" si="17">ROUND(SUM(AS8),-3)</f>
        <v>316000</v>
      </c>
      <c r="CC8" s="692">
        <f t="shared" ref="CC8:CC43" si="18">ROUND(SUM(AJ8,AT8:AU8),-3)</f>
        <v>126212000</v>
      </c>
      <c r="CD8" s="692">
        <f t="shared" ref="CD8:CD43" si="19">ROUND(SUM(AV8),-3)</f>
        <v>4000</v>
      </c>
      <c r="CE8" s="692">
        <f t="shared" ref="CE8:CE43" si="20">ROUND(SUM(AY8),-3)</f>
        <v>16004000</v>
      </c>
      <c r="CF8" s="692">
        <f t="shared" ref="CF8:CF43" si="21">ROUND(SUM(AW8:AX8),-3)</f>
        <v>8127000</v>
      </c>
      <c r="CG8" s="692">
        <f t="shared" ref="CG8:CG43" si="22">ROUND(SUM(AZ8:BA8),-3)</f>
        <v>6272000</v>
      </c>
      <c r="CH8" s="692">
        <f t="shared" ref="CH8:CH43" si="23">ROUND(SUM(BB8:BC8),-3)</f>
        <v>49635000</v>
      </c>
      <c r="CI8" s="692">
        <f t="shared" ref="CI8:CI43" si="24">ROUND(SUM(AE8,BF8:BO8),-3)</f>
        <v>5821000</v>
      </c>
      <c r="CJ8" s="692">
        <f t="shared" ref="CJ8:CJ43" si="25">ROUND(SUM(AF8),-3)</f>
        <v>883000</v>
      </c>
      <c r="CK8" s="692">
        <f t="shared" ref="CK8:CK43" si="26">ROUND(SUM(BQ8:BS8,BU8),-3)</f>
        <v>209978000</v>
      </c>
      <c r="CL8" s="692">
        <f t="shared" ref="CL8:CL43" si="27">SUM(BW8:CK8)</f>
        <v>2432433000</v>
      </c>
      <c r="CM8" s="692">
        <f t="shared" ref="CM8:CM43" si="28">ROUND(SUM(BT8:BU8),-3)</f>
        <v>2432433000</v>
      </c>
      <c r="CN8" s="691">
        <f t="shared" ref="CN8:CN43" si="29">+CM8-CL8</f>
        <v>0</v>
      </c>
    </row>
    <row r="9" spans="1:92" ht="15">
      <c r="A9" s="705"/>
      <c r="B9" s="704">
        <v>2</v>
      </c>
      <c r="C9" s="710">
        <v>1049964</v>
      </c>
      <c r="D9" s="710">
        <v>757240</v>
      </c>
      <c r="E9" s="710">
        <v>98109</v>
      </c>
      <c r="F9" s="710">
        <v>6176</v>
      </c>
      <c r="G9" s="709">
        <v>816</v>
      </c>
      <c r="H9" s="706">
        <f t="shared" si="0"/>
        <v>1912305</v>
      </c>
      <c r="I9" s="708">
        <v>169405</v>
      </c>
      <c r="J9" s="706">
        <f t="shared" si="1"/>
        <v>2081710</v>
      </c>
      <c r="L9" s="705"/>
      <c r="M9" s="704">
        <f t="shared" si="2"/>
        <v>2</v>
      </c>
      <c r="N9" s="703">
        <v>1054290447.3191795</v>
      </c>
      <c r="O9" s="703">
        <v>714998824.89775753</v>
      </c>
      <c r="P9" s="703">
        <v>96640197.353806242</v>
      </c>
      <c r="Q9" s="703">
        <v>6061889.6631117435</v>
      </c>
      <c r="R9" s="707">
        <v>841440.31993308745</v>
      </c>
      <c r="S9" s="706">
        <f t="shared" si="3"/>
        <v>1872832799.5537882</v>
      </c>
      <c r="T9" s="706">
        <v>159637652.57380196</v>
      </c>
      <c r="U9" s="706">
        <f t="shared" si="4"/>
        <v>2032470452.1275902</v>
      </c>
      <c r="W9" s="705"/>
      <c r="X9" s="704">
        <f t="shared" si="5"/>
        <v>2</v>
      </c>
      <c r="Y9" s="703">
        <f t="shared" si="6"/>
        <v>-4326447.3191795349</v>
      </c>
      <c r="Z9" s="703">
        <f t="shared" si="7"/>
        <v>42241175.10224247</v>
      </c>
      <c r="AA9" s="703">
        <f t="shared" si="8"/>
        <v>1468802.6461937577</v>
      </c>
      <c r="AB9" s="703">
        <f t="shared" si="9"/>
        <v>114110.33688825648</v>
      </c>
      <c r="AC9" s="693"/>
      <c r="AD9" s="695">
        <f t="shared" si="10"/>
        <v>2</v>
      </c>
      <c r="AE9" s="694">
        <v>559.59805325510763</v>
      </c>
      <c r="AF9" s="691">
        <v>816000</v>
      </c>
      <c r="AG9" s="691">
        <v>1049780380.1846642</v>
      </c>
      <c r="AH9" s="691">
        <v>183619.81533566411</v>
      </c>
      <c r="AI9" s="691">
        <v>24700404.243787814</v>
      </c>
      <c r="AJ9" s="691">
        <v>3111333.8515849761</v>
      </c>
      <c r="AK9" s="691">
        <v>13736020.264433455</v>
      </c>
      <c r="AL9" s="691">
        <v>1575893.0816527314</v>
      </c>
      <c r="AM9" s="691">
        <v>221861138.30639061</v>
      </c>
      <c r="AN9" s="691">
        <v>8032246.7009127485</v>
      </c>
      <c r="AO9" s="691">
        <v>235212825.50073975</v>
      </c>
      <c r="AP9" s="691">
        <v>15016148.378482979</v>
      </c>
      <c r="AQ9" s="691">
        <v>131205991.10081756</v>
      </c>
      <c r="AR9" s="691">
        <v>17448915.283833403</v>
      </c>
      <c r="AS9" s="691">
        <v>302219.51689467079</v>
      </c>
      <c r="AT9" s="691">
        <v>70010441.626419425</v>
      </c>
      <c r="AU9" s="691">
        <v>38603849.947068594</v>
      </c>
      <c r="AV9" s="691">
        <v>3003.8684267077092</v>
      </c>
      <c r="AW9" s="691">
        <v>4370812.9341378119</v>
      </c>
      <c r="AX9" s="691">
        <v>4479351.5175016141</v>
      </c>
      <c r="AY9" s="691">
        <v>13601617.77761017</v>
      </c>
      <c r="AZ9" s="691">
        <v>1647694.6689671334</v>
      </c>
      <c r="BA9" s="691">
        <v>5129202.7701413799</v>
      </c>
      <c r="BB9" s="691">
        <v>35403362.859379128</v>
      </c>
      <c r="BC9" s="691">
        <v>9399285.4020592701</v>
      </c>
      <c r="BD9" s="691">
        <v>1129816.1654120598</v>
      </c>
      <c r="BE9" s="691">
        <v>101169.13480717082</v>
      </c>
      <c r="BF9" s="691">
        <v>4572.9206303686751</v>
      </c>
      <c r="BG9" s="691">
        <v>242286.45899091655</v>
      </c>
      <c r="BH9" s="691">
        <v>1089979.4478816763</v>
      </c>
      <c r="BI9" s="691">
        <v>2815988.9923370848</v>
      </c>
      <c r="BJ9" s="691">
        <v>534128.30276544089</v>
      </c>
      <c r="BK9" s="691">
        <v>155618.18772471035</v>
      </c>
      <c r="BL9" s="691">
        <v>146324.75159049293</v>
      </c>
      <c r="BM9" s="691">
        <v>257498.97912202825</v>
      </c>
      <c r="BN9" s="691">
        <v>187840.40458331723</v>
      </c>
      <c r="BO9" s="691">
        <v>7457.0548596157905</v>
      </c>
      <c r="BP9" s="691">
        <f t="shared" si="11"/>
        <v>1912304999.9999993</v>
      </c>
      <c r="BQ9" s="691">
        <v>6212318.7363128038</v>
      </c>
      <c r="BR9" s="691">
        <v>136686964.64823565</v>
      </c>
      <c r="BS9" s="691">
        <v>26505716.615451552</v>
      </c>
      <c r="BT9" s="691">
        <f t="shared" si="12"/>
        <v>2081709999.9999993</v>
      </c>
      <c r="BU9" s="691">
        <v>38643254.0351208</v>
      </c>
      <c r="BV9" s="693"/>
      <c r="BW9" s="692">
        <f t="shared" si="13"/>
        <v>1049780000</v>
      </c>
      <c r="BX9" s="692">
        <f t="shared" si="14"/>
        <v>184000</v>
      </c>
      <c r="BY9" s="692">
        <f t="shared" si="15"/>
        <v>255724000</v>
      </c>
      <c r="BZ9" s="692">
        <f>ROUND(SUM(AK9,AO9:AP9,BE9),-3)-1000</f>
        <v>264065000</v>
      </c>
      <c r="CA9" s="692">
        <f t="shared" si="16"/>
        <v>150231000</v>
      </c>
      <c r="CB9" s="692">
        <f t="shared" si="17"/>
        <v>302000</v>
      </c>
      <c r="CC9" s="692">
        <f t="shared" si="18"/>
        <v>111726000</v>
      </c>
      <c r="CD9" s="692">
        <f t="shared" si="19"/>
        <v>3000</v>
      </c>
      <c r="CE9" s="692">
        <f t="shared" si="20"/>
        <v>13602000</v>
      </c>
      <c r="CF9" s="692">
        <f t="shared" si="21"/>
        <v>8850000</v>
      </c>
      <c r="CG9" s="692">
        <f t="shared" si="22"/>
        <v>6777000</v>
      </c>
      <c r="CH9" s="692">
        <f t="shared" si="23"/>
        <v>44803000</v>
      </c>
      <c r="CI9" s="692">
        <f t="shared" si="24"/>
        <v>5442000</v>
      </c>
      <c r="CJ9" s="692">
        <f t="shared" si="25"/>
        <v>816000</v>
      </c>
      <c r="CK9" s="692">
        <f t="shared" si="26"/>
        <v>208048000</v>
      </c>
      <c r="CL9" s="692">
        <f t="shared" si="27"/>
        <v>2120353000</v>
      </c>
      <c r="CM9" s="692">
        <f t="shared" si="28"/>
        <v>2120353000</v>
      </c>
      <c r="CN9" s="691">
        <f t="shared" si="29"/>
        <v>0</v>
      </c>
    </row>
    <row r="10" spans="1:92" ht="15">
      <c r="A10" s="705"/>
      <c r="B10" s="704">
        <v>3</v>
      </c>
      <c r="C10" s="710">
        <v>1045413</v>
      </c>
      <c r="D10" s="710">
        <v>804397</v>
      </c>
      <c r="E10" s="710">
        <v>109918</v>
      </c>
      <c r="F10" s="710">
        <v>6850</v>
      </c>
      <c r="G10" s="709">
        <v>814</v>
      </c>
      <c r="H10" s="706">
        <f t="shared" si="0"/>
        <v>1967392</v>
      </c>
      <c r="I10" s="708">
        <v>169416</v>
      </c>
      <c r="J10" s="706">
        <f t="shared" si="1"/>
        <v>2136808</v>
      </c>
      <c r="L10" s="705"/>
      <c r="M10" s="704">
        <f t="shared" si="2"/>
        <v>3</v>
      </c>
      <c r="N10" s="703">
        <v>1023440762.6996967</v>
      </c>
      <c r="O10" s="703">
        <v>750897937.35014975</v>
      </c>
      <c r="P10" s="703">
        <v>101355823.76694773</v>
      </c>
      <c r="Q10" s="703">
        <v>6665955.0943024531</v>
      </c>
      <c r="R10" s="707">
        <v>807925.28024655883</v>
      </c>
      <c r="S10" s="706">
        <f t="shared" si="3"/>
        <v>1883168404.1913431</v>
      </c>
      <c r="T10" s="706">
        <v>165763537.14973554</v>
      </c>
      <c r="U10" s="706">
        <f t="shared" si="4"/>
        <v>2048931941.3410785</v>
      </c>
      <c r="W10" s="705"/>
      <c r="X10" s="704">
        <f t="shared" si="5"/>
        <v>3</v>
      </c>
      <c r="Y10" s="703">
        <f t="shared" si="6"/>
        <v>21972237.30030334</v>
      </c>
      <c r="Z10" s="703">
        <f t="shared" si="7"/>
        <v>53499062.649850249</v>
      </c>
      <c r="AA10" s="703">
        <f t="shared" si="8"/>
        <v>8562176.2330522686</v>
      </c>
      <c r="AB10" s="703">
        <f t="shared" si="9"/>
        <v>184044.9056975469</v>
      </c>
      <c r="AC10" s="693"/>
      <c r="AD10" s="695">
        <f t="shared" si="10"/>
        <v>3</v>
      </c>
      <c r="AE10" s="694">
        <v>642.49075686488777</v>
      </c>
      <c r="AF10" s="691">
        <v>814000</v>
      </c>
      <c r="AG10" s="691">
        <v>1045223066.9354016</v>
      </c>
      <c r="AH10" s="691">
        <v>189933.06459850891</v>
      </c>
      <c r="AI10" s="691">
        <v>24947707.275992557</v>
      </c>
      <c r="AJ10" s="691">
        <v>3250078.6684244559</v>
      </c>
      <c r="AK10" s="691">
        <v>14060191.284505326</v>
      </c>
      <c r="AL10" s="691">
        <v>1676134.1539381316</v>
      </c>
      <c r="AM10" s="691">
        <v>238543083.52022535</v>
      </c>
      <c r="AN10" s="691">
        <v>9107396.0675751567</v>
      </c>
      <c r="AO10" s="691">
        <v>241862081.28314069</v>
      </c>
      <c r="AP10" s="691">
        <v>16748343.683228238</v>
      </c>
      <c r="AQ10" s="691">
        <v>141628370.81156856</v>
      </c>
      <c r="AR10" s="691">
        <v>19737726.086208843</v>
      </c>
      <c r="AS10" s="691">
        <v>334979.19091726007</v>
      </c>
      <c r="AT10" s="691">
        <v>75165680.923378497</v>
      </c>
      <c r="AU10" s="691">
        <v>42820403.024472617</v>
      </c>
      <c r="AV10" s="691">
        <v>6108.3200058093744</v>
      </c>
      <c r="AW10" s="691">
        <v>7559224.8724903474</v>
      </c>
      <c r="AX10" s="691">
        <v>5314140.310234651</v>
      </c>
      <c r="AY10" s="691">
        <v>12832102.257441688</v>
      </c>
      <c r="AZ10" s="691">
        <v>1819647.7832092459</v>
      </c>
      <c r="BA10" s="691">
        <v>5535494.5249816692</v>
      </c>
      <c r="BB10" s="691">
        <v>40146672.291920766</v>
      </c>
      <c r="BC10" s="691">
        <v>10654496.303298807</v>
      </c>
      <c r="BD10" s="691">
        <v>1112705.2620050043</v>
      </c>
      <c r="BE10" s="691">
        <v>99113.122525051265</v>
      </c>
      <c r="BF10" s="691">
        <v>5243.9827138638329</v>
      </c>
      <c r="BG10" s="691">
        <v>269738.63733971107</v>
      </c>
      <c r="BH10" s="691">
        <v>1249567.7767315523</v>
      </c>
      <c r="BI10" s="691">
        <v>3211220.8519178242</v>
      </c>
      <c r="BJ10" s="691">
        <v>609810.92352978932</v>
      </c>
      <c r="BK10" s="691">
        <v>176247.45831250603</v>
      </c>
      <c r="BL10" s="691">
        <v>165322.07793304036</v>
      </c>
      <c r="BM10" s="691">
        <v>291956.95248033752</v>
      </c>
      <c r="BN10" s="691">
        <v>215058.42129174439</v>
      </c>
      <c r="BO10" s="691">
        <v>8309.4053040168928</v>
      </c>
      <c r="BP10" s="691">
        <f t="shared" si="11"/>
        <v>1967392000</v>
      </c>
      <c r="BQ10" s="691">
        <v>6310850.6320956508</v>
      </c>
      <c r="BR10" s="691">
        <v>136038506.71547663</v>
      </c>
      <c r="BS10" s="691">
        <v>27066642.652427722</v>
      </c>
      <c r="BT10" s="691">
        <f t="shared" si="12"/>
        <v>2136808000</v>
      </c>
      <c r="BU10" s="691">
        <v>36211225.085266523</v>
      </c>
      <c r="BV10" s="693"/>
      <c r="BW10" s="692">
        <f t="shared" si="13"/>
        <v>1045223000</v>
      </c>
      <c r="BX10" s="692">
        <f t="shared" si="14"/>
        <v>190000</v>
      </c>
      <c r="BY10" s="692">
        <f t="shared" si="15"/>
        <v>273711000</v>
      </c>
      <c r="BZ10" s="692">
        <f>ROUND(SUM(AK10,AO10:AP10,BE10),-3)+1000</f>
        <v>272771000</v>
      </c>
      <c r="CA10" s="692">
        <f t="shared" si="16"/>
        <v>163042000</v>
      </c>
      <c r="CB10" s="692">
        <f t="shared" si="17"/>
        <v>335000</v>
      </c>
      <c r="CC10" s="692">
        <f t="shared" si="18"/>
        <v>121236000</v>
      </c>
      <c r="CD10" s="692">
        <f t="shared" si="19"/>
        <v>6000</v>
      </c>
      <c r="CE10" s="692">
        <f t="shared" si="20"/>
        <v>12832000</v>
      </c>
      <c r="CF10" s="692">
        <f t="shared" si="21"/>
        <v>12873000</v>
      </c>
      <c r="CG10" s="692">
        <f t="shared" si="22"/>
        <v>7355000</v>
      </c>
      <c r="CH10" s="692">
        <f t="shared" si="23"/>
        <v>50801000</v>
      </c>
      <c r="CI10" s="692">
        <f t="shared" si="24"/>
        <v>6203000</v>
      </c>
      <c r="CJ10" s="692">
        <f t="shared" si="25"/>
        <v>814000</v>
      </c>
      <c r="CK10" s="692">
        <f t="shared" si="26"/>
        <v>205627000</v>
      </c>
      <c r="CL10" s="692">
        <f t="shared" si="27"/>
        <v>2173019000</v>
      </c>
      <c r="CM10" s="692">
        <f t="shared" si="28"/>
        <v>2173019000</v>
      </c>
      <c r="CN10" s="691">
        <f t="shared" si="29"/>
        <v>0</v>
      </c>
    </row>
    <row r="11" spans="1:92" ht="15">
      <c r="A11" s="705"/>
      <c r="B11" s="704">
        <v>4</v>
      </c>
      <c r="C11" s="710">
        <v>862305</v>
      </c>
      <c r="D11" s="710">
        <v>743373</v>
      </c>
      <c r="E11" s="710">
        <v>101031</v>
      </c>
      <c r="F11" s="710">
        <v>6116</v>
      </c>
      <c r="G11" s="709">
        <v>591</v>
      </c>
      <c r="H11" s="706">
        <f t="shared" si="0"/>
        <v>1713416</v>
      </c>
      <c r="I11" s="708">
        <v>169416</v>
      </c>
      <c r="J11" s="706">
        <f t="shared" si="1"/>
        <v>1882832</v>
      </c>
      <c r="L11" s="705"/>
      <c r="M11" s="704">
        <f t="shared" si="2"/>
        <v>4</v>
      </c>
      <c r="N11" s="703">
        <v>848944075.34425116</v>
      </c>
      <c r="O11" s="703">
        <v>706317460.31100571</v>
      </c>
      <c r="P11" s="703">
        <v>98480041.588331878</v>
      </c>
      <c r="Q11" s="703">
        <v>6329799.4222623371</v>
      </c>
      <c r="R11" s="707">
        <v>602585.90041367337</v>
      </c>
      <c r="S11" s="706">
        <f t="shared" si="3"/>
        <v>1660673962.5662649</v>
      </c>
      <c r="T11" s="706">
        <v>156572149.67535993</v>
      </c>
      <c r="U11" s="706">
        <f t="shared" si="4"/>
        <v>1817246112.2416248</v>
      </c>
      <c r="W11" s="705"/>
      <c r="X11" s="704">
        <f t="shared" si="5"/>
        <v>4</v>
      </c>
      <c r="Y11" s="703">
        <f t="shared" si="6"/>
        <v>13360924.655748844</v>
      </c>
      <c r="Z11" s="703">
        <f t="shared" si="7"/>
        <v>37055539.688994288</v>
      </c>
      <c r="AA11" s="703">
        <f t="shared" si="8"/>
        <v>2550958.4116681218</v>
      </c>
      <c r="AB11" s="703">
        <f t="shared" si="9"/>
        <v>-213799.42226233706</v>
      </c>
      <c r="AC11" s="693"/>
      <c r="AD11" s="695">
        <f t="shared" si="10"/>
        <v>4</v>
      </c>
      <c r="AE11" s="694">
        <v>584.50662131920512</v>
      </c>
      <c r="AF11" s="691">
        <v>591000</v>
      </c>
      <c r="AG11" s="691">
        <v>862137372.25637758</v>
      </c>
      <c r="AH11" s="691">
        <v>167627.74362241678</v>
      </c>
      <c r="AI11" s="691">
        <v>20985636.818296526</v>
      </c>
      <c r="AJ11" s="691">
        <v>2889841.0873069866</v>
      </c>
      <c r="AK11" s="691">
        <v>12264791.145393336</v>
      </c>
      <c r="AL11" s="691">
        <v>1450487.4657240659</v>
      </c>
      <c r="AM11" s="691">
        <v>214932014.70948562</v>
      </c>
      <c r="AN11" s="691">
        <v>7906744.9096906492</v>
      </c>
      <c r="AO11" s="691">
        <v>231205877.32271636</v>
      </c>
      <c r="AP11" s="691">
        <v>15328287.416198239</v>
      </c>
      <c r="AQ11" s="691">
        <v>132939566.29159528</v>
      </c>
      <c r="AR11" s="691">
        <v>18414649.121007461</v>
      </c>
      <c r="AS11" s="691">
        <v>612600.15457699529</v>
      </c>
      <c r="AT11" s="691">
        <v>69715379.64139986</v>
      </c>
      <c r="AU11" s="691">
        <v>40808804.614266887</v>
      </c>
      <c r="AV11" s="691">
        <v>431178.10282549885</v>
      </c>
      <c r="AW11" s="691">
        <v>7493588.9842789769</v>
      </c>
      <c r="AX11" s="691">
        <v>4614664.3490537321</v>
      </c>
      <c r="AY11" s="691">
        <v>9856537.6602616459</v>
      </c>
      <c r="AZ11" s="691">
        <v>1660934.8022318333</v>
      </c>
      <c r="BA11" s="691">
        <v>3836478.1109782839</v>
      </c>
      <c r="BB11" s="691">
        <v>36399731.006949775</v>
      </c>
      <c r="BC11" s="691">
        <v>10121371.478804754</v>
      </c>
      <c r="BD11" s="691">
        <v>888328.86080831522</v>
      </c>
      <c r="BE11" s="691">
        <v>68834.831861307379</v>
      </c>
      <c r="BF11" s="691">
        <v>4687.4209994610083</v>
      </c>
      <c r="BG11" s="691">
        <v>241953.37540780343</v>
      </c>
      <c r="BH11" s="691">
        <v>1118097.1061357602</v>
      </c>
      <c r="BI11" s="691">
        <v>2858146.2051827214</v>
      </c>
      <c r="BJ11" s="691">
        <v>542981.09091881465</v>
      </c>
      <c r="BK11" s="691">
        <v>167771.5275954509</v>
      </c>
      <c r="BL11" s="691">
        <v>157772.34262917057</v>
      </c>
      <c r="BM11" s="691">
        <v>392386.60206449725</v>
      </c>
      <c r="BN11" s="691">
        <v>201227.33996131469</v>
      </c>
      <c r="BO11" s="691">
        <v>8063.5967712288784</v>
      </c>
      <c r="BP11" s="691">
        <f t="shared" si="11"/>
        <v>1713415999.9999998</v>
      </c>
      <c r="BQ11" s="691">
        <v>6696984.4019434713</v>
      </c>
      <c r="BR11" s="691">
        <v>139769038.96054128</v>
      </c>
      <c r="BS11" s="691">
        <v>22949976.637515277</v>
      </c>
      <c r="BT11" s="691">
        <f t="shared" si="12"/>
        <v>1882831999.9999998</v>
      </c>
      <c r="BU11" s="691">
        <v>36246964.023487173</v>
      </c>
      <c r="BV11" s="693"/>
      <c r="BW11" s="692">
        <f t="shared" si="13"/>
        <v>862137000</v>
      </c>
      <c r="BX11" s="692">
        <f t="shared" si="14"/>
        <v>168000</v>
      </c>
      <c r="BY11" s="692">
        <f t="shared" si="15"/>
        <v>244713000</v>
      </c>
      <c r="BZ11" s="692">
        <f>ROUND(SUM(AK11,AO11:AP11,BE11),-3)-1000</f>
        <v>258867000</v>
      </c>
      <c r="CA11" s="692">
        <f t="shared" si="16"/>
        <v>152805000</v>
      </c>
      <c r="CB11" s="692">
        <f t="shared" si="17"/>
        <v>613000</v>
      </c>
      <c r="CC11" s="692">
        <f t="shared" si="18"/>
        <v>113414000</v>
      </c>
      <c r="CD11" s="692">
        <f t="shared" si="19"/>
        <v>431000</v>
      </c>
      <c r="CE11" s="692">
        <f t="shared" si="20"/>
        <v>9857000</v>
      </c>
      <c r="CF11" s="692">
        <f t="shared" si="21"/>
        <v>12108000</v>
      </c>
      <c r="CG11" s="692">
        <f t="shared" si="22"/>
        <v>5497000</v>
      </c>
      <c r="CH11" s="692">
        <f t="shared" si="23"/>
        <v>46521000</v>
      </c>
      <c r="CI11" s="692">
        <f t="shared" si="24"/>
        <v>5694000</v>
      </c>
      <c r="CJ11" s="692">
        <f t="shared" si="25"/>
        <v>591000</v>
      </c>
      <c r="CK11" s="692">
        <f t="shared" si="26"/>
        <v>205663000</v>
      </c>
      <c r="CL11" s="692">
        <f t="shared" si="27"/>
        <v>1919079000</v>
      </c>
      <c r="CM11" s="692">
        <f t="shared" si="28"/>
        <v>1919079000</v>
      </c>
      <c r="CN11" s="691">
        <f t="shared" si="29"/>
        <v>0</v>
      </c>
    </row>
    <row r="12" spans="1:92" ht="15">
      <c r="A12" s="697"/>
      <c r="B12" s="697">
        <v>5</v>
      </c>
      <c r="C12" s="698">
        <v>739742</v>
      </c>
      <c r="D12" s="698">
        <v>737413</v>
      </c>
      <c r="E12" s="698">
        <v>105147</v>
      </c>
      <c r="F12" s="698">
        <v>6480</v>
      </c>
      <c r="G12" s="698">
        <v>457</v>
      </c>
      <c r="H12" s="696">
        <f t="shared" si="0"/>
        <v>1589239</v>
      </c>
      <c r="I12" s="698">
        <v>169250</v>
      </c>
      <c r="J12" s="696">
        <f t="shared" si="1"/>
        <v>1758489</v>
      </c>
      <c r="L12" s="697"/>
      <c r="M12" s="697">
        <f t="shared" si="2"/>
        <v>5</v>
      </c>
      <c r="N12" s="696">
        <v>739149459.79709852</v>
      </c>
      <c r="O12" s="696">
        <v>715539512.35899663</v>
      </c>
      <c r="P12" s="696">
        <v>101615502.62038885</v>
      </c>
      <c r="Q12" s="696">
        <v>6184072.7665686645</v>
      </c>
      <c r="R12" s="696">
        <v>442532.05235925998</v>
      </c>
      <c r="S12" s="696">
        <f t="shared" si="3"/>
        <v>1562931079.5954118</v>
      </c>
      <c r="T12" s="696">
        <v>173944180.05066621</v>
      </c>
      <c r="U12" s="696">
        <f t="shared" si="4"/>
        <v>1736875259.6460781</v>
      </c>
      <c r="W12" s="697"/>
      <c r="X12" s="697">
        <f t="shared" si="5"/>
        <v>5</v>
      </c>
      <c r="Y12" s="696">
        <f t="shared" si="6"/>
        <v>592540.20290148258</v>
      </c>
      <c r="Z12" s="696">
        <f t="shared" si="7"/>
        <v>21873487.64100337</v>
      </c>
      <c r="AA12" s="696">
        <f t="shared" si="8"/>
        <v>3531497.3796111494</v>
      </c>
      <c r="AB12" s="696">
        <f t="shared" si="9"/>
        <v>295927.23343133554</v>
      </c>
      <c r="AC12" s="693"/>
      <c r="AD12" s="695">
        <f t="shared" si="10"/>
        <v>5</v>
      </c>
      <c r="AE12" s="694">
        <v>627.06287994971376</v>
      </c>
      <c r="AF12" s="691">
        <v>456999.99999999994</v>
      </c>
      <c r="AG12" s="691">
        <v>739575709.5270946</v>
      </c>
      <c r="AH12" s="691">
        <v>166290.47290537803</v>
      </c>
      <c r="AI12" s="691">
        <v>19217292.028125755</v>
      </c>
      <c r="AJ12" s="691">
        <v>2668226.6882210234</v>
      </c>
      <c r="AK12" s="691">
        <v>11392007.679186476</v>
      </c>
      <c r="AL12" s="691">
        <v>1354648.3514728288</v>
      </c>
      <c r="AM12" s="691">
        <v>206627338.24833333</v>
      </c>
      <c r="AN12" s="691">
        <v>7688884.2862699721</v>
      </c>
      <c r="AO12" s="691">
        <v>229948357.6987887</v>
      </c>
      <c r="AP12" s="691">
        <v>15427780.870050987</v>
      </c>
      <c r="AQ12" s="691">
        <v>136324962.22105235</v>
      </c>
      <c r="AR12" s="691">
        <v>20001268.577133797</v>
      </c>
      <c r="AS12" s="691">
        <v>1558015.9822006156</v>
      </c>
      <c r="AT12" s="691">
        <v>71386666.029686689</v>
      </c>
      <c r="AU12" s="691">
        <v>42613445.781177551</v>
      </c>
      <c r="AV12" s="691">
        <v>757939.6647886571</v>
      </c>
      <c r="AW12" s="691">
        <v>8033672.2939925278</v>
      </c>
      <c r="AX12" s="691">
        <v>5349235.9219454378</v>
      </c>
      <c r="AY12" s="691">
        <v>8521410.3464452978</v>
      </c>
      <c r="AZ12" s="691">
        <v>1770810.7095038504</v>
      </c>
      <c r="BA12" s="691">
        <v>3953347.8080434673</v>
      </c>
      <c r="BB12" s="691">
        <v>37325516.810598589</v>
      </c>
      <c r="BC12" s="691">
        <v>10113036.755378779</v>
      </c>
      <c r="BD12" s="691">
        <v>858444.51088300045</v>
      </c>
      <c r="BE12" s="691">
        <v>65928.483805023425</v>
      </c>
      <c r="BF12" s="691">
        <v>5059.6510711266346</v>
      </c>
      <c r="BG12" s="691">
        <v>290024.99384648068</v>
      </c>
      <c r="BH12" s="691">
        <v>1201712.5167295237</v>
      </c>
      <c r="BI12" s="691">
        <v>3065518.7233306146</v>
      </c>
      <c r="BJ12" s="691">
        <v>581779.32833712245</v>
      </c>
      <c r="BK12" s="691">
        <v>163972.31448791592</v>
      </c>
      <c r="BL12" s="691">
        <v>155010.47020544749</v>
      </c>
      <c r="BM12" s="691">
        <v>410904.72911715793</v>
      </c>
      <c r="BN12" s="691">
        <v>199428.40402246485</v>
      </c>
      <c r="BO12" s="691">
        <v>7724.0588874341629</v>
      </c>
      <c r="BP12" s="691">
        <f t="shared" si="11"/>
        <v>1589239000</v>
      </c>
      <c r="BQ12" s="691">
        <v>6358562.3188879211</v>
      </c>
      <c r="BR12" s="691">
        <v>139889185.68958065</v>
      </c>
      <c r="BS12" s="691">
        <v>23002251.991531447</v>
      </c>
      <c r="BT12" s="691">
        <f t="shared" si="12"/>
        <v>1758489000</v>
      </c>
      <c r="BU12" s="691">
        <v>35740902.191576347</v>
      </c>
      <c r="BV12" s="693"/>
      <c r="BW12" s="692">
        <f t="shared" si="13"/>
        <v>739576000</v>
      </c>
      <c r="BX12" s="692">
        <f t="shared" si="14"/>
        <v>166000</v>
      </c>
      <c r="BY12" s="692">
        <f t="shared" si="15"/>
        <v>234392000</v>
      </c>
      <c r="BZ12" s="692">
        <f>ROUND(SUM(AK12,AO12:AP12,BE12),-3)</f>
        <v>256834000</v>
      </c>
      <c r="CA12" s="692">
        <f t="shared" si="16"/>
        <v>157681000</v>
      </c>
      <c r="CB12" s="692">
        <f t="shared" si="17"/>
        <v>1558000</v>
      </c>
      <c r="CC12" s="692">
        <f t="shared" si="18"/>
        <v>116668000</v>
      </c>
      <c r="CD12" s="692">
        <f t="shared" si="19"/>
        <v>758000</v>
      </c>
      <c r="CE12" s="692">
        <f t="shared" si="20"/>
        <v>8521000</v>
      </c>
      <c r="CF12" s="692">
        <f t="shared" si="21"/>
        <v>13383000</v>
      </c>
      <c r="CG12" s="692">
        <f t="shared" si="22"/>
        <v>5724000</v>
      </c>
      <c r="CH12" s="692">
        <f t="shared" si="23"/>
        <v>47439000</v>
      </c>
      <c r="CI12" s="692">
        <f t="shared" si="24"/>
        <v>6082000</v>
      </c>
      <c r="CJ12" s="692">
        <f t="shared" si="25"/>
        <v>457000</v>
      </c>
      <c r="CK12" s="692">
        <f t="shared" si="26"/>
        <v>204991000</v>
      </c>
      <c r="CL12" s="692">
        <f t="shared" si="27"/>
        <v>1794230000</v>
      </c>
      <c r="CM12" s="692">
        <f t="shared" si="28"/>
        <v>1794230000</v>
      </c>
      <c r="CN12" s="691">
        <f t="shared" si="29"/>
        <v>0</v>
      </c>
    </row>
    <row r="13" spans="1:92" ht="15">
      <c r="A13" s="697"/>
      <c r="B13" s="697">
        <v>6</v>
      </c>
      <c r="C13" s="698">
        <v>680386</v>
      </c>
      <c r="D13" s="698">
        <v>732235</v>
      </c>
      <c r="E13" s="698">
        <v>105858</v>
      </c>
      <c r="F13" s="698">
        <v>6492</v>
      </c>
      <c r="G13" s="698">
        <v>356</v>
      </c>
      <c r="H13" s="696">
        <f t="shared" si="0"/>
        <v>1525327</v>
      </c>
      <c r="I13" s="698">
        <v>169235</v>
      </c>
      <c r="J13" s="696">
        <f t="shared" si="1"/>
        <v>1694562</v>
      </c>
      <c r="L13" s="697"/>
      <c r="M13" s="697">
        <f t="shared" si="2"/>
        <v>6</v>
      </c>
      <c r="N13" s="696">
        <v>673529665.8943994</v>
      </c>
      <c r="O13" s="696">
        <v>685178840.47363722</v>
      </c>
      <c r="P13" s="696">
        <v>98634271.777065411</v>
      </c>
      <c r="Q13" s="696">
        <v>6124541.6104870671</v>
      </c>
      <c r="R13" s="696">
        <v>338551.81323937851</v>
      </c>
      <c r="S13" s="696">
        <f t="shared" si="3"/>
        <v>1463805871.5688286</v>
      </c>
      <c r="T13" s="696">
        <v>170136460.13442618</v>
      </c>
      <c r="U13" s="696">
        <f t="shared" si="4"/>
        <v>1633942331.7032547</v>
      </c>
      <c r="W13" s="697"/>
      <c r="X13" s="697">
        <f t="shared" si="5"/>
        <v>6</v>
      </c>
      <c r="Y13" s="696">
        <f t="shared" si="6"/>
        <v>6856334.1056005955</v>
      </c>
      <c r="Z13" s="696">
        <f t="shared" si="7"/>
        <v>47056159.526362777</v>
      </c>
      <c r="AA13" s="696">
        <f t="shared" si="8"/>
        <v>7223728.2229345888</v>
      </c>
      <c r="AB13" s="696">
        <f t="shared" si="9"/>
        <v>367458.38951293286</v>
      </c>
      <c r="AC13" s="693"/>
      <c r="AD13" s="695">
        <f t="shared" si="10"/>
        <v>6</v>
      </c>
      <c r="AE13" s="694">
        <v>631.00314311884699</v>
      </c>
      <c r="AF13" s="691">
        <v>356000</v>
      </c>
      <c r="AG13" s="691">
        <v>680198807.63277209</v>
      </c>
      <c r="AH13" s="691">
        <v>187192.36722788456</v>
      </c>
      <c r="AI13" s="691">
        <v>19204427.297242038</v>
      </c>
      <c r="AJ13" s="691">
        <v>2647513.0989250559</v>
      </c>
      <c r="AK13" s="691">
        <v>11402077.822466744</v>
      </c>
      <c r="AL13" s="691">
        <v>1481400.7260955796</v>
      </c>
      <c r="AM13" s="691">
        <v>204102615.32409561</v>
      </c>
      <c r="AN13" s="691">
        <v>7621108.5532127619</v>
      </c>
      <c r="AO13" s="691">
        <v>229907694.59587267</v>
      </c>
      <c r="AP13" s="691">
        <v>15527254.432718256</v>
      </c>
      <c r="AQ13" s="691">
        <v>136418546.03034401</v>
      </c>
      <c r="AR13" s="691">
        <v>19711658.49132622</v>
      </c>
      <c r="AS13" s="691">
        <v>2266966.1354704355</v>
      </c>
      <c r="AT13" s="691">
        <v>71032468.227077127</v>
      </c>
      <c r="AU13" s="691">
        <v>42623029.489698328</v>
      </c>
      <c r="AV13" s="691">
        <v>789478.32166508853</v>
      </c>
      <c r="AW13" s="691">
        <v>4975762.3774039857</v>
      </c>
      <c r="AX13" s="691">
        <v>5223145.0277523557</v>
      </c>
      <c r="AY13" s="691">
        <v>6976888.2057267791</v>
      </c>
      <c r="AZ13" s="691">
        <v>1981977.1562996339</v>
      </c>
      <c r="BA13" s="691">
        <v>4747079.4877930712</v>
      </c>
      <c r="BB13" s="691">
        <v>38510654.612396717</v>
      </c>
      <c r="BC13" s="691">
        <v>10404724.517499005</v>
      </c>
      <c r="BD13" s="691">
        <v>786278.583720322</v>
      </c>
      <c r="BE13" s="691">
        <v>68164.09719814625</v>
      </c>
      <c r="BF13" s="691">
        <v>5336.9375737910113</v>
      </c>
      <c r="BG13" s="691">
        <v>277944.54258165194</v>
      </c>
      <c r="BH13" s="691">
        <v>1265329.9279644284</v>
      </c>
      <c r="BI13" s="691">
        <v>3195782.3472499568</v>
      </c>
      <c r="BJ13" s="691">
        <v>612172.22797880718</v>
      </c>
      <c r="BK13" s="691">
        <v>167990.11095842926</v>
      </c>
      <c r="BL13" s="691">
        <v>157269.51870937305</v>
      </c>
      <c r="BM13" s="691">
        <v>280360.3325897787</v>
      </c>
      <c r="BN13" s="691">
        <v>203167.9379727779</v>
      </c>
      <c r="BO13" s="691">
        <v>8102.5012779167337</v>
      </c>
      <c r="BP13" s="691">
        <f t="shared" si="11"/>
        <v>1525327000.0000002</v>
      </c>
      <c r="BQ13" s="691">
        <v>6154807.1898984807</v>
      </c>
      <c r="BR13" s="691">
        <v>137430072.55284023</v>
      </c>
      <c r="BS13" s="691">
        <v>25650120.257261287</v>
      </c>
      <c r="BT13" s="691">
        <f t="shared" si="12"/>
        <v>1694562000.0000002</v>
      </c>
      <c r="BU13" s="691">
        <v>38701708.67422317</v>
      </c>
      <c r="BV13" s="693"/>
      <c r="BW13" s="692">
        <f t="shared" si="13"/>
        <v>680199000</v>
      </c>
      <c r="BX13" s="692">
        <f t="shared" si="14"/>
        <v>187000</v>
      </c>
      <c r="BY13" s="692">
        <f t="shared" si="15"/>
        <v>231714000</v>
      </c>
      <c r="BZ13" s="692">
        <f>ROUND(SUM(AK13,AO13:AP13,BE13),-3)+1000</f>
        <v>256906000</v>
      </c>
      <c r="CA13" s="692">
        <f t="shared" si="16"/>
        <v>157612000</v>
      </c>
      <c r="CB13" s="692">
        <f t="shared" si="17"/>
        <v>2267000</v>
      </c>
      <c r="CC13" s="692">
        <f t="shared" si="18"/>
        <v>116303000</v>
      </c>
      <c r="CD13" s="692">
        <f t="shared" si="19"/>
        <v>789000</v>
      </c>
      <c r="CE13" s="692">
        <f t="shared" si="20"/>
        <v>6977000</v>
      </c>
      <c r="CF13" s="692">
        <f t="shared" si="21"/>
        <v>10199000</v>
      </c>
      <c r="CG13" s="692">
        <f t="shared" si="22"/>
        <v>6729000</v>
      </c>
      <c r="CH13" s="692">
        <f t="shared" si="23"/>
        <v>48915000</v>
      </c>
      <c r="CI13" s="692">
        <f t="shared" si="24"/>
        <v>6174000</v>
      </c>
      <c r="CJ13" s="692">
        <f t="shared" si="25"/>
        <v>356000</v>
      </c>
      <c r="CK13" s="692">
        <f t="shared" si="26"/>
        <v>207937000</v>
      </c>
      <c r="CL13" s="692">
        <f t="shared" si="27"/>
        <v>1733264000</v>
      </c>
      <c r="CM13" s="692">
        <f t="shared" si="28"/>
        <v>1733264000</v>
      </c>
      <c r="CN13" s="691">
        <f t="shared" si="29"/>
        <v>0</v>
      </c>
    </row>
    <row r="14" spans="1:92" ht="15">
      <c r="A14" s="697"/>
      <c r="B14" s="697">
        <v>7</v>
      </c>
      <c r="C14" s="698">
        <v>681210</v>
      </c>
      <c r="D14" s="698">
        <v>774319</v>
      </c>
      <c r="E14" s="698">
        <v>108488</v>
      </c>
      <c r="F14" s="698">
        <v>6254</v>
      </c>
      <c r="G14" s="698">
        <v>314</v>
      </c>
      <c r="H14" s="696">
        <f t="shared" si="0"/>
        <v>1570585</v>
      </c>
      <c r="I14" s="698">
        <v>169061</v>
      </c>
      <c r="J14" s="696">
        <f t="shared" si="1"/>
        <v>1739646</v>
      </c>
      <c r="L14" s="697"/>
      <c r="M14" s="697">
        <f t="shared" si="2"/>
        <v>7</v>
      </c>
      <c r="N14" s="696">
        <v>691908620.69436502</v>
      </c>
      <c r="O14" s="696">
        <v>731757897.57561255</v>
      </c>
      <c r="P14" s="696">
        <v>105697447.94611534</v>
      </c>
      <c r="Q14" s="696">
        <v>6034627.7315690666</v>
      </c>
      <c r="R14" s="696">
        <v>299791.51923975837</v>
      </c>
      <c r="S14" s="696">
        <f t="shared" si="3"/>
        <v>1535698385.4669015</v>
      </c>
      <c r="T14" s="696">
        <v>178044030.07460824</v>
      </c>
      <c r="U14" s="696">
        <f t="shared" si="4"/>
        <v>1713742415.5415099</v>
      </c>
      <c r="W14" s="697"/>
      <c r="X14" s="697">
        <f t="shared" si="5"/>
        <v>7</v>
      </c>
      <c r="Y14" s="696">
        <f t="shared" si="6"/>
        <v>-10698620.694365025</v>
      </c>
      <c r="Z14" s="696">
        <f t="shared" si="7"/>
        <v>42561102.424387455</v>
      </c>
      <c r="AA14" s="696">
        <f t="shared" si="8"/>
        <v>2790552.0538846552</v>
      </c>
      <c r="AB14" s="696">
        <f t="shared" si="9"/>
        <v>219372.26843093336</v>
      </c>
      <c r="AC14" s="693"/>
      <c r="AD14" s="695">
        <f t="shared" si="10"/>
        <v>7</v>
      </c>
      <c r="AE14" s="694">
        <v>621.52149809761636</v>
      </c>
      <c r="AF14" s="691">
        <v>314000</v>
      </c>
      <c r="AG14" s="691">
        <v>681004083.76540935</v>
      </c>
      <c r="AH14" s="691">
        <v>205916.23459070179</v>
      </c>
      <c r="AI14" s="691">
        <v>19901136.231980272</v>
      </c>
      <c r="AJ14" s="691">
        <v>2807456.7478636038</v>
      </c>
      <c r="AK14" s="691">
        <v>12294704.570708001</v>
      </c>
      <c r="AL14" s="691">
        <v>1934328.4169859905</v>
      </c>
      <c r="AM14" s="691">
        <v>218276546.40386418</v>
      </c>
      <c r="AN14" s="691">
        <v>7701788.9161161417</v>
      </c>
      <c r="AO14" s="691">
        <v>241391853.65736449</v>
      </c>
      <c r="AP14" s="691">
        <v>15741870.019706873</v>
      </c>
      <c r="AQ14" s="691">
        <v>146233730.48146573</v>
      </c>
      <c r="AR14" s="691">
        <v>19644994.932520237</v>
      </c>
      <c r="AS14" s="691">
        <v>3727077.366322591</v>
      </c>
      <c r="AT14" s="691">
        <v>72517103.925287157</v>
      </c>
      <c r="AU14" s="691">
        <v>42510414.897899367</v>
      </c>
      <c r="AV14" s="691">
        <v>1065024.068491457</v>
      </c>
      <c r="AW14" s="691">
        <v>5269279.7729100529</v>
      </c>
      <c r="AX14" s="691">
        <v>5763903.2969954852</v>
      </c>
      <c r="AY14" s="691">
        <v>5329321.5661474038</v>
      </c>
      <c r="AZ14" s="691">
        <v>2372984.20409647</v>
      </c>
      <c r="BA14" s="691">
        <v>5148500.9118959364</v>
      </c>
      <c r="BB14" s="691">
        <v>40663475.098556519</v>
      </c>
      <c r="BC14" s="691">
        <v>11976527.024865957</v>
      </c>
      <c r="BD14" s="691">
        <v>807092.58288285998</v>
      </c>
      <c r="BE14" s="691">
        <v>76222.381954608398</v>
      </c>
      <c r="BF14" s="691">
        <v>4604.006285853221</v>
      </c>
      <c r="BG14" s="691">
        <v>282525.77815417474</v>
      </c>
      <c r="BH14" s="691">
        <v>1196136.1695839725</v>
      </c>
      <c r="BI14" s="691">
        <v>3027514.4834414735</v>
      </c>
      <c r="BJ14" s="691">
        <v>578424.08240143175</v>
      </c>
      <c r="BK14" s="691">
        <v>168048.08072795221</v>
      </c>
      <c r="BL14" s="691">
        <v>158384.56778605096</v>
      </c>
      <c r="BM14" s="691">
        <v>280858.9937975285</v>
      </c>
      <c r="BN14" s="691">
        <v>200534.41823313301</v>
      </c>
      <c r="BO14" s="691">
        <v>8010.4212089826251</v>
      </c>
      <c r="BP14" s="691">
        <f t="shared" si="11"/>
        <v>1570585000.0000007</v>
      </c>
      <c r="BQ14" s="691">
        <v>5834333.1610558378</v>
      </c>
      <c r="BR14" s="691">
        <v>137627159.20278874</v>
      </c>
      <c r="BS14" s="691">
        <v>25599507.636155397</v>
      </c>
      <c r="BT14" s="691">
        <f t="shared" si="12"/>
        <v>1739646000.0000007</v>
      </c>
      <c r="BU14" s="691">
        <v>38559898.344358198</v>
      </c>
      <c r="BV14" s="693"/>
      <c r="BW14" s="692">
        <f t="shared" si="13"/>
        <v>681004000</v>
      </c>
      <c r="BX14" s="692">
        <f t="shared" si="14"/>
        <v>206000</v>
      </c>
      <c r="BY14" s="692">
        <f t="shared" si="15"/>
        <v>246687000</v>
      </c>
      <c r="BZ14" s="692">
        <f>ROUND(SUM(AK14,AO14:AP14,BE14),-3)</f>
        <v>269505000</v>
      </c>
      <c r="CA14" s="692">
        <f t="shared" si="16"/>
        <v>167813000</v>
      </c>
      <c r="CB14" s="692">
        <f t="shared" si="17"/>
        <v>3727000</v>
      </c>
      <c r="CC14" s="692">
        <f t="shared" si="18"/>
        <v>117835000</v>
      </c>
      <c r="CD14" s="692">
        <f t="shared" si="19"/>
        <v>1065000</v>
      </c>
      <c r="CE14" s="692">
        <f t="shared" si="20"/>
        <v>5329000</v>
      </c>
      <c r="CF14" s="692">
        <f t="shared" si="21"/>
        <v>11033000</v>
      </c>
      <c r="CG14" s="692">
        <f t="shared" si="22"/>
        <v>7521000</v>
      </c>
      <c r="CH14" s="692">
        <f t="shared" si="23"/>
        <v>52640000</v>
      </c>
      <c r="CI14" s="692">
        <f t="shared" si="24"/>
        <v>5906000</v>
      </c>
      <c r="CJ14" s="692">
        <f t="shared" si="25"/>
        <v>314000</v>
      </c>
      <c r="CK14" s="692">
        <f t="shared" si="26"/>
        <v>207621000</v>
      </c>
      <c r="CL14" s="692">
        <f t="shared" si="27"/>
        <v>1778206000</v>
      </c>
      <c r="CM14" s="692">
        <f t="shared" si="28"/>
        <v>1778206000</v>
      </c>
      <c r="CN14" s="691">
        <f t="shared" si="29"/>
        <v>0</v>
      </c>
    </row>
    <row r="15" spans="1:92" ht="15">
      <c r="A15" s="697"/>
      <c r="B15" s="697">
        <v>8</v>
      </c>
      <c r="C15" s="698">
        <v>664685</v>
      </c>
      <c r="D15" s="698">
        <v>793984</v>
      </c>
      <c r="E15" s="698">
        <v>111717</v>
      </c>
      <c r="F15" s="698">
        <v>6455</v>
      </c>
      <c r="G15" s="698">
        <v>285</v>
      </c>
      <c r="H15" s="696">
        <f t="shared" si="0"/>
        <v>1577126</v>
      </c>
      <c r="I15" s="698">
        <v>168941</v>
      </c>
      <c r="J15" s="696">
        <f t="shared" si="1"/>
        <v>1746067</v>
      </c>
      <c r="L15" s="697"/>
      <c r="M15" s="697">
        <f t="shared" si="2"/>
        <v>8</v>
      </c>
      <c r="N15" s="696">
        <v>684656724.10883772</v>
      </c>
      <c r="O15" s="696">
        <v>731572185.54159248</v>
      </c>
      <c r="P15" s="696">
        <v>103185505.61712833</v>
      </c>
      <c r="Q15" s="696">
        <v>6146469.2295059357</v>
      </c>
      <c r="R15" s="696">
        <v>287429.02691753581</v>
      </c>
      <c r="S15" s="696">
        <f t="shared" si="3"/>
        <v>1525848313.523982</v>
      </c>
      <c r="T15" s="696">
        <v>178241464.44427234</v>
      </c>
      <c r="U15" s="696">
        <f t="shared" si="4"/>
        <v>1704089777.9682543</v>
      </c>
      <c r="W15" s="697"/>
      <c r="X15" s="697">
        <f t="shared" si="5"/>
        <v>8</v>
      </c>
      <c r="Y15" s="696">
        <f t="shared" si="6"/>
        <v>-19971724.108837724</v>
      </c>
      <c r="Z15" s="696">
        <f t="shared" si="7"/>
        <v>62411814.458407521</v>
      </c>
      <c r="AA15" s="696">
        <f t="shared" si="8"/>
        <v>8531494.3828716725</v>
      </c>
      <c r="AB15" s="696">
        <f t="shared" si="9"/>
        <v>308530.77049406432</v>
      </c>
      <c r="AC15" s="693"/>
      <c r="AD15" s="695">
        <f t="shared" si="10"/>
        <v>8</v>
      </c>
      <c r="AE15" s="694">
        <v>582.94385071645661</v>
      </c>
      <c r="AF15" s="691">
        <v>285000</v>
      </c>
      <c r="AG15" s="691">
        <v>664490350.1077944</v>
      </c>
      <c r="AH15" s="691">
        <v>194649.89220560328</v>
      </c>
      <c r="AI15" s="691">
        <v>20361107.312169656</v>
      </c>
      <c r="AJ15" s="691">
        <v>2816470.8747260785</v>
      </c>
      <c r="AK15" s="691">
        <v>12631431.826210128</v>
      </c>
      <c r="AL15" s="691">
        <v>1816994.7033634356</v>
      </c>
      <c r="AM15" s="691">
        <v>223291226.87816128</v>
      </c>
      <c r="AN15" s="691">
        <v>7993460.9261956597</v>
      </c>
      <c r="AO15" s="691">
        <v>250018885.64868569</v>
      </c>
      <c r="AP15" s="691">
        <v>16512448.069989914</v>
      </c>
      <c r="AQ15" s="691">
        <v>150194871.27149588</v>
      </c>
      <c r="AR15" s="691">
        <v>20956483.383548144</v>
      </c>
      <c r="AS15" s="691">
        <v>3927510.4606946642</v>
      </c>
      <c r="AT15" s="691">
        <v>73593535.56955114</v>
      </c>
      <c r="AU15" s="691">
        <v>44609993.698592983</v>
      </c>
      <c r="AV15" s="691">
        <v>998243.96133083617</v>
      </c>
      <c r="AW15" s="691">
        <v>3668651.1252929531</v>
      </c>
      <c r="AX15" s="691">
        <v>5481324.670425918</v>
      </c>
      <c r="AY15" s="691">
        <v>6231642.1316327183</v>
      </c>
      <c r="AZ15" s="691">
        <v>2431808.3411613242</v>
      </c>
      <c r="BA15" s="691">
        <v>4782779.7672504969</v>
      </c>
      <c r="BB15" s="691">
        <v>41448486.187207386</v>
      </c>
      <c r="BC15" s="691">
        <v>11380509.483996864</v>
      </c>
      <c r="BD15" s="691">
        <v>892430.69733251608</v>
      </c>
      <c r="BE15" s="691">
        <v>80583.011271570562</v>
      </c>
      <c r="BF15" s="691">
        <v>5068.0746501220956</v>
      </c>
      <c r="BG15" s="691">
        <v>307597.82191765343</v>
      </c>
      <c r="BH15" s="691">
        <v>1222559.2094286198</v>
      </c>
      <c r="BI15" s="691">
        <v>3083119.4382170294</v>
      </c>
      <c r="BJ15" s="691">
        <v>580030.94226841186</v>
      </c>
      <c r="BK15" s="691">
        <v>173197.91248008242</v>
      </c>
      <c r="BL15" s="691">
        <v>162638.38084734385</v>
      </c>
      <c r="BM15" s="691">
        <v>283027.86106335942</v>
      </c>
      <c r="BN15" s="691">
        <v>208879.6903699949</v>
      </c>
      <c r="BO15" s="691">
        <v>8417.7246192827224</v>
      </c>
      <c r="BP15" s="691">
        <f t="shared" si="11"/>
        <v>1577126000.0000002</v>
      </c>
      <c r="BQ15" s="691">
        <v>5835356.7996385805</v>
      </c>
      <c r="BR15" s="691">
        <v>137495891.89430264</v>
      </c>
      <c r="BS15" s="691">
        <v>25609751.306058802</v>
      </c>
      <c r="BT15" s="691">
        <f t="shared" si="12"/>
        <v>1746067000.0000002</v>
      </c>
      <c r="BU15" s="691">
        <v>39981473.00246346</v>
      </c>
      <c r="BV15" s="693"/>
      <c r="BW15" s="692">
        <f t="shared" si="13"/>
        <v>664490000</v>
      </c>
      <c r="BX15" s="692">
        <f t="shared" si="14"/>
        <v>195000</v>
      </c>
      <c r="BY15" s="692">
        <f t="shared" si="15"/>
        <v>252538000</v>
      </c>
      <c r="BZ15" s="692">
        <f>ROUND(SUM(AK15,AO15:AP15,BE15),-3)</f>
        <v>279243000</v>
      </c>
      <c r="CA15" s="692">
        <f t="shared" si="16"/>
        <v>172968000</v>
      </c>
      <c r="CB15" s="692">
        <f t="shared" si="17"/>
        <v>3928000</v>
      </c>
      <c r="CC15" s="692">
        <f t="shared" si="18"/>
        <v>121020000</v>
      </c>
      <c r="CD15" s="692">
        <f t="shared" si="19"/>
        <v>998000</v>
      </c>
      <c r="CE15" s="692">
        <f t="shared" si="20"/>
        <v>6232000</v>
      </c>
      <c r="CF15" s="692">
        <f t="shared" si="21"/>
        <v>9150000</v>
      </c>
      <c r="CG15" s="692">
        <f t="shared" si="22"/>
        <v>7215000</v>
      </c>
      <c r="CH15" s="692">
        <f t="shared" si="23"/>
        <v>52829000</v>
      </c>
      <c r="CI15" s="692">
        <f t="shared" si="24"/>
        <v>6035000</v>
      </c>
      <c r="CJ15" s="692">
        <f t="shared" si="25"/>
        <v>285000</v>
      </c>
      <c r="CK15" s="692">
        <f t="shared" si="26"/>
        <v>208922000</v>
      </c>
      <c r="CL15" s="692">
        <f t="shared" si="27"/>
        <v>1786048000</v>
      </c>
      <c r="CM15" s="692">
        <f t="shared" si="28"/>
        <v>1786048000</v>
      </c>
      <c r="CN15" s="691">
        <f t="shared" si="29"/>
        <v>0</v>
      </c>
    </row>
    <row r="16" spans="1:92" ht="15">
      <c r="A16" s="697"/>
      <c r="B16" s="697">
        <v>9</v>
      </c>
      <c r="C16" s="698">
        <v>667588</v>
      </c>
      <c r="D16" s="698">
        <v>748461</v>
      </c>
      <c r="E16" s="698">
        <v>103337</v>
      </c>
      <c r="F16" s="698">
        <v>6301</v>
      </c>
      <c r="G16" s="698">
        <v>324</v>
      </c>
      <c r="H16" s="696">
        <f t="shared" si="0"/>
        <v>1526011</v>
      </c>
      <c r="I16" s="698">
        <v>168906</v>
      </c>
      <c r="J16" s="696">
        <f t="shared" si="1"/>
        <v>1694917</v>
      </c>
      <c r="L16" s="697"/>
      <c r="M16" s="697">
        <f t="shared" si="2"/>
        <v>9</v>
      </c>
      <c r="N16" s="696">
        <v>659029327.56690764</v>
      </c>
      <c r="O16" s="696">
        <v>682352881.18969882</v>
      </c>
      <c r="P16" s="696">
        <v>97640249.212337464</v>
      </c>
      <c r="Q16" s="696">
        <v>6232627.9736877466</v>
      </c>
      <c r="R16" s="696">
        <v>332424.8568659884</v>
      </c>
      <c r="S16" s="696">
        <f t="shared" si="3"/>
        <v>1445587510.7994976</v>
      </c>
      <c r="T16" s="696">
        <v>167583608.87129518</v>
      </c>
      <c r="U16" s="696">
        <f t="shared" si="4"/>
        <v>1613171119.6707928</v>
      </c>
      <c r="W16" s="697"/>
      <c r="X16" s="697">
        <f t="shared" si="5"/>
        <v>9</v>
      </c>
      <c r="Y16" s="696">
        <f t="shared" si="6"/>
        <v>8558672.4330923557</v>
      </c>
      <c r="Z16" s="696">
        <f t="shared" si="7"/>
        <v>66108118.810301185</v>
      </c>
      <c r="AA16" s="696">
        <f t="shared" si="8"/>
        <v>5696750.7876625359</v>
      </c>
      <c r="AB16" s="696">
        <f t="shared" si="9"/>
        <v>68372.026312253438</v>
      </c>
      <c r="AC16" s="693"/>
      <c r="AD16" s="695">
        <f t="shared" si="10"/>
        <v>9</v>
      </c>
      <c r="AE16" s="694">
        <v>594.03258184915842</v>
      </c>
      <c r="AF16" s="691">
        <v>324000</v>
      </c>
      <c r="AG16" s="691">
        <v>667416415.16483438</v>
      </c>
      <c r="AH16" s="691">
        <v>171584.83516550349</v>
      </c>
      <c r="AI16" s="691">
        <v>19578960.297939353</v>
      </c>
      <c r="AJ16" s="691">
        <v>2749668.9196697739</v>
      </c>
      <c r="AK16" s="691">
        <v>12117502.444485135</v>
      </c>
      <c r="AL16" s="691">
        <v>1525322.835916572</v>
      </c>
      <c r="AM16" s="691">
        <v>206807964.47579294</v>
      </c>
      <c r="AN16" s="691">
        <v>7210841.7171372902</v>
      </c>
      <c r="AO16" s="691">
        <v>234194453.73187718</v>
      </c>
      <c r="AP16" s="691">
        <v>15199423.736295778</v>
      </c>
      <c r="AQ16" s="691">
        <v>139331999.47313884</v>
      </c>
      <c r="AR16" s="691">
        <v>19622932.036404129</v>
      </c>
      <c r="AS16" s="691">
        <v>1854881.9492820329</v>
      </c>
      <c r="AT16" s="691">
        <v>71890670.180968791</v>
      </c>
      <c r="AU16" s="691">
        <v>40918003.445478633</v>
      </c>
      <c r="AV16" s="691">
        <v>783260.7833912879</v>
      </c>
      <c r="AW16" s="691">
        <v>4903362.4624616876</v>
      </c>
      <c r="AX16" s="691">
        <v>5739692.8718779208</v>
      </c>
      <c r="AY16" s="691">
        <v>8142566.9414953804</v>
      </c>
      <c r="AZ16" s="691">
        <v>2064481.6960083887</v>
      </c>
      <c r="BA16" s="691">
        <v>4268754.689061488</v>
      </c>
      <c r="BB16" s="691">
        <v>41970801.095223293</v>
      </c>
      <c r="BC16" s="691">
        <v>10377351.503744747</v>
      </c>
      <c r="BD16" s="691">
        <v>944707.83130095224</v>
      </c>
      <c r="BE16" s="691">
        <v>75894.286606387555</v>
      </c>
      <c r="BF16" s="691">
        <v>4681.249831811072</v>
      </c>
      <c r="BG16" s="691">
        <v>269782.53293330153</v>
      </c>
      <c r="BH16" s="691">
        <v>1168368.3403688883</v>
      </c>
      <c r="BI16" s="691">
        <v>2905159.5458595259</v>
      </c>
      <c r="BJ16" s="691">
        <v>554763.3027924503</v>
      </c>
      <c r="BK16" s="691">
        <v>170783.91636761272</v>
      </c>
      <c r="BL16" s="691">
        <v>159802.35068130051</v>
      </c>
      <c r="BM16" s="691">
        <v>377048.87772483332</v>
      </c>
      <c r="BN16" s="691">
        <v>206417.12714470428</v>
      </c>
      <c r="BO16" s="691">
        <v>8099.3181557593698</v>
      </c>
      <c r="BP16" s="691">
        <f t="shared" si="11"/>
        <v>1526010999.9999998</v>
      </c>
      <c r="BQ16" s="691">
        <v>5563410.6800744403</v>
      </c>
      <c r="BR16" s="691">
        <v>135834029.79640701</v>
      </c>
      <c r="BS16" s="691">
        <v>27508559.523518525</v>
      </c>
      <c r="BT16" s="691">
        <f t="shared" si="12"/>
        <v>1694916999.9999998</v>
      </c>
      <c r="BU16" s="691">
        <v>38707932.148056731</v>
      </c>
      <c r="BV16" s="693"/>
      <c r="BW16" s="692">
        <f t="shared" si="13"/>
        <v>667416000</v>
      </c>
      <c r="BX16" s="692">
        <f t="shared" si="14"/>
        <v>172000</v>
      </c>
      <c r="BY16" s="692">
        <f t="shared" si="15"/>
        <v>234542000</v>
      </c>
      <c r="BZ16" s="692">
        <f>ROUND(SUM(AK16,AO16:AP16,BE16),-3)+1000</f>
        <v>261588000</v>
      </c>
      <c r="CA16" s="692">
        <f t="shared" si="16"/>
        <v>160480000</v>
      </c>
      <c r="CB16" s="692">
        <f t="shared" si="17"/>
        <v>1855000</v>
      </c>
      <c r="CC16" s="692">
        <f t="shared" si="18"/>
        <v>115558000</v>
      </c>
      <c r="CD16" s="692">
        <f t="shared" si="19"/>
        <v>783000</v>
      </c>
      <c r="CE16" s="692">
        <f t="shared" si="20"/>
        <v>8143000</v>
      </c>
      <c r="CF16" s="692">
        <f t="shared" si="21"/>
        <v>10643000</v>
      </c>
      <c r="CG16" s="692">
        <f t="shared" si="22"/>
        <v>6333000</v>
      </c>
      <c r="CH16" s="692">
        <f t="shared" si="23"/>
        <v>52348000</v>
      </c>
      <c r="CI16" s="692">
        <f t="shared" si="24"/>
        <v>5826000</v>
      </c>
      <c r="CJ16" s="692">
        <f t="shared" si="25"/>
        <v>324000</v>
      </c>
      <c r="CK16" s="692">
        <f t="shared" si="26"/>
        <v>207614000</v>
      </c>
      <c r="CL16" s="692">
        <f t="shared" si="27"/>
        <v>1733625000</v>
      </c>
      <c r="CM16" s="692">
        <f t="shared" si="28"/>
        <v>1733625000</v>
      </c>
      <c r="CN16" s="691">
        <f t="shared" si="29"/>
        <v>0</v>
      </c>
    </row>
    <row r="17" spans="1:93" ht="15">
      <c r="A17" s="697"/>
      <c r="B17" s="697">
        <v>10</v>
      </c>
      <c r="C17" s="698">
        <v>832842</v>
      </c>
      <c r="D17" s="698">
        <v>769816</v>
      </c>
      <c r="E17" s="698">
        <v>106890</v>
      </c>
      <c r="F17" s="698">
        <v>6570</v>
      </c>
      <c r="G17" s="698">
        <v>483</v>
      </c>
      <c r="H17" s="696">
        <f t="shared" si="0"/>
        <v>1716601</v>
      </c>
      <c r="I17" s="698">
        <v>168691</v>
      </c>
      <c r="J17" s="696">
        <f t="shared" si="1"/>
        <v>1885292</v>
      </c>
      <c r="L17" s="697"/>
      <c r="M17" s="697">
        <f t="shared" si="2"/>
        <v>10</v>
      </c>
      <c r="N17" s="696">
        <v>819876360.70532405</v>
      </c>
      <c r="O17" s="696">
        <v>716858729.05337799</v>
      </c>
      <c r="P17" s="696">
        <v>103246451.8338102</v>
      </c>
      <c r="Q17" s="696">
        <v>6545602.5549526764</v>
      </c>
      <c r="R17" s="696">
        <v>494576.83721415204</v>
      </c>
      <c r="S17" s="696">
        <f t="shared" si="3"/>
        <v>1647021720.984679</v>
      </c>
      <c r="T17" s="696">
        <v>170141118.82777619</v>
      </c>
      <c r="U17" s="696">
        <f t="shared" si="4"/>
        <v>1817162839.8124552</v>
      </c>
      <c r="W17" s="697"/>
      <c r="X17" s="697">
        <f t="shared" si="5"/>
        <v>10</v>
      </c>
      <c r="Y17" s="696">
        <f t="shared" si="6"/>
        <v>12965639.294675946</v>
      </c>
      <c r="Z17" s="696">
        <f t="shared" si="7"/>
        <v>52957270.946622014</v>
      </c>
      <c r="AA17" s="696">
        <f t="shared" si="8"/>
        <v>3643548.1661898047</v>
      </c>
      <c r="AB17" s="696">
        <f t="shared" si="9"/>
        <v>24397.445047323592</v>
      </c>
      <c r="AC17" s="693"/>
      <c r="AD17" s="695">
        <f t="shared" si="10"/>
        <v>10</v>
      </c>
      <c r="AE17" s="694">
        <v>619.08986708266116</v>
      </c>
      <c r="AF17" s="691">
        <v>483000</v>
      </c>
      <c r="AG17" s="691">
        <v>832664172.24970365</v>
      </c>
      <c r="AH17" s="691">
        <v>177827.75029620522</v>
      </c>
      <c r="AI17" s="691">
        <v>21333124.320301138</v>
      </c>
      <c r="AJ17" s="691">
        <v>2916030.3634150201</v>
      </c>
      <c r="AK17" s="691">
        <v>13437595.302433839</v>
      </c>
      <c r="AL17" s="691">
        <v>1517751.0026179918</v>
      </c>
      <c r="AM17" s="691">
        <v>217869661.07874247</v>
      </c>
      <c r="AN17" s="691">
        <v>7698838.1666116389</v>
      </c>
      <c r="AO17" s="691">
        <v>237933243.33706909</v>
      </c>
      <c r="AP17" s="691">
        <v>15724620.928660696</v>
      </c>
      <c r="AQ17" s="691">
        <v>140987331.52806023</v>
      </c>
      <c r="AR17" s="691">
        <v>19889972.207320355</v>
      </c>
      <c r="AS17" s="691">
        <v>629102.52025467355</v>
      </c>
      <c r="AT17" s="691">
        <v>72860152.706518561</v>
      </c>
      <c r="AU17" s="691">
        <v>42798745.574283056</v>
      </c>
      <c r="AV17" s="691">
        <v>266153.84280213708</v>
      </c>
      <c r="AW17" s="691">
        <v>7500209.0967064975</v>
      </c>
      <c r="AX17" s="691">
        <v>5521945.9276812328</v>
      </c>
      <c r="AY17" s="691">
        <v>9900951.9109803941</v>
      </c>
      <c r="AZ17" s="691">
        <v>1007485.0227355945</v>
      </c>
      <c r="BA17" s="691">
        <v>4878366.0283188587</v>
      </c>
      <c r="BB17" s="691">
        <v>41104068.261038251</v>
      </c>
      <c r="BC17" s="691">
        <v>10377511.167124148</v>
      </c>
      <c r="BD17" s="691">
        <v>1111961.5281919804</v>
      </c>
      <c r="BE17" s="691">
        <v>84543.343151288849</v>
      </c>
      <c r="BF17" s="691">
        <v>4394.0903417503987</v>
      </c>
      <c r="BG17" s="691">
        <v>341312.35013153893</v>
      </c>
      <c r="BH17" s="691">
        <v>1166833.4921681222</v>
      </c>
      <c r="BI17" s="691">
        <v>2920933.1071482119</v>
      </c>
      <c r="BJ17" s="691">
        <v>547677.19430899154</v>
      </c>
      <c r="BK17" s="691">
        <v>172285.57421809147</v>
      </c>
      <c r="BL17" s="691">
        <v>160884.63768002976</v>
      </c>
      <c r="BM17" s="691">
        <v>391725.80469103315</v>
      </c>
      <c r="BN17" s="691">
        <v>211638.99526208491</v>
      </c>
      <c r="BO17" s="691">
        <v>8330.4991639154614</v>
      </c>
      <c r="BP17" s="691">
        <f t="shared" si="11"/>
        <v>1716601000</v>
      </c>
      <c r="BQ17" s="691">
        <v>5164760.7278750157</v>
      </c>
      <c r="BR17" s="691">
        <v>134675520.24743596</v>
      </c>
      <c r="BS17" s="691">
        <v>28850719.02468903</v>
      </c>
      <c r="BT17" s="691">
        <f t="shared" si="12"/>
        <v>1885292000</v>
      </c>
      <c r="BU17" s="691">
        <v>36682301.648445889</v>
      </c>
      <c r="BV17" s="693"/>
      <c r="BW17" s="692">
        <f t="shared" si="13"/>
        <v>832664000</v>
      </c>
      <c r="BX17" s="692">
        <f t="shared" si="14"/>
        <v>178000</v>
      </c>
      <c r="BY17" s="692">
        <f t="shared" si="15"/>
        <v>248014000</v>
      </c>
      <c r="BZ17" s="692">
        <f>ROUND(SUM(AK17,AO17:AP17,BE17),-3)-1000</f>
        <v>267179000</v>
      </c>
      <c r="CA17" s="692">
        <f t="shared" si="16"/>
        <v>162395000</v>
      </c>
      <c r="CB17" s="692">
        <f t="shared" si="17"/>
        <v>629000</v>
      </c>
      <c r="CC17" s="692">
        <f t="shared" si="18"/>
        <v>118575000</v>
      </c>
      <c r="CD17" s="692">
        <f t="shared" si="19"/>
        <v>266000</v>
      </c>
      <c r="CE17" s="692">
        <f t="shared" si="20"/>
        <v>9901000</v>
      </c>
      <c r="CF17" s="692">
        <f t="shared" si="21"/>
        <v>13022000</v>
      </c>
      <c r="CG17" s="692">
        <f t="shared" si="22"/>
        <v>5886000</v>
      </c>
      <c r="CH17" s="692">
        <f t="shared" si="23"/>
        <v>51482000</v>
      </c>
      <c r="CI17" s="692">
        <f t="shared" si="24"/>
        <v>5927000</v>
      </c>
      <c r="CJ17" s="692">
        <f t="shared" si="25"/>
        <v>483000</v>
      </c>
      <c r="CK17" s="692">
        <f t="shared" si="26"/>
        <v>205373000</v>
      </c>
      <c r="CL17" s="692">
        <f t="shared" si="27"/>
        <v>1921974000</v>
      </c>
      <c r="CM17" s="692">
        <f t="shared" si="28"/>
        <v>1921974000</v>
      </c>
      <c r="CN17" s="691">
        <f t="shared" si="29"/>
        <v>0</v>
      </c>
    </row>
    <row r="18" spans="1:93" ht="15">
      <c r="A18" s="697"/>
      <c r="B18" s="697">
        <v>11</v>
      </c>
      <c r="C18" s="698">
        <v>1028038</v>
      </c>
      <c r="D18" s="698">
        <v>800225</v>
      </c>
      <c r="E18" s="698">
        <v>99195</v>
      </c>
      <c r="F18" s="698">
        <v>6978</v>
      </c>
      <c r="G18" s="698">
        <v>697</v>
      </c>
      <c r="H18" s="696">
        <f t="shared" si="0"/>
        <v>1935133</v>
      </c>
      <c r="I18" s="698">
        <v>168560</v>
      </c>
      <c r="J18" s="696">
        <f t="shared" si="1"/>
        <v>2103693</v>
      </c>
      <c r="L18" s="697"/>
      <c r="M18" s="697">
        <f t="shared" si="2"/>
        <v>11</v>
      </c>
      <c r="N18" s="696">
        <v>1042710597.8589735</v>
      </c>
      <c r="O18" s="696">
        <v>733088116.45352173</v>
      </c>
      <c r="P18" s="696">
        <v>97753679.551509276</v>
      </c>
      <c r="Q18" s="696">
        <v>6119267.8808885086</v>
      </c>
      <c r="R18" s="696">
        <v>733110.15827993536</v>
      </c>
      <c r="S18" s="696">
        <f t="shared" si="3"/>
        <v>1880404771.903173</v>
      </c>
      <c r="T18" s="696">
        <v>161507811.71012649</v>
      </c>
      <c r="U18" s="696">
        <f t="shared" si="4"/>
        <v>2041912583.6132994</v>
      </c>
      <c r="W18" s="697"/>
      <c r="X18" s="697">
        <f t="shared" si="5"/>
        <v>11</v>
      </c>
      <c r="Y18" s="696">
        <f t="shared" si="6"/>
        <v>-14672597.858973503</v>
      </c>
      <c r="Z18" s="696">
        <f t="shared" si="7"/>
        <v>67136883.546478271</v>
      </c>
      <c r="AA18" s="696">
        <f t="shared" si="8"/>
        <v>1441320.448490724</v>
      </c>
      <c r="AB18" s="696">
        <f t="shared" si="9"/>
        <v>858732.11911149137</v>
      </c>
      <c r="AC18" s="693"/>
      <c r="AD18" s="695">
        <f t="shared" si="10"/>
        <v>11</v>
      </c>
      <c r="AE18" s="694">
        <v>674.90801665501056</v>
      </c>
      <c r="AF18" s="691">
        <v>697000</v>
      </c>
      <c r="AG18" s="691">
        <v>1027841469.227156</v>
      </c>
      <c r="AH18" s="691">
        <v>196530.77284396978</v>
      </c>
      <c r="AI18" s="691">
        <v>24965156.987875853</v>
      </c>
      <c r="AJ18" s="691">
        <v>3171947.6437446158</v>
      </c>
      <c r="AK18" s="691">
        <v>14355801.590340018</v>
      </c>
      <c r="AL18" s="691">
        <v>1673578.569444119</v>
      </c>
      <c r="AM18" s="691">
        <v>235615360.16347685</v>
      </c>
      <c r="AN18" s="691">
        <v>7993354.2288164124</v>
      </c>
      <c r="AO18" s="691">
        <v>244973178.50728169</v>
      </c>
      <c r="AP18" s="691">
        <v>14935993.12659316</v>
      </c>
      <c r="AQ18" s="691">
        <v>139479667.90589425</v>
      </c>
      <c r="AR18" s="691">
        <v>17804889.287617445</v>
      </c>
      <c r="AS18" s="691">
        <v>339282.71990059427</v>
      </c>
      <c r="AT18" s="691">
        <v>72561853.571821511</v>
      </c>
      <c r="AU18" s="691">
        <v>39715210.509718567</v>
      </c>
      <c r="AV18" s="691">
        <v>59324.206303521481</v>
      </c>
      <c r="AW18" s="691">
        <v>6770002.6331748925</v>
      </c>
      <c r="AX18" s="691">
        <v>4771200.067005408</v>
      </c>
      <c r="AY18" s="691">
        <v>12525830.964984078</v>
      </c>
      <c r="AZ18" s="691">
        <v>1154553.2399871629</v>
      </c>
      <c r="BA18" s="691">
        <v>4163440.4932040074</v>
      </c>
      <c r="BB18" s="691">
        <v>42047410.104355179</v>
      </c>
      <c r="BC18" s="691">
        <v>9810912.2870449927</v>
      </c>
      <c r="BD18" s="691">
        <v>1359480.9714204406</v>
      </c>
      <c r="BE18" s="691">
        <v>115540.70522274391</v>
      </c>
      <c r="BF18" s="691">
        <v>4960.7510965924139</v>
      </c>
      <c r="BG18" s="691">
        <v>318663.18913590285</v>
      </c>
      <c r="BH18" s="691">
        <v>1239448.6487430667</v>
      </c>
      <c r="BI18" s="691">
        <v>3083706.9349009404</v>
      </c>
      <c r="BJ18" s="691">
        <v>574747.22782259621</v>
      </c>
      <c r="BK18" s="691">
        <v>165086.99978343921</v>
      </c>
      <c r="BL18" s="691">
        <v>154761.34297199163</v>
      </c>
      <c r="BM18" s="691">
        <v>280776.66364106257</v>
      </c>
      <c r="BN18" s="691">
        <v>204432.74418626743</v>
      </c>
      <c r="BO18" s="691">
        <v>7770.1044737203711</v>
      </c>
      <c r="BP18" s="691">
        <f t="shared" si="11"/>
        <v>1935133000.0000002</v>
      </c>
      <c r="BQ18" s="691">
        <v>4974431.3448230922</v>
      </c>
      <c r="BR18" s="691">
        <v>135531633.88870126</v>
      </c>
      <c r="BS18" s="691">
        <v>28053934.766475663</v>
      </c>
      <c r="BT18" s="691">
        <f t="shared" si="12"/>
        <v>2103693000.0000002</v>
      </c>
      <c r="BU18" s="691">
        <v>37137728.727904625</v>
      </c>
      <c r="BV18" s="693"/>
      <c r="BW18" s="692">
        <f t="shared" si="13"/>
        <v>1027841000</v>
      </c>
      <c r="BX18" s="692">
        <f t="shared" si="14"/>
        <v>197000</v>
      </c>
      <c r="BY18" s="692">
        <f t="shared" si="15"/>
        <v>269933000</v>
      </c>
      <c r="BZ18" s="692">
        <f>ROUND(SUM(AK18,AO18:AP18,BE18),-3)+1000</f>
        <v>274382000</v>
      </c>
      <c r="CA18" s="692">
        <f t="shared" si="16"/>
        <v>158958000</v>
      </c>
      <c r="CB18" s="692">
        <f t="shared" si="17"/>
        <v>339000</v>
      </c>
      <c r="CC18" s="692">
        <f t="shared" si="18"/>
        <v>115449000</v>
      </c>
      <c r="CD18" s="692">
        <f t="shared" si="19"/>
        <v>59000</v>
      </c>
      <c r="CE18" s="692">
        <f t="shared" si="20"/>
        <v>12526000</v>
      </c>
      <c r="CF18" s="692">
        <f t="shared" si="21"/>
        <v>11541000</v>
      </c>
      <c r="CG18" s="692">
        <f t="shared" si="22"/>
        <v>5318000</v>
      </c>
      <c r="CH18" s="692">
        <f t="shared" si="23"/>
        <v>51858000</v>
      </c>
      <c r="CI18" s="692">
        <f t="shared" si="24"/>
        <v>6035000</v>
      </c>
      <c r="CJ18" s="692">
        <f t="shared" si="25"/>
        <v>697000</v>
      </c>
      <c r="CK18" s="692">
        <f t="shared" si="26"/>
        <v>205698000</v>
      </c>
      <c r="CL18" s="692">
        <f t="shared" si="27"/>
        <v>2140831000</v>
      </c>
      <c r="CM18" s="692">
        <f t="shared" si="28"/>
        <v>2140831000</v>
      </c>
      <c r="CN18" s="691">
        <f t="shared" si="29"/>
        <v>0</v>
      </c>
    </row>
    <row r="19" spans="1:93" ht="15">
      <c r="A19" s="697"/>
      <c r="B19" s="697">
        <v>12</v>
      </c>
      <c r="C19" s="698">
        <v>1299084</v>
      </c>
      <c r="D19" s="698">
        <v>876079</v>
      </c>
      <c r="E19" s="698">
        <v>98796</v>
      </c>
      <c r="F19" s="698">
        <v>6853</v>
      </c>
      <c r="G19" s="698">
        <v>1016</v>
      </c>
      <c r="H19" s="696">
        <f t="shared" si="0"/>
        <v>2281828</v>
      </c>
      <c r="I19" s="698">
        <v>168442</v>
      </c>
      <c r="J19" s="696">
        <f t="shared" si="1"/>
        <v>2450270</v>
      </c>
      <c r="L19" s="697"/>
      <c r="M19" s="697">
        <f t="shared" si="2"/>
        <v>12</v>
      </c>
      <c r="N19" s="696">
        <v>1228531836.3532619</v>
      </c>
      <c r="O19" s="696">
        <v>793590343.05297375</v>
      </c>
      <c r="P19" s="696">
        <v>98290251.431234911</v>
      </c>
      <c r="Q19" s="696">
        <v>6770461.9027727582</v>
      </c>
      <c r="R19" s="696">
        <v>975840.35406800895</v>
      </c>
      <c r="S19" s="696">
        <f t="shared" si="3"/>
        <v>2128158733.0943112</v>
      </c>
      <c r="T19" s="696">
        <v>169738931.53743532</v>
      </c>
      <c r="U19" s="696">
        <f t="shared" si="4"/>
        <v>2297897664.6317468</v>
      </c>
      <c r="W19" s="697"/>
      <c r="X19" s="697">
        <f t="shared" si="5"/>
        <v>12</v>
      </c>
      <c r="Y19" s="696">
        <f t="shared" si="6"/>
        <v>70552163.646738052</v>
      </c>
      <c r="Z19" s="696">
        <f t="shared" si="7"/>
        <v>82488656.947026253</v>
      </c>
      <c r="AA19" s="696">
        <f t="shared" si="8"/>
        <v>505748.56876508892</v>
      </c>
      <c r="AB19" s="696">
        <f t="shared" si="9"/>
        <v>82538.097227241844</v>
      </c>
      <c r="AC19" s="693"/>
      <c r="AD19" s="695">
        <f t="shared" si="10"/>
        <v>12</v>
      </c>
      <c r="AE19" s="694">
        <v>594.31195950151414</v>
      </c>
      <c r="AF19" s="691">
        <v>1016000.0000000001</v>
      </c>
      <c r="AG19" s="691">
        <v>1298827817.583359</v>
      </c>
      <c r="AH19" s="691">
        <v>256182.4166410364</v>
      </c>
      <c r="AI19" s="691">
        <v>30153455.463824779</v>
      </c>
      <c r="AJ19" s="691">
        <v>3615161.3596631857</v>
      </c>
      <c r="AK19" s="691">
        <v>16220357.007036531</v>
      </c>
      <c r="AL19" s="691">
        <v>1901592.5043001575</v>
      </c>
      <c r="AM19" s="691">
        <v>261681932.40170115</v>
      </c>
      <c r="AN19" s="691">
        <v>8461506.0706360266</v>
      </c>
      <c r="AO19" s="691">
        <v>266114012.1366148</v>
      </c>
      <c r="AP19" s="691">
        <v>15387426.311266264</v>
      </c>
      <c r="AQ19" s="691">
        <v>148787788.97811931</v>
      </c>
      <c r="AR19" s="691">
        <v>16808534.438622076</v>
      </c>
      <c r="AS19" s="691">
        <v>356056.03280467819</v>
      </c>
      <c r="AT19" s="691">
        <v>79198961.069766939</v>
      </c>
      <c r="AU19" s="691">
        <v>40250408.89059709</v>
      </c>
      <c r="AV19" s="691">
        <v>4761.370574506419</v>
      </c>
      <c r="AW19" s="691">
        <v>5467891.2985649435</v>
      </c>
      <c r="AX19" s="691">
        <v>4422124.0489256391</v>
      </c>
      <c r="AY19" s="691">
        <v>15760085.832169663</v>
      </c>
      <c r="AZ19" s="691">
        <v>1903442.6252223542</v>
      </c>
      <c r="BA19" s="691">
        <v>3812215.546772805</v>
      </c>
      <c r="BB19" s="691">
        <v>44351912.738582663</v>
      </c>
      <c r="BC19" s="691">
        <v>9653784.6931801084</v>
      </c>
      <c r="BD19" s="691">
        <v>1312426.2715197268</v>
      </c>
      <c r="BE19" s="691">
        <v>115305.76637454322</v>
      </c>
      <c r="BF19" s="691">
        <v>4775.4471307610866</v>
      </c>
      <c r="BG19" s="691">
        <v>337697.95107432676</v>
      </c>
      <c r="BH19" s="691">
        <v>1194640.9252480441</v>
      </c>
      <c r="BI19" s="691">
        <v>2899490.3205525707</v>
      </c>
      <c r="BJ19" s="691">
        <v>548329.35253673582</v>
      </c>
      <c r="BK19" s="691">
        <v>173791.96652102313</v>
      </c>
      <c r="BL19" s="691">
        <v>163134.16257775307</v>
      </c>
      <c r="BM19" s="691">
        <v>439739.65360378893</v>
      </c>
      <c r="BN19" s="691">
        <v>216853.62587224023</v>
      </c>
      <c r="BO19" s="691">
        <v>7809.4260834487613</v>
      </c>
      <c r="BP19" s="691">
        <f t="shared" si="11"/>
        <v>2281827999.9999986</v>
      </c>
      <c r="BQ19" s="691">
        <v>4867466.1134560816</v>
      </c>
      <c r="BR19" s="691">
        <v>136902472.04778129</v>
      </c>
      <c r="BS19" s="691">
        <v>26672061.838762648</v>
      </c>
      <c r="BT19" s="691">
        <f t="shared" si="12"/>
        <v>2450269999.9999986</v>
      </c>
      <c r="BU19" s="691">
        <v>38422206.362384774</v>
      </c>
      <c r="BV19" s="693"/>
      <c r="BW19" s="692">
        <f t="shared" si="13"/>
        <v>1298828000</v>
      </c>
      <c r="BX19" s="692">
        <f t="shared" si="14"/>
        <v>256000</v>
      </c>
      <c r="BY19" s="692">
        <f t="shared" si="15"/>
        <v>301609000</v>
      </c>
      <c r="BZ19" s="692">
        <f>ROUND(SUM(AK19,AO19:AP19,BE19),-3)-1000</f>
        <v>297836000</v>
      </c>
      <c r="CA19" s="692">
        <f t="shared" si="16"/>
        <v>167498000</v>
      </c>
      <c r="CB19" s="692">
        <f t="shared" si="17"/>
        <v>356000</v>
      </c>
      <c r="CC19" s="692">
        <f t="shared" si="18"/>
        <v>123065000</v>
      </c>
      <c r="CD19" s="692">
        <f t="shared" si="19"/>
        <v>5000</v>
      </c>
      <c r="CE19" s="692">
        <f t="shared" si="20"/>
        <v>15760000</v>
      </c>
      <c r="CF19" s="692">
        <f t="shared" si="21"/>
        <v>9890000</v>
      </c>
      <c r="CG19" s="692">
        <f t="shared" si="22"/>
        <v>5716000</v>
      </c>
      <c r="CH19" s="692">
        <f t="shared" si="23"/>
        <v>54006000</v>
      </c>
      <c r="CI19" s="692">
        <f t="shared" si="24"/>
        <v>5987000</v>
      </c>
      <c r="CJ19" s="692">
        <f t="shared" si="25"/>
        <v>1016000</v>
      </c>
      <c r="CK19" s="692">
        <f t="shared" si="26"/>
        <v>206864000</v>
      </c>
      <c r="CL19" s="692">
        <f t="shared" si="27"/>
        <v>2488692000</v>
      </c>
      <c r="CM19" s="692">
        <f t="shared" si="28"/>
        <v>2488692000</v>
      </c>
      <c r="CN19" s="691">
        <f t="shared" si="29"/>
        <v>0</v>
      </c>
    </row>
    <row r="20" spans="1:93" ht="15">
      <c r="A20" s="697"/>
      <c r="B20" s="697"/>
      <c r="C20" s="698"/>
      <c r="D20" s="698"/>
      <c r="E20" s="698"/>
      <c r="F20" s="698"/>
      <c r="G20" s="698"/>
      <c r="H20" s="696"/>
      <c r="I20" s="698"/>
      <c r="J20" s="696"/>
      <c r="L20" s="697"/>
      <c r="M20" s="697"/>
      <c r="N20" s="696"/>
      <c r="O20" s="696"/>
      <c r="P20" s="696"/>
      <c r="Q20" s="696"/>
      <c r="R20" s="696"/>
      <c r="S20" s="696"/>
      <c r="T20" s="696"/>
      <c r="U20" s="696"/>
      <c r="W20" s="697"/>
      <c r="X20" s="697"/>
      <c r="Y20" s="696"/>
      <c r="Z20" s="696"/>
      <c r="AA20" s="696"/>
      <c r="AB20" s="696"/>
      <c r="AC20" s="695">
        <v>2020</v>
      </c>
      <c r="AD20" s="695">
        <v>1</v>
      </c>
      <c r="AE20" s="694">
        <v>596.25541753093512</v>
      </c>
      <c r="AF20" s="691">
        <v>883000</v>
      </c>
      <c r="AG20" s="691">
        <v>1258213250.3095694</v>
      </c>
      <c r="AH20" s="691">
        <v>245749.69043033893</v>
      </c>
      <c r="AI20" s="691">
        <v>28726762.685453124</v>
      </c>
      <c r="AJ20" s="691">
        <v>3577803.6280697626</v>
      </c>
      <c r="AK20" s="691">
        <v>16659053.480711006</v>
      </c>
      <c r="AL20" s="691">
        <v>1885405.84561067</v>
      </c>
      <c r="AM20" s="691">
        <v>261678790.36061981</v>
      </c>
      <c r="AN20" s="691">
        <v>9676135.4917809423</v>
      </c>
      <c r="AO20" s="691">
        <v>262099480.11147481</v>
      </c>
      <c r="AP20" s="691">
        <v>17393312.24766627</v>
      </c>
      <c r="AQ20" s="691">
        <v>144649876.79361349</v>
      </c>
      <c r="AR20" s="691">
        <v>18801434.786312565</v>
      </c>
      <c r="AS20" s="691">
        <v>327674.26800954627</v>
      </c>
      <c r="AT20" s="691">
        <v>77353912.136237204</v>
      </c>
      <c r="AU20" s="691">
        <v>45494775.002700038</v>
      </c>
      <c r="AV20" s="691">
        <v>4171.3732699329867</v>
      </c>
      <c r="AW20" s="691">
        <v>3434219.8750261934</v>
      </c>
      <c r="AX20" s="691">
        <v>5222789.1804729803</v>
      </c>
      <c r="AY20" s="691">
        <v>16333295.692639336</v>
      </c>
      <c r="AZ20" s="691">
        <v>1841879.0366509287</v>
      </c>
      <c r="BA20" s="691">
        <v>4338374.261343766</v>
      </c>
      <c r="BB20" s="691">
        <v>39376662.809568748</v>
      </c>
      <c r="BC20" s="691">
        <v>10733179.029723434</v>
      </c>
      <c r="BD20" s="691">
        <v>1272216.4704130392</v>
      </c>
      <c r="BE20" s="691">
        <v>116639.36104904118</v>
      </c>
      <c r="BF20" s="691">
        <v>4808.0094141441605</v>
      </c>
      <c r="BG20" s="691">
        <v>326360.69578192354</v>
      </c>
      <c r="BH20" s="691">
        <v>1160377.3548215895</v>
      </c>
      <c r="BI20" s="691">
        <v>2919088.7532646987</v>
      </c>
      <c r="BJ20" s="691">
        <v>544272.63222433662</v>
      </c>
      <c r="BK20" s="691">
        <v>167242.26926007669</v>
      </c>
      <c r="BL20" s="691">
        <v>157328.13529134481</v>
      </c>
      <c r="BM20" s="691">
        <v>366640.46761369583</v>
      </c>
      <c r="BN20" s="691">
        <v>208303.14488730181</v>
      </c>
      <c r="BO20" s="691">
        <v>8138.3536067860778</v>
      </c>
      <c r="BP20" s="691">
        <v>2236203000.0000014</v>
      </c>
      <c r="BQ20" s="691">
        <v>5792943.8902291637</v>
      </c>
      <c r="BR20" s="691">
        <v>136463921.96408948</v>
      </c>
      <c r="BS20" s="691">
        <v>26178134.145681351</v>
      </c>
      <c r="BT20" s="691">
        <v>2404638000.0000014</v>
      </c>
      <c r="BU20" s="691">
        <v>40091359.592734799</v>
      </c>
      <c r="BV20" s="693"/>
      <c r="BW20" s="692">
        <f t="shared" si="13"/>
        <v>1258213000</v>
      </c>
      <c r="BX20" s="692">
        <f t="shared" si="14"/>
        <v>246000</v>
      </c>
      <c r="BY20" s="692">
        <f t="shared" si="15"/>
        <v>301354000</v>
      </c>
      <c r="BZ20" s="692">
        <f>ROUND(SUM(AK20,AO20:AP20,BE20),-3)+1000</f>
        <v>296269000</v>
      </c>
      <c r="CA20" s="692">
        <f t="shared" si="16"/>
        <v>165337000</v>
      </c>
      <c r="CB20" s="692">
        <f t="shared" si="17"/>
        <v>328000</v>
      </c>
      <c r="CC20" s="692">
        <f t="shared" si="18"/>
        <v>126426000</v>
      </c>
      <c r="CD20" s="692">
        <f t="shared" si="19"/>
        <v>4000</v>
      </c>
      <c r="CE20" s="692">
        <f t="shared" si="20"/>
        <v>16333000</v>
      </c>
      <c r="CF20" s="692">
        <f t="shared" si="21"/>
        <v>8657000</v>
      </c>
      <c r="CG20" s="692">
        <f t="shared" si="22"/>
        <v>6180000</v>
      </c>
      <c r="CH20" s="692">
        <f t="shared" si="23"/>
        <v>50110000</v>
      </c>
      <c r="CI20" s="692">
        <f t="shared" si="24"/>
        <v>5863000</v>
      </c>
      <c r="CJ20" s="692">
        <f t="shared" si="25"/>
        <v>883000</v>
      </c>
      <c r="CK20" s="692">
        <f t="shared" si="26"/>
        <v>208526000</v>
      </c>
      <c r="CL20" s="692">
        <f t="shared" si="27"/>
        <v>2444729000</v>
      </c>
      <c r="CM20" s="692">
        <f t="shared" si="28"/>
        <v>2444729000</v>
      </c>
      <c r="CN20" s="691">
        <f t="shared" si="29"/>
        <v>0</v>
      </c>
    </row>
    <row r="21" spans="1:93" ht="15">
      <c r="A21" s="697"/>
      <c r="B21" s="697"/>
      <c r="C21" s="698"/>
      <c r="D21" s="698"/>
      <c r="E21" s="698"/>
      <c r="F21" s="698"/>
      <c r="G21" s="698"/>
      <c r="H21" s="696"/>
      <c r="I21" s="698"/>
      <c r="J21" s="696"/>
      <c r="L21" s="697"/>
      <c r="M21" s="697"/>
      <c r="N21" s="696"/>
      <c r="O21" s="696"/>
      <c r="P21" s="696"/>
      <c r="Q21" s="696"/>
      <c r="R21" s="696"/>
      <c r="S21" s="696"/>
      <c r="T21" s="696"/>
      <c r="U21" s="696"/>
      <c r="W21" s="697"/>
      <c r="X21" s="697"/>
      <c r="Y21" s="696"/>
      <c r="Z21" s="696"/>
      <c r="AA21" s="696"/>
      <c r="AB21" s="696"/>
      <c r="AC21" s="693"/>
      <c r="AD21" s="695">
        <v>2</v>
      </c>
      <c r="AE21" s="694">
        <v>583.94782246661669</v>
      </c>
      <c r="AF21" s="691">
        <v>835000</v>
      </c>
      <c r="AG21" s="691">
        <v>1089063258.7768056</v>
      </c>
      <c r="AH21" s="691">
        <v>189741.22319433925</v>
      </c>
      <c r="AI21" s="691">
        <v>25623282.928968009</v>
      </c>
      <c r="AJ21" s="691">
        <v>3291468.4600469042</v>
      </c>
      <c r="AK21" s="691">
        <v>14531284.530561101</v>
      </c>
      <c r="AL21" s="691">
        <v>1667131.4047586769</v>
      </c>
      <c r="AM21" s="691">
        <v>235511962.52934238</v>
      </c>
      <c r="AN21" s="691">
        <v>8190192.9075375833</v>
      </c>
      <c r="AO21" s="691">
        <v>249956050.27693129</v>
      </c>
      <c r="AP21" s="691">
        <v>15347999.862377563</v>
      </c>
      <c r="AQ21" s="691">
        <v>137567860.11735278</v>
      </c>
      <c r="AR21" s="691">
        <v>17321436.171645887</v>
      </c>
      <c r="AS21" s="691">
        <v>325065.28516402491</v>
      </c>
      <c r="AT21" s="691">
        <v>73523174.114792719</v>
      </c>
      <c r="AU21" s="691">
        <v>39703326.167308934</v>
      </c>
      <c r="AV21" s="691">
        <v>3177.7811884772291</v>
      </c>
      <c r="AW21" s="691">
        <v>5202693.0458903555</v>
      </c>
      <c r="AX21" s="691">
        <v>4539072.2336475393</v>
      </c>
      <c r="AY21" s="691">
        <v>14389100.641774833</v>
      </c>
      <c r="AZ21" s="691">
        <v>1743090.0357832022</v>
      </c>
      <c r="BA21" s="691">
        <v>5226461.0511332201</v>
      </c>
      <c r="BB21" s="691">
        <v>37453085.329264857</v>
      </c>
      <c r="BC21" s="691">
        <v>9577511.6063492559</v>
      </c>
      <c r="BD21" s="691">
        <v>1132058.031264781</v>
      </c>
      <c r="BE21" s="691">
        <v>105571.30359520203</v>
      </c>
      <c r="BF21" s="691">
        <v>4771.9019551326201</v>
      </c>
      <c r="BG21" s="691">
        <v>343888.6047209875</v>
      </c>
      <c r="BH21" s="691">
        <v>1140218.8547644806</v>
      </c>
      <c r="BI21" s="691">
        <v>2830042.7953655412</v>
      </c>
      <c r="BJ21" s="691">
        <v>534469.69736844732</v>
      </c>
      <c r="BK21" s="691">
        <v>161604.77028673925</v>
      </c>
      <c r="BL21" s="691">
        <v>151311.43364635797</v>
      </c>
      <c r="BM21" s="691">
        <v>261394.86314296137</v>
      </c>
      <c r="BN21" s="691">
        <v>200609.97887043626</v>
      </c>
      <c r="BO21" s="691">
        <v>8047.3353767303679</v>
      </c>
      <c r="BP21" s="691">
        <v>1997657000.000001</v>
      </c>
      <c r="BQ21" s="691">
        <v>5817724.826104342</v>
      </c>
      <c r="BR21" s="691">
        <v>136144362.95551944</v>
      </c>
      <c r="BS21" s="691">
        <v>26586912.218376212</v>
      </c>
      <c r="BT21" s="691">
        <v>2166206000.000001</v>
      </c>
      <c r="BU21" s="691">
        <v>38063605.22459399</v>
      </c>
      <c r="BV21" s="693"/>
      <c r="BW21" s="692">
        <f t="shared" si="13"/>
        <v>1089063000</v>
      </c>
      <c r="BX21" s="692">
        <f t="shared" si="14"/>
        <v>190000</v>
      </c>
      <c r="BY21" s="692">
        <f t="shared" si="15"/>
        <v>270457000</v>
      </c>
      <c r="BZ21" s="692">
        <f>ROUND(SUM(AK21,AO21:AP21,BE21),-3)</f>
        <v>279941000</v>
      </c>
      <c r="CA21" s="692">
        <f t="shared" si="16"/>
        <v>156556000</v>
      </c>
      <c r="CB21" s="692">
        <f t="shared" si="17"/>
        <v>325000</v>
      </c>
      <c r="CC21" s="692">
        <f t="shared" si="18"/>
        <v>116518000</v>
      </c>
      <c r="CD21" s="692">
        <f t="shared" si="19"/>
        <v>3000</v>
      </c>
      <c r="CE21" s="692">
        <f t="shared" si="20"/>
        <v>14389000</v>
      </c>
      <c r="CF21" s="692">
        <f t="shared" si="21"/>
        <v>9742000</v>
      </c>
      <c r="CG21" s="692">
        <f t="shared" si="22"/>
        <v>6970000</v>
      </c>
      <c r="CH21" s="692">
        <f t="shared" si="23"/>
        <v>47031000</v>
      </c>
      <c r="CI21" s="692">
        <f t="shared" si="24"/>
        <v>5637000</v>
      </c>
      <c r="CJ21" s="692">
        <f t="shared" si="25"/>
        <v>835000</v>
      </c>
      <c r="CK21" s="692">
        <f t="shared" si="26"/>
        <v>206613000</v>
      </c>
      <c r="CL21" s="692">
        <f t="shared" si="27"/>
        <v>2204270000</v>
      </c>
      <c r="CM21" s="692">
        <f t="shared" si="28"/>
        <v>2204270000</v>
      </c>
      <c r="CN21" s="691">
        <f t="shared" si="29"/>
        <v>0</v>
      </c>
    </row>
    <row r="22" spans="1:93" ht="15">
      <c r="A22" s="697"/>
      <c r="B22" s="697"/>
      <c r="C22" s="698"/>
      <c r="D22" s="698"/>
      <c r="E22" s="698"/>
      <c r="F22" s="698"/>
      <c r="G22" s="698"/>
      <c r="H22" s="696"/>
      <c r="I22" s="698"/>
      <c r="J22" s="696"/>
      <c r="L22" s="697"/>
      <c r="M22" s="697"/>
      <c r="N22" s="696"/>
      <c r="O22" s="696"/>
      <c r="P22" s="696"/>
      <c r="Q22" s="696"/>
      <c r="R22" s="696"/>
      <c r="S22" s="696"/>
      <c r="T22" s="696"/>
      <c r="U22" s="696"/>
      <c r="W22" s="697"/>
      <c r="X22" s="697"/>
      <c r="Y22" s="696"/>
      <c r="Z22" s="696"/>
      <c r="AA22" s="696"/>
      <c r="AB22" s="696"/>
      <c r="AC22" s="693"/>
      <c r="AD22" s="695">
        <v>3</v>
      </c>
      <c r="AE22" s="694">
        <v>654.09097741641517</v>
      </c>
      <c r="AF22" s="691">
        <v>824999.99999999988</v>
      </c>
      <c r="AG22" s="691">
        <v>1040796512.4471797</v>
      </c>
      <c r="AH22" s="691">
        <v>188487.55282035988</v>
      </c>
      <c r="AI22" s="691">
        <v>24915727.444350678</v>
      </c>
      <c r="AJ22" s="691">
        <v>3310161.4582595141</v>
      </c>
      <c r="AK22" s="691">
        <v>14320115.921467166</v>
      </c>
      <c r="AL22" s="691">
        <v>1707120.1165503066</v>
      </c>
      <c r="AM22" s="691">
        <v>243634593.50754112</v>
      </c>
      <c r="AN22" s="691">
        <v>8602624.6057803333</v>
      </c>
      <c r="AO22" s="691">
        <v>247448034.995828</v>
      </c>
      <c r="AP22" s="691">
        <v>15862561.858433701</v>
      </c>
      <c r="AQ22" s="691">
        <v>142929880.07651123</v>
      </c>
      <c r="AR22" s="691">
        <v>18119862.991484139</v>
      </c>
      <c r="AS22" s="691">
        <v>346879.10114672396</v>
      </c>
      <c r="AT22" s="691">
        <v>75941166.797858581</v>
      </c>
      <c r="AU22" s="691">
        <v>40824093.296139136</v>
      </c>
      <c r="AV22" s="691">
        <v>6221.2418592770746</v>
      </c>
      <c r="AW22" s="691">
        <v>8291090.2978253346</v>
      </c>
      <c r="AX22" s="691">
        <v>4989245.9355731476</v>
      </c>
      <c r="AY22" s="691">
        <v>13069323.747052459</v>
      </c>
      <c r="AZ22" s="691">
        <v>1853286.8198253629</v>
      </c>
      <c r="BA22" s="691">
        <v>5225937.6261980506</v>
      </c>
      <c r="BB22" s="691">
        <v>40888846.349837266</v>
      </c>
      <c r="BC22" s="691">
        <v>10058673.686391488</v>
      </c>
      <c r="BD22" s="691">
        <v>1087713.3871238793</v>
      </c>
      <c r="BE22" s="691">
        <v>100902.61765561381</v>
      </c>
      <c r="BF22" s="691">
        <v>5338.6632293408984</v>
      </c>
      <c r="BG22" s="691">
        <v>373146.34490790917</v>
      </c>
      <c r="BH22" s="691">
        <v>1275272.9633305534</v>
      </c>
      <c r="BI22" s="691">
        <v>3148514.1638544435</v>
      </c>
      <c r="BJ22" s="691">
        <v>595314.03511651768</v>
      </c>
      <c r="BK22" s="691">
        <v>176209.33259486553</v>
      </c>
      <c r="BL22" s="691">
        <v>164587.56748687831</v>
      </c>
      <c r="BM22" s="691">
        <v>289143.7338043265</v>
      </c>
      <c r="BN22" s="691">
        <v>221122.12092184267</v>
      </c>
      <c r="BO22" s="691">
        <v>8633.1030835039273</v>
      </c>
      <c r="BP22" s="691">
        <v>1971601999.9999995</v>
      </c>
      <c r="BQ22" s="691">
        <v>5906946.5837884117</v>
      </c>
      <c r="BR22" s="691">
        <v>135428515.37063578</v>
      </c>
      <c r="BS22" s="691">
        <v>27135538.045575816</v>
      </c>
      <c r="BT22" s="691">
        <v>2140072999.9999995</v>
      </c>
      <c r="BU22" s="691">
        <v>35668056.708987534</v>
      </c>
      <c r="BV22" s="693"/>
      <c r="BW22" s="692">
        <f t="shared" si="13"/>
        <v>1040797000</v>
      </c>
      <c r="BX22" s="692">
        <f t="shared" si="14"/>
        <v>188000</v>
      </c>
      <c r="BY22" s="692">
        <f t="shared" si="15"/>
        <v>278241000</v>
      </c>
      <c r="BZ22" s="692">
        <f>ROUND(SUM(AK22,AO22:AP22,BE22),-3)</f>
        <v>277732000</v>
      </c>
      <c r="CA22" s="692">
        <f t="shared" si="16"/>
        <v>162757000</v>
      </c>
      <c r="CB22" s="692">
        <f t="shared" si="17"/>
        <v>347000</v>
      </c>
      <c r="CC22" s="692">
        <f t="shared" si="18"/>
        <v>120075000</v>
      </c>
      <c r="CD22" s="692">
        <f t="shared" si="19"/>
        <v>6000</v>
      </c>
      <c r="CE22" s="692">
        <f t="shared" si="20"/>
        <v>13069000</v>
      </c>
      <c r="CF22" s="692">
        <f t="shared" si="21"/>
        <v>13280000</v>
      </c>
      <c r="CG22" s="692">
        <f t="shared" si="22"/>
        <v>7079000</v>
      </c>
      <c r="CH22" s="692">
        <f t="shared" si="23"/>
        <v>50948000</v>
      </c>
      <c r="CI22" s="692">
        <f t="shared" si="24"/>
        <v>6258000</v>
      </c>
      <c r="CJ22" s="692">
        <f t="shared" si="25"/>
        <v>825000</v>
      </c>
      <c r="CK22" s="692">
        <f t="shared" si="26"/>
        <v>204139000</v>
      </c>
      <c r="CL22" s="692">
        <f t="shared" si="27"/>
        <v>2175741000</v>
      </c>
      <c r="CM22" s="692">
        <f t="shared" si="28"/>
        <v>2175741000</v>
      </c>
      <c r="CN22" s="691">
        <f t="shared" si="29"/>
        <v>0</v>
      </c>
    </row>
    <row r="23" spans="1:93" ht="15">
      <c r="A23" s="697"/>
      <c r="B23" s="697"/>
      <c r="C23" s="698"/>
      <c r="D23" s="698"/>
      <c r="E23" s="698"/>
      <c r="F23" s="698"/>
      <c r="G23" s="698"/>
      <c r="H23" s="696"/>
      <c r="I23" s="698"/>
      <c r="J23" s="696"/>
      <c r="L23" s="697"/>
      <c r="M23" s="697"/>
      <c r="N23" s="696"/>
      <c r="O23" s="696"/>
      <c r="P23" s="696"/>
      <c r="Q23" s="696"/>
      <c r="R23" s="696"/>
      <c r="S23" s="696"/>
      <c r="T23" s="696"/>
      <c r="U23" s="696"/>
      <c r="W23" s="697"/>
      <c r="X23" s="697"/>
      <c r="Y23" s="696"/>
      <c r="Z23" s="696"/>
      <c r="AA23" s="696"/>
      <c r="AB23" s="696"/>
      <c r="AC23" s="693"/>
      <c r="AD23" s="695">
        <v>4</v>
      </c>
      <c r="AE23" s="694">
        <v>590.09139504550842</v>
      </c>
      <c r="AF23" s="691">
        <v>591000</v>
      </c>
      <c r="AG23" s="691">
        <v>858057531.02373576</v>
      </c>
      <c r="AH23" s="691">
        <v>166468.97626417875</v>
      </c>
      <c r="AI23" s="691">
        <v>20924125.212431639</v>
      </c>
      <c r="AJ23" s="691">
        <v>2938403.8999957195</v>
      </c>
      <c r="AK23" s="691">
        <v>12470896.857460437</v>
      </c>
      <c r="AL23" s="691">
        <v>1474862.4223314393</v>
      </c>
      <c r="AM23" s="691">
        <v>218776123.70152462</v>
      </c>
      <c r="AN23" s="691">
        <v>7566631.2765994277</v>
      </c>
      <c r="AO23" s="691">
        <v>236155059.17235044</v>
      </c>
      <c r="AP23" s="691">
        <v>14707701.320294429</v>
      </c>
      <c r="AQ23" s="691">
        <v>133883294.23756707</v>
      </c>
      <c r="AR23" s="691">
        <v>17112509.482720125</v>
      </c>
      <c r="AS23" s="691">
        <v>633314.7949295796</v>
      </c>
      <c r="AT23" s="691">
        <v>70236777.474687934</v>
      </c>
      <c r="AU23" s="691">
        <v>39405670.629055426</v>
      </c>
      <c r="AV23" s="691">
        <v>438423.90659476811</v>
      </c>
      <c r="AW23" s="691">
        <v>8209088.7649760181</v>
      </c>
      <c r="AX23" s="691">
        <v>4388864.4284797702</v>
      </c>
      <c r="AY23" s="691">
        <v>10022173.478181582</v>
      </c>
      <c r="AZ23" s="691">
        <v>1688846.2559250011</v>
      </c>
      <c r="BA23" s="691">
        <v>3669025.0239204313</v>
      </c>
      <c r="BB23" s="691">
        <v>37011416.309153728</v>
      </c>
      <c r="BC23" s="691">
        <v>9679597.838930402</v>
      </c>
      <c r="BD23" s="691">
        <v>861125.94814246346</v>
      </c>
      <c r="BE23" s="691">
        <v>69492.526652798188</v>
      </c>
      <c r="BF23" s="691">
        <v>4732.2078071499091</v>
      </c>
      <c r="BG23" s="691">
        <v>330545.60632806696</v>
      </c>
      <c r="BH23" s="691">
        <v>1131570.0146045808</v>
      </c>
      <c r="BI23" s="691">
        <v>2778935.6422376153</v>
      </c>
      <c r="BJ23" s="691">
        <v>525647.01163619396</v>
      </c>
      <c r="BK23" s="691">
        <v>167458.24225735571</v>
      </c>
      <c r="BL23" s="691">
        <v>156811.99181101151</v>
      </c>
      <c r="BM23" s="691">
        <v>385360.95119608508</v>
      </c>
      <c r="BN23" s="691">
        <v>206559.39361043856</v>
      </c>
      <c r="BO23" s="691">
        <v>8363.8842111974154</v>
      </c>
      <c r="BP23" s="691">
        <v>1716834999.9999998</v>
      </c>
      <c r="BQ23" s="691">
        <v>6269666.8599708769</v>
      </c>
      <c r="BR23" s="691">
        <v>139171169.20679417</v>
      </c>
      <c r="BS23" s="691">
        <v>23013163.933234923</v>
      </c>
      <c r="BT23" s="691">
        <v>1885288999.9999998</v>
      </c>
      <c r="BU23" s="691">
        <v>35703259.563134864</v>
      </c>
      <c r="BV23" s="693"/>
      <c r="BW23" s="692">
        <f t="shared" si="13"/>
        <v>858058000</v>
      </c>
      <c r="BX23" s="692">
        <f t="shared" si="14"/>
        <v>166000</v>
      </c>
      <c r="BY23" s="692">
        <f t="shared" si="15"/>
        <v>248128000</v>
      </c>
      <c r="BZ23" s="692">
        <f>ROUND(SUM(AK23,AO23:AP23,BE23),-3)</f>
        <v>263403000</v>
      </c>
      <c r="CA23" s="692">
        <f t="shared" si="16"/>
        <v>152471000</v>
      </c>
      <c r="CB23" s="692">
        <f t="shared" si="17"/>
        <v>633000</v>
      </c>
      <c r="CC23" s="692">
        <f t="shared" si="18"/>
        <v>112581000</v>
      </c>
      <c r="CD23" s="692">
        <f t="shared" si="19"/>
        <v>438000</v>
      </c>
      <c r="CE23" s="692">
        <f t="shared" si="20"/>
        <v>10022000</v>
      </c>
      <c r="CF23" s="692">
        <f t="shared" si="21"/>
        <v>12598000</v>
      </c>
      <c r="CG23" s="692">
        <f t="shared" si="22"/>
        <v>5358000</v>
      </c>
      <c r="CH23" s="692">
        <f t="shared" si="23"/>
        <v>46691000</v>
      </c>
      <c r="CI23" s="692">
        <f t="shared" si="24"/>
        <v>5697000</v>
      </c>
      <c r="CJ23" s="692">
        <f t="shared" si="25"/>
        <v>591000</v>
      </c>
      <c r="CK23" s="692">
        <f t="shared" si="26"/>
        <v>204157000</v>
      </c>
      <c r="CL23" s="692">
        <f t="shared" si="27"/>
        <v>1920992000</v>
      </c>
      <c r="CM23" s="692">
        <f t="shared" si="28"/>
        <v>1920992000</v>
      </c>
      <c r="CN23" s="691">
        <f t="shared" si="29"/>
        <v>0</v>
      </c>
    </row>
    <row r="24" spans="1:93">
      <c r="A24" s="705"/>
      <c r="B24" s="704"/>
      <c r="C24" s="710"/>
      <c r="D24" s="710"/>
      <c r="E24" s="710"/>
      <c r="F24" s="710"/>
      <c r="G24" s="709"/>
      <c r="H24" s="706"/>
      <c r="I24" s="708"/>
      <c r="J24" s="706"/>
      <c r="L24" s="705"/>
      <c r="M24" s="704"/>
      <c r="N24" s="703"/>
      <c r="O24" s="703"/>
      <c r="P24" s="703"/>
      <c r="Q24" s="703"/>
      <c r="R24" s="707"/>
      <c r="S24" s="706"/>
      <c r="T24" s="706"/>
      <c r="U24" s="706"/>
      <c r="W24" s="705"/>
      <c r="X24" s="704"/>
      <c r="Y24" s="703"/>
      <c r="Z24" s="703"/>
      <c r="AA24" s="703"/>
      <c r="AB24" s="703"/>
      <c r="AC24" s="700"/>
      <c r="AD24" s="702">
        <v>5</v>
      </c>
      <c r="AE24" s="701">
        <v>631.2513703752843</v>
      </c>
      <c r="AF24" s="699">
        <v>458000</v>
      </c>
      <c r="AG24" s="699">
        <v>734328004.46567416</v>
      </c>
      <c r="AH24" s="699">
        <v>164995.53432594292</v>
      </c>
      <c r="AI24" s="699">
        <v>19145378.924513489</v>
      </c>
      <c r="AJ24" s="699">
        <v>2710858.6486797631</v>
      </c>
      <c r="AK24" s="699">
        <v>11574025.055396944</v>
      </c>
      <c r="AL24" s="699">
        <v>1376292.4326187193</v>
      </c>
      <c r="AM24" s="699">
        <v>209813790.10055256</v>
      </c>
      <c r="AN24" s="699">
        <v>7334402.6658475101</v>
      </c>
      <c r="AO24" s="699">
        <v>234679739.91780555</v>
      </c>
      <c r="AP24" s="699">
        <v>14756085.912367081</v>
      </c>
      <c r="AQ24" s="699">
        <v>137200301.58337155</v>
      </c>
      <c r="AR24" s="699">
        <v>18544969.045827612</v>
      </c>
      <c r="AS24" s="699">
        <v>1609389.1123264206</v>
      </c>
      <c r="AT24" s="699">
        <v>71821662.959097162</v>
      </c>
      <c r="AU24" s="699">
        <v>41008082.248526841</v>
      </c>
      <c r="AV24" s="699">
        <v>770049.75047291513</v>
      </c>
      <c r="AW24" s="699">
        <v>8742928.5708087198</v>
      </c>
      <c r="AX24" s="699">
        <v>5070903.9172368376</v>
      </c>
      <c r="AY24" s="699">
        <v>8657562.3572718445</v>
      </c>
      <c r="AZ24" s="699">
        <v>1799104.0822074322</v>
      </c>
      <c r="BA24" s="699">
        <v>3768465.5970831709</v>
      </c>
      <c r="BB24" s="699">
        <v>37921890.411011234</v>
      </c>
      <c r="BC24" s="699">
        <v>9640090.613110939</v>
      </c>
      <c r="BD24" s="699">
        <v>829786.80902743211</v>
      </c>
      <c r="BE24" s="699">
        <v>66368.855627402503</v>
      </c>
      <c r="BF24" s="699">
        <v>5093.4472034536529</v>
      </c>
      <c r="BG24" s="699">
        <v>391316.75591149076</v>
      </c>
      <c r="BH24" s="699">
        <v>1212729.3453741462</v>
      </c>
      <c r="BI24" s="699">
        <v>2972072.6141674812</v>
      </c>
      <c r="BJ24" s="699">
        <v>561602.68404693739</v>
      </c>
      <c r="BK24" s="699">
        <v>163533.0042151486</v>
      </c>
      <c r="BL24" s="699">
        <v>153941.61899915489</v>
      </c>
      <c r="BM24" s="699">
        <v>402398.23727127962</v>
      </c>
      <c r="BN24" s="699">
        <v>204546.28506744976</v>
      </c>
      <c r="BO24" s="699">
        <v>8005.1855839408499</v>
      </c>
      <c r="BP24" s="699">
        <v>1589869000.0000005</v>
      </c>
      <c r="BQ24" s="699">
        <v>5949293.8658835851</v>
      </c>
      <c r="BR24" s="699">
        <v>139207857.88506997</v>
      </c>
      <c r="BS24" s="699">
        <v>23051848.249046464</v>
      </c>
      <c r="BT24" s="699">
        <v>1758078000.0000005</v>
      </c>
      <c r="BU24" s="699">
        <v>35204788.658702701</v>
      </c>
      <c r="BV24" s="700"/>
      <c r="BW24" s="699">
        <f t="shared" si="13"/>
        <v>734328000</v>
      </c>
      <c r="BX24" s="699">
        <f t="shared" si="14"/>
        <v>165000</v>
      </c>
      <c r="BY24" s="699">
        <f t="shared" si="15"/>
        <v>237123000</v>
      </c>
      <c r="BZ24" s="699">
        <f>ROUND(SUM(AK24,AO24:AP24,BE24),-3)-1000</f>
        <v>261075000</v>
      </c>
      <c r="CA24" s="699">
        <f t="shared" si="16"/>
        <v>157122000</v>
      </c>
      <c r="CB24" s="699">
        <f t="shared" si="17"/>
        <v>1609000</v>
      </c>
      <c r="CC24" s="699">
        <f t="shared" si="18"/>
        <v>115541000</v>
      </c>
      <c r="CD24" s="699">
        <f t="shared" si="19"/>
        <v>770000</v>
      </c>
      <c r="CE24" s="699">
        <f t="shared" si="20"/>
        <v>8658000</v>
      </c>
      <c r="CF24" s="699">
        <f t="shared" si="21"/>
        <v>13814000</v>
      </c>
      <c r="CG24" s="699">
        <f t="shared" si="22"/>
        <v>5568000</v>
      </c>
      <c r="CH24" s="699">
        <f t="shared" si="23"/>
        <v>47562000</v>
      </c>
      <c r="CI24" s="699">
        <f t="shared" si="24"/>
        <v>6076000</v>
      </c>
      <c r="CJ24" s="699">
        <f t="shared" si="25"/>
        <v>458000</v>
      </c>
      <c r="CK24" s="699">
        <f t="shared" si="26"/>
        <v>203414000</v>
      </c>
      <c r="CL24" s="699">
        <f t="shared" si="27"/>
        <v>1793283000</v>
      </c>
      <c r="CM24" s="699">
        <f t="shared" si="28"/>
        <v>1793283000</v>
      </c>
      <c r="CN24" s="699">
        <f t="shared" si="29"/>
        <v>0</v>
      </c>
      <c r="CO24" s="686">
        <f>+'Electric - Load'!J58</f>
        <v>1589869</v>
      </c>
    </row>
    <row r="25" spans="1:93">
      <c r="A25" s="705"/>
      <c r="B25" s="704"/>
      <c r="C25" s="710"/>
      <c r="D25" s="710"/>
      <c r="E25" s="710"/>
      <c r="F25" s="710"/>
      <c r="G25" s="709"/>
      <c r="H25" s="706"/>
      <c r="I25" s="708"/>
      <c r="J25" s="706"/>
      <c r="L25" s="705"/>
      <c r="M25" s="704"/>
      <c r="N25" s="703"/>
      <c r="O25" s="703"/>
      <c r="P25" s="703"/>
      <c r="Q25" s="703"/>
      <c r="R25" s="707"/>
      <c r="S25" s="706"/>
      <c r="T25" s="706"/>
      <c r="U25" s="706"/>
      <c r="W25" s="705"/>
      <c r="X25" s="704"/>
      <c r="Y25" s="703"/>
      <c r="Z25" s="703"/>
      <c r="AA25" s="703"/>
      <c r="AB25" s="703"/>
      <c r="AC25" s="700"/>
      <c r="AD25" s="702">
        <v>6</v>
      </c>
      <c r="AE25" s="701">
        <v>635.22125879882174</v>
      </c>
      <c r="AF25" s="699">
        <v>356000</v>
      </c>
      <c r="AG25" s="699">
        <v>673779500.92895198</v>
      </c>
      <c r="AH25" s="699">
        <v>185499.07104790682</v>
      </c>
      <c r="AI25" s="699">
        <v>19110169.734923515</v>
      </c>
      <c r="AJ25" s="699">
        <v>2686665.9679626729</v>
      </c>
      <c r="AK25" s="699">
        <v>11570697.973929267</v>
      </c>
      <c r="AL25" s="699">
        <v>1503308.488759568</v>
      </c>
      <c r="AM25" s="699">
        <v>206768923.50038809</v>
      </c>
      <c r="AN25" s="699">
        <v>7239162.0035077902</v>
      </c>
      <c r="AO25" s="699">
        <v>234363051.21999857</v>
      </c>
      <c r="AP25" s="699">
        <v>14791299.864015609</v>
      </c>
      <c r="AQ25" s="699">
        <v>137167799.36435914</v>
      </c>
      <c r="AR25" s="699">
        <v>18198273.641478829</v>
      </c>
      <c r="AS25" s="699">
        <v>2338975.0578231984</v>
      </c>
      <c r="AT25" s="699">
        <v>71348372.778983593</v>
      </c>
      <c r="AU25" s="699">
        <v>40847292.724845596</v>
      </c>
      <c r="AV25" s="699">
        <v>801153.55807798519</v>
      </c>
      <c r="AW25" s="699">
        <v>5690485.4919229886</v>
      </c>
      <c r="AX25" s="699">
        <v>4931558.443577745</v>
      </c>
      <c r="AY25" s="699">
        <v>7080066.2373368312</v>
      </c>
      <c r="AZ25" s="699">
        <v>2011287.7164882333</v>
      </c>
      <c r="BA25" s="699">
        <v>4506968.3110451428</v>
      </c>
      <c r="BB25" s="699">
        <v>39080171.196546674</v>
      </c>
      <c r="BC25" s="699">
        <v>9878445.0115292892</v>
      </c>
      <c r="BD25" s="699">
        <v>760033.97364762833</v>
      </c>
      <c r="BE25" s="699">
        <v>68619.759028579734</v>
      </c>
      <c r="BF25" s="699">
        <v>5372.6138145650038</v>
      </c>
      <c r="BG25" s="699">
        <v>370517.88091934728</v>
      </c>
      <c r="BH25" s="699">
        <v>1276936.6220956782</v>
      </c>
      <c r="BI25" s="699">
        <v>3098381.5422563716</v>
      </c>
      <c r="BJ25" s="699">
        <v>590944.60553684551</v>
      </c>
      <c r="BK25" s="699">
        <v>167343.94877657114</v>
      </c>
      <c r="BL25" s="699">
        <v>156002.29277985802</v>
      </c>
      <c r="BM25" s="699">
        <v>274557.7814421861</v>
      </c>
      <c r="BN25" s="699">
        <v>208137.89734189873</v>
      </c>
      <c r="BO25" s="699">
        <v>8387.5736014558315</v>
      </c>
      <c r="BP25" s="699">
        <v>1523221000</v>
      </c>
      <c r="BQ25" s="699">
        <v>5756640.5548266694</v>
      </c>
      <c r="BR25" s="699">
        <v>136712918.75601804</v>
      </c>
      <c r="BS25" s="699">
        <v>25696440.689155262</v>
      </c>
      <c r="BT25" s="699">
        <v>1691387000</v>
      </c>
      <c r="BU25" s="699">
        <v>38121183.044109829</v>
      </c>
      <c r="BV25" s="700"/>
      <c r="BW25" s="699">
        <f t="shared" si="13"/>
        <v>673780000</v>
      </c>
      <c r="BX25" s="699">
        <f t="shared" si="14"/>
        <v>185000</v>
      </c>
      <c r="BY25" s="699">
        <f t="shared" si="15"/>
        <v>233878000</v>
      </c>
      <c r="BZ25" s="699">
        <f>ROUND(SUM(AK25,AO25:AP25,BE25),-3)+1000</f>
        <v>260795000</v>
      </c>
      <c r="CA25" s="699">
        <f t="shared" si="16"/>
        <v>156869000</v>
      </c>
      <c r="CB25" s="699">
        <f t="shared" si="17"/>
        <v>2339000</v>
      </c>
      <c r="CC25" s="699">
        <f t="shared" si="18"/>
        <v>114882000</v>
      </c>
      <c r="CD25" s="699">
        <f t="shared" si="19"/>
        <v>801000</v>
      </c>
      <c r="CE25" s="699">
        <f t="shared" si="20"/>
        <v>7080000</v>
      </c>
      <c r="CF25" s="699">
        <f t="shared" si="21"/>
        <v>10622000</v>
      </c>
      <c r="CG25" s="699">
        <f t="shared" si="22"/>
        <v>6518000</v>
      </c>
      <c r="CH25" s="699">
        <f t="shared" si="23"/>
        <v>48959000</v>
      </c>
      <c r="CI25" s="699">
        <f t="shared" si="24"/>
        <v>6157000</v>
      </c>
      <c r="CJ25" s="699">
        <f t="shared" si="25"/>
        <v>356000</v>
      </c>
      <c r="CK25" s="699">
        <f t="shared" si="26"/>
        <v>206287000</v>
      </c>
      <c r="CL25" s="699">
        <f t="shared" si="27"/>
        <v>1729508000</v>
      </c>
      <c r="CM25" s="699">
        <f t="shared" si="28"/>
        <v>1729508000</v>
      </c>
      <c r="CN25" s="699">
        <f t="shared" si="29"/>
        <v>0</v>
      </c>
    </row>
    <row r="26" spans="1:93">
      <c r="A26" s="705"/>
      <c r="B26" s="704"/>
      <c r="C26" s="710"/>
      <c r="D26" s="710"/>
      <c r="E26" s="710"/>
      <c r="F26" s="710"/>
      <c r="G26" s="709"/>
      <c r="H26" s="706"/>
      <c r="I26" s="708"/>
      <c r="J26" s="706"/>
      <c r="L26" s="705"/>
      <c r="M26" s="704"/>
      <c r="N26" s="703"/>
      <c r="O26" s="703"/>
      <c r="P26" s="703"/>
      <c r="Q26" s="703"/>
      <c r="R26" s="707"/>
      <c r="S26" s="706"/>
      <c r="T26" s="706"/>
      <c r="U26" s="706"/>
      <c r="W26" s="705"/>
      <c r="X26" s="704"/>
      <c r="Y26" s="703"/>
      <c r="Z26" s="703"/>
      <c r="AA26" s="703"/>
      <c r="AB26" s="703"/>
      <c r="AC26" s="700"/>
      <c r="AD26" s="702">
        <v>7</v>
      </c>
      <c r="AE26" s="701">
        <v>624.50865286764349</v>
      </c>
      <c r="AF26" s="699">
        <v>314000</v>
      </c>
      <c r="AG26" s="699">
        <v>672856356.71391666</v>
      </c>
      <c r="AH26" s="699">
        <v>203643.28608337845</v>
      </c>
      <c r="AI26" s="699">
        <v>19781873.27375976</v>
      </c>
      <c r="AJ26" s="699">
        <v>2845869.5542511907</v>
      </c>
      <c r="AK26" s="699">
        <v>12462925.900075434</v>
      </c>
      <c r="AL26" s="699">
        <v>1960794.7135828063</v>
      </c>
      <c r="AM26" s="699">
        <v>220729719.7212466</v>
      </c>
      <c r="AN26" s="699">
        <v>7285907.0683253901</v>
      </c>
      <c r="AO26" s="699">
        <v>245801703.0689016</v>
      </c>
      <c r="AP26" s="699">
        <v>14940045.289556647</v>
      </c>
      <c r="AQ26" s="699">
        <v>146917194.71768677</v>
      </c>
      <c r="AR26" s="699">
        <v>18048059.79461734</v>
      </c>
      <c r="AS26" s="699">
        <v>3841274.335676651</v>
      </c>
      <c r="AT26" s="699">
        <v>72673069.639163941</v>
      </c>
      <c r="AU26" s="699">
        <v>40590231.538059384</v>
      </c>
      <c r="AV26" s="699">
        <v>1079596.1766360309</v>
      </c>
      <c r="AW26" s="699">
        <v>5996781.4578119237</v>
      </c>
      <c r="AX26" s="699">
        <v>5422015.4793127673</v>
      </c>
      <c r="AY26" s="699">
        <v>5402239.5897833491</v>
      </c>
      <c r="AZ26" s="699">
        <v>2405452.3740378674</v>
      </c>
      <c r="BA26" s="699">
        <v>4870020.1975408886</v>
      </c>
      <c r="BB26" s="699">
        <v>41219849.9019069</v>
      </c>
      <c r="BC26" s="699">
        <v>11328720.632587587</v>
      </c>
      <c r="BD26" s="699">
        <v>778697.38905534067</v>
      </c>
      <c r="BE26" s="699">
        <v>76588.721739371205</v>
      </c>
      <c r="BF26" s="699">
        <v>4626.134047129568</v>
      </c>
      <c r="BG26" s="699">
        <v>372985.42677583359</v>
      </c>
      <c r="BH26" s="699">
        <v>1204855.5671849644</v>
      </c>
      <c r="BI26" s="699">
        <v>2929764.6600662614</v>
      </c>
      <c r="BJ26" s="699">
        <v>557324.7357424451</v>
      </c>
      <c r="BK26" s="699">
        <v>167219.22690155765</v>
      </c>
      <c r="BL26" s="699">
        <v>156937.10828009914</v>
      </c>
      <c r="BM26" s="699">
        <v>274532.85673578636</v>
      </c>
      <c r="BN26" s="699">
        <v>205216.02503875567</v>
      </c>
      <c r="BO26" s="699">
        <v>8283.2152591800041</v>
      </c>
      <c r="BP26" s="699">
        <v>1565715000.0000005</v>
      </c>
      <c r="BQ26" s="699">
        <v>5453923.1231060652</v>
      </c>
      <c r="BR26" s="699">
        <v>136834324.14218444</v>
      </c>
      <c r="BS26" s="699">
        <v>25631752.734709498</v>
      </c>
      <c r="BT26" s="699">
        <v>1733635000.0000005</v>
      </c>
      <c r="BU26" s="699">
        <v>37981499.869192824</v>
      </c>
      <c r="BV26" s="700"/>
      <c r="BW26" s="699">
        <f t="shared" si="13"/>
        <v>672856000</v>
      </c>
      <c r="BX26" s="699">
        <f t="shared" si="14"/>
        <v>204000</v>
      </c>
      <c r="BY26" s="699">
        <f t="shared" si="15"/>
        <v>248576000</v>
      </c>
      <c r="BZ26" s="699">
        <f>ROUND(SUM(AK26,AO26:AP26,BE26),-3)+1000</f>
        <v>273282000</v>
      </c>
      <c r="CA26" s="699">
        <f t="shared" si="16"/>
        <v>166926000</v>
      </c>
      <c r="CB26" s="699">
        <f t="shared" si="17"/>
        <v>3841000</v>
      </c>
      <c r="CC26" s="699">
        <f t="shared" si="18"/>
        <v>116109000</v>
      </c>
      <c r="CD26" s="699">
        <f t="shared" si="19"/>
        <v>1080000</v>
      </c>
      <c r="CE26" s="699">
        <f t="shared" si="20"/>
        <v>5402000</v>
      </c>
      <c r="CF26" s="699">
        <f t="shared" si="21"/>
        <v>11419000</v>
      </c>
      <c r="CG26" s="699">
        <f t="shared" si="22"/>
        <v>7275000</v>
      </c>
      <c r="CH26" s="699">
        <f t="shared" si="23"/>
        <v>52549000</v>
      </c>
      <c r="CI26" s="699">
        <f t="shared" si="24"/>
        <v>5882000</v>
      </c>
      <c r="CJ26" s="699">
        <f t="shared" si="25"/>
        <v>314000</v>
      </c>
      <c r="CK26" s="699">
        <f t="shared" si="26"/>
        <v>205901000</v>
      </c>
      <c r="CL26" s="699">
        <f t="shared" si="27"/>
        <v>1771616000</v>
      </c>
      <c r="CM26" s="699">
        <f t="shared" si="28"/>
        <v>1771616000</v>
      </c>
      <c r="CN26" s="699">
        <f t="shared" si="29"/>
        <v>0</v>
      </c>
    </row>
    <row r="27" spans="1:93">
      <c r="A27" s="705"/>
      <c r="B27" s="704"/>
      <c r="C27" s="710"/>
      <c r="D27" s="710"/>
      <c r="E27" s="710"/>
      <c r="F27" s="710"/>
      <c r="G27" s="709"/>
      <c r="H27" s="706"/>
      <c r="I27" s="708"/>
      <c r="J27" s="706"/>
      <c r="L27" s="705"/>
      <c r="M27" s="704"/>
      <c r="N27" s="703"/>
      <c r="O27" s="703"/>
      <c r="P27" s="703"/>
      <c r="Q27" s="703"/>
      <c r="R27" s="707"/>
      <c r="S27" s="706"/>
      <c r="T27" s="706"/>
      <c r="U27" s="706"/>
      <c r="W27" s="705"/>
      <c r="X27" s="704"/>
      <c r="Y27" s="703"/>
      <c r="Z27" s="703"/>
      <c r="AA27" s="703"/>
      <c r="AB27" s="703"/>
      <c r="AC27" s="700"/>
      <c r="AD27" s="702">
        <v>8</v>
      </c>
      <c r="AE27" s="701">
        <v>584.72199764436164</v>
      </c>
      <c r="AF27" s="699">
        <v>285000</v>
      </c>
      <c r="AG27" s="699">
        <v>655221887.18915117</v>
      </c>
      <c r="AH27" s="699">
        <v>192112.81084890099</v>
      </c>
      <c r="AI27" s="699">
        <v>20217697.809575319</v>
      </c>
      <c r="AJ27" s="699">
        <v>2851989.6508412226</v>
      </c>
      <c r="AK27" s="699">
        <v>12790727.987613713</v>
      </c>
      <c r="AL27" s="699">
        <v>1839908.9925365644</v>
      </c>
      <c r="AM27" s="699">
        <v>225434048.13380107</v>
      </c>
      <c r="AN27" s="699">
        <v>7529821.2767285928</v>
      </c>
      <c r="AO27" s="699">
        <v>254317383.41094881</v>
      </c>
      <c r="AP27" s="699">
        <v>15610176.003134057</v>
      </c>
      <c r="AQ27" s="699">
        <v>150772944.69645062</v>
      </c>
      <c r="AR27" s="699">
        <v>19192374.458676428</v>
      </c>
      <c r="AS27" s="699">
        <v>4043570.6219922421</v>
      </c>
      <c r="AT27" s="699">
        <v>73611984.883117288</v>
      </c>
      <c r="AU27" s="699">
        <v>42423975.744199827</v>
      </c>
      <c r="AV27" s="699">
        <v>1010832.9087575526</v>
      </c>
      <c r="AW27" s="699">
        <v>4391639.3063676944</v>
      </c>
      <c r="AX27" s="699">
        <v>5136635.8126121238</v>
      </c>
      <c r="AY27" s="699">
        <v>6310229.9500580337</v>
      </c>
      <c r="AZ27" s="699">
        <v>2462476.1022945009</v>
      </c>
      <c r="BA27" s="699">
        <v>4506916.7170925746</v>
      </c>
      <c r="BB27" s="699">
        <v>41971196.900961258</v>
      </c>
      <c r="BC27" s="699">
        <v>10724099.987556402</v>
      </c>
      <c r="BD27" s="699">
        <v>859528.46765325614</v>
      </c>
      <c r="BE27" s="699">
        <v>80828.812704689335</v>
      </c>
      <c r="BF27" s="699">
        <v>5083.5337399785749</v>
      </c>
      <c r="BG27" s="699">
        <v>404229.02187732403</v>
      </c>
      <c r="BH27" s="699">
        <v>1229319.2135551854</v>
      </c>
      <c r="BI27" s="699">
        <v>2978360.4643432354</v>
      </c>
      <c r="BJ27" s="699">
        <v>557896.34578591574</v>
      </c>
      <c r="BK27" s="699">
        <v>172161.51395095009</v>
      </c>
      <c r="BL27" s="699">
        <v>160981.72977251976</v>
      </c>
      <c r="BM27" s="699">
        <v>276169.41834277211</v>
      </c>
      <c r="BN27" s="699">
        <v>213530.21100619851</v>
      </c>
      <c r="BO27" s="699">
        <v>8695.1899542522406</v>
      </c>
      <c r="BP27" s="699">
        <v>1569796999.9999998</v>
      </c>
      <c r="BQ27" s="699">
        <v>5454857.1861419538</v>
      </c>
      <c r="BR27" s="699">
        <v>136703240.8351509</v>
      </c>
      <c r="BS27" s="699">
        <v>25641901.978707135</v>
      </c>
      <c r="BT27" s="699">
        <v>1737596999.9999998</v>
      </c>
      <c r="BU27" s="699">
        <v>39381750.907426521</v>
      </c>
      <c r="BV27" s="700"/>
      <c r="BW27" s="699">
        <f t="shared" si="13"/>
        <v>655222000</v>
      </c>
      <c r="BX27" s="699">
        <f t="shared" si="14"/>
        <v>192000</v>
      </c>
      <c r="BY27" s="699">
        <f t="shared" si="15"/>
        <v>254041000</v>
      </c>
      <c r="BZ27" s="699">
        <f>ROUND(SUM(AK27,AO27:AP27,BE27),-3)+1000</f>
        <v>282800000</v>
      </c>
      <c r="CA27" s="699">
        <f t="shared" si="16"/>
        <v>171805000</v>
      </c>
      <c r="CB27" s="699">
        <f t="shared" si="17"/>
        <v>4044000</v>
      </c>
      <c r="CC27" s="699">
        <f t="shared" si="18"/>
        <v>118888000</v>
      </c>
      <c r="CD27" s="699">
        <f t="shared" si="19"/>
        <v>1011000</v>
      </c>
      <c r="CE27" s="699">
        <f t="shared" si="20"/>
        <v>6310000</v>
      </c>
      <c r="CF27" s="699">
        <f t="shared" si="21"/>
        <v>9528000</v>
      </c>
      <c r="CG27" s="699">
        <f t="shared" si="22"/>
        <v>6969000</v>
      </c>
      <c r="CH27" s="699">
        <f t="shared" si="23"/>
        <v>52695000</v>
      </c>
      <c r="CI27" s="699">
        <f t="shared" si="24"/>
        <v>6007000</v>
      </c>
      <c r="CJ27" s="699">
        <f t="shared" si="25"/>
        <v>285000</v>
      </c>
      <c r="CK27" s="699">
        <f t="shared" si="26"/>
        <v>207182000</v>
      </c>
      <c r="CL27" s="699">
        <f t="shared" si="27"/>
        <v>1776979000</v>
      </c>
      <c r="CM27" s="699">
        <f t="shared" si="28"/>
        <v>1776979000</v>
      </c>
      <c r="CN27" s="699">
        <f t="shared" si="29"/>
        <v>0</v>
      </c>
    </row>
    <row r="28" spans="1:93">
      <c r="A28" s="705"/>
      <c r="B28" s="704"/>
      <c r="C28" s="710"/>
      <c r="D28" s="710"/>
      <c r="E28" s="710"/>
      <c r="F28" s="710"/>
      <c r="G28" s="709"/>
      <c r="H28" s="706"/>
      <c r="I28" s="708"/>
      <c r="J28" s="706"/>
      <c r="L28" s="705"/>
      <c r="M28" s="704"/>
      <c r="N28" s="703"/>
      <c r="O28" s="703"/>
      <c r="P28" s="703"/>
      <c r="Q28" s="703"/>
      <c r="R28" s="707"/>
      <c r="S28" s="706"/>
      <c r="T28" s="706"/>
      <c r="U28" s="706"/>
      <c r="W28" s="705"/>
      <c r="X28" s="704"/>
      <c r="Y28" s="703"/>
      <c r="Z28" s="703"/>
      <c r="AA28" s="703"/>
      <c r="AB28" s="703"/>
      <c r="AC28" s="700"/>
      <c r="AD28" s="702">
        <v>9</v>
      </c>
      <c r="AE28" s="701">
        <v>596.25914376366347</v>
      </c>
      <c r="AF28" s="699">
        <v>324000</v>
      </c>
      <c r="AG28" s="699">
        <v>657591776.62116587</v>
      </c>
      <c r="AH28" s="699">
        <v>169223.3788340168</v>
      </c>
      <c r="AI28" s="699">
        <v>19425040.898536637</v>
      </c>
      <c r="AJ28" s="699">
        <v>2782051.0407021167</v>
      </c>
      <c r="AK28" s="699">
        <v>12260207.054469291</v>
      </c>
      <c r="AL28" s="699">
        <v>1543286.1580942757</v>
      </c>
      <c r="AM28" s="699">
        <v>208354006.31000933</v>
      </c>
      <c r="AN28" s="699">
        <v>6741109.6928281635</v>
      </c>
      <c r="AO28" s="699">
        <v>238025182.58783129</v>
      </c>
      <c r="AP28" s="699">
        <v>14264349.099059377</v>
      </c>
      <c r="AQ28" s="699">
        <v>139717404.19575053</v>
      </c>
      <c r="AR28" s="699">
        <v>17819577.915057175</v>
      </c>
      <c r="AS28" s="699">
        <v>1908121.2367142856</v>
      </c>
      <c r="AT28" s="699">
        <v>71798013.464657396</v>
      </c>
      <c r="AU28" s="699">
        <v>38639091.382287242</v>
      </c>
      <c r="AV28" s="699">
        <v>792485.03773922962</v>
      </c>
      <c r="AW28" s="699">
        <v>5592002.9062383594</v>
      </c>
      <c r="AX28" s="699">
        <v>5339151.8008388784</v>
      </c>
      <c r="AY28" s="699">
        <v>8238459.7911134809</v>
      </c>
      <c r="AZ28" s="699">
        <v>2088794.5489744209</v>
      </c>
      <c r="BA28" s="699">
        <v>3992920.9639907065</v>
      </c>
      <c r="BB28" s="699">
        <v>42465080.07956484</v>
      </c>
      <c r="BC28" s="699">
        <v>9706799.1459384672</v>
      </c>
      <c r="BD28" s="699">
        <v>910511.33982341597</v>
      </c>
      <c r="BE28" s="699">
        <v>76178.754720173994</v>
      </c>
      <c r="BF28" s="699">
        <v>4698.7961632855977</v>
      </c>
      <c r="BG28" s="699">
        <v>352836.32536605268</v>
      </c>
      <c r="BH28" s="699">
        <v>1175646.152933846</v>
      </c>
      <c r="BI28" s="699">
        <v>2808400.0739292349</v>
      </c>
      <c r="BJ28" s="699">
        <v>533964.22248166997</v>
      </c>
      <c r="BK28" s="699">
        <v>169622.08463854293</v>
      </c>
      <c r="BL28" s="699">
        <v>158044.25701127725</v>
      </c>
      <c r="BM28" s="699">
        <v>368168.07543855731</v>
      </c>
      <c r="BN28" s="699">
        <v>210838.95333695749</v>
      </c>
      <c r="BO28" s="699">
        <v>8359.3946178761726</v>
      </c>
      <c r="BP28" s="699">
        <v>1516356000</v>
      </c>
      <c r="BQ28" s="699">
        <v>5200064.0657948069</v>
      </c>
      <c r="BR28" s="699">
        <v>135035910.98582363</v>
      </c>
      <c r="BS28" s="699">
        <v>27540024.948381584</v>
      </c>
      <c r="BT28" s="699">
        <v>1684132000</v>
      </c>
      <c r="BU28" s="699">
        <v>38127313.16583588</v>
      </c>
      <c r="BV28" s="700"/>
      <c r="BW28" s="699">
        <f t="shared" si="13"/>
        <v>657592000</v>
      </c>
      <c r="BX28" s="699">
        <f t="shared" si="14"/>
        <v>169000</v>
      </c>
      <c r="BY28" s="699">
        <f t="shared" si="15"/>
        <v>235431000</v>
      </c>
      <c r="BZ28" s="699">
        <f>ROUND(SUM(AK28,AO28:AP28,BE28),-3)+1000</f>
        <v>264627000</v>
      </c>
      <c r="CA28" s="699">
        <f t="shared" si="16"/>
        <v>159080000</v>
      </c>
      <c r="CB28" s="699">
        <f t="shared" si="17"/>
        <v>1908000</v>
      </c>
      <c r="CC28" s="699">
        <f t="shared" si="18"/>
        <v>113219000</v>
      </c>
      <c r="CD28" s="699">
        <f t="shared" si="19"/>
        <v>792000</v>
      </c>
      <c r="CE28" s="699">
        <f t="shared" si="20"/>
        <v>8238000</v>
      </c>
      <c r="CF28" s="699">
        <f t="shared" si="21"/>
        <v>10931000</v>
      </c>
      <c r="CG28" s="699">
        <f t="shared" si="22"/>
        <v>6082000</v>
      </c>
      <c r="CH28" s="699">
        <f t="shared" si="23"/>
        <v>52172000</v>
      </c>
      <c r="CI28" s="699">
        <f t="shared" si="24"/>
        <v>5791000</v>
      </c>
      <c r="CJ28" s="699">
        <f t="shared" si="25"/>
        <v>324000</v>
      </c>
      <c r="CK28" s="699">
        <f t="shared" si="26"/>
        <v>205903000</v>
      </c>
      <c r="CL28" s="699">
        <f t="shared" si="27"/>
        <v>1722259000</v>
      </c>
      <c r="CM28" s="699">
        <f t="shared" si="28"/>
        <v>1722259000</v>
      </c>
      <c r="CN28" s="699">
        <f t="shared" si="29"/>
        <v>0</v>
      </c>
    </row>
    <row r="29" spans="1:93">
      <c r="A29" s="705"/>
      <c r="B29" s="704"/>
      <c r="C29" s="710"/>
      <c r="D29" s="710"/>
      <c r="E29" s="710"/>
      <c r="F29" s="710"/>
      <c r="G29" s="709"/>
      <c r="H29" s="706"/>
      <c r="I29" s="708"/>
      <c r="J29" s="706"/>
      <c r="L29" s="705"/>
      <c r="M29" s="704"/>
      <c r="N29" s="703"/>
      <c r="O29" s="703"/>
      <c r="P29" s="703"/>
      <c r="Q29" s="703"/>
      <c r="R29" s="707"/>
      <c r="S29" s="706"/>
      <c r="T29" s="706"/>
      <c r="U29" s="706"/>
      <c r="W29" s="705"/>
      <c r="X29" s="704"/>
      <c r="Y29" s="703"/>
      <c r="Z29" s="703"/>
      <c r="AA29" s="703"/>
      <c r="AB29" s="703"/>
      <c r="AC29" s="700"/>
      <c r="AD29" s="702">
        <v>10</v>
      </c>
      <c r="AE29" s="701">
        <v>619.65338215390284</v>
      </c>
      <c r="AF29" s="699">
        <v>483000</v>
      </c>
      <c r="AG29" s="699">
        <v>821503475.04742348</v>
      </c>
      <c r="AH29" s="699">
        <v>175524.95257651267</v>
      </c>
      <c r="AI29" s="699">
        <v>21133930.89678216</v>
      </c>
      <c r="AJ29" s="699">
        <v>2945982.9784332057</v>
      </c>
      <c r="AK29" s="699">
        <v>13575622.369611774</v>
      </c>
      <c r="AL29" s="699">
        <v>1533340.8990900032</v>
      </c>
      <c r="AM29" s="699">
        <v>218692071.36778161</v>
      </c>
      <c r="AN29" s="699">
        <v>7156231.7084725304</v>
      </c>
      <c r="AO29" s="699">
        <v>241465380.71616554</v>
      </c>
      <c r="AP29" s="699">
        <v>14679875.052665463</v>
      </c>
      <c r="AQ29" s="699">
        <v>141118261.76787797</v>
      </c>
      <c r="AR29" s="699">
        <v>17940450.376667045</v>
      </c>
      <c r="AS29" s="699">
        <v>646196.52448682603</v>
      </c>
      <c r="AT29" s="699">
        <v>72546607.999688864</v>
      </c>
      <c r="AU29" s="699">
        <v>40201418.206935517</v>
      </c>
      <c r="AV29" s="699">
        <v>268887.69759633986</v>
      </c>
      <c r="AW29" s="699">
        <v>8209780.9944242705</v>
      </c>
      <c r="AX29" s="699">
        <v>5109426.5905993823</v>
      </c>
      <c r="AY29" s="699">
        <v>10002651.606780495</v>
      </c>
      <c r="AZ29" s="699">
        <v>1017833.615603896</v>
      </c>
      <c r="BA29" s="699">
        <v>4539001.2057099231</v>
      </c>
      <c r="BB29" s="699">
        <v>41526277.284562357</v>
      </c>
      <c r="BC29" s="699">
        <v>9655596.858950153</v>
      </c>
      <c r="BD29" s="699">
        <v>1068680.6548081054</v>
      </c>
      <c r="BE29" s="699">
        <v>84620.29716163862</v>
      </c>
      <c r="BF29" s="699">
        <v>4398.0899810009041</v>
      </c>
      <c r="BG29" s="699">
        <v>443163.28040380793</v>
      </c>
      <c r="BH29" s="699">
        <v>1170782.1052355736</v>
      </c>
      <c r="BI29" s="699">
        <v>2815664.7360514132</v>
      </c>
      <c r="BJ29" s="699">
        <v>525653.34605784924</v>
      </c>
      <c r="BK29" s="699">
        <v>170858.99412149243</v>
      </c>
      <c r="BL29" s="699">
        <v>158877.95279197593</v>
      </c>
      <c r="BM29" s="699">
        <v>381417.83691845724</v>
      </c>
      <c r="BN29" s="699">
        <v>215851.12473300478</v>
      </c>
      <c r="BO29" s="699">
        <v>8585.2094683977048</v>
      </c>
      <c r="BP29" s="699">
        <v>1703176000</v>
      </c>
      <c r="BQ29" s="699">
        <v>4826142.880901278</v>
      </c>
      <c r="BR29" s="699">
        <v>133847958.00539814</v>
      </c>
      <c r="BS29" s="699">
        <v>28875899.113700572</v>
      </c>
      <c r="BT29" s="699">
        <v>1870726000</v>
      </c>
      <c r="BU29" s="699">
        <v>36132067.123719208</v>
      </c>
      <c r="BV29" s="700"/>
      <c r="BW29" s="699">
        <f t="shared" si="13"/>
        <v>821503000</v>
      </c>
      <c r="BX29" s="699">
        <f t="shared" si="14"/>
        <v>176000</v>
      </c>
      <c r="BY29" s="699">
        <f t="shared" si="15"/>
        <v>248051000</v>
      </c>
      <c r="BZ29" s="699">
        <f>ROUND(SUM(AK29,AO29:AP29,BE29),-3)</f>
        <v>269805000</v>
      </c>
      <c r="CA29" s="699">
        <f t="shared" si="16"/>
        <v>160592000</v>
      </c>
      <c r="CB29" s="699">
        <f t="shared" si="17"/>
        <v>646000</v>
      </c>
      <c r="CC29" s="699">
        <f t="shared" si="18"/>
        <v>115694000</v>
      </c>
      <c r="CD29" s="699">
        <f t="shared" si="19"/>
        <v>269000</v>
      </c>
      <c r="CE29" s="699">
        <f t="shared" si="20"/>
        <v>10003000</v>
      </c>
      <c r="CF29" s="699">
        <f t="shared" si="21"/>
        <v>13319000</v>
      </c>
      <c r="CG29" s="699">
        <f t="shared" si="22"/>
        <v>5557000</v>
      </c>
      <c r="CH29" s="699">
        <f t="shared" si="23"/>
        <v>51182000</v>
      </c>
      <c r="CI29" s="699">
        <f t="shared" si="24"/>
        <v>5896000</v>
      </c>
      <c r="CJ29" s="699">
        <f t="shared" si="25"/>
        <v>483000</v>
      </c>
      <c r="CK29" s="699">
        <f t="shared" si="26"/>
        <v>203682000</v>
      </c>
      <c r="CL29" s="699">
        <f t="shared" si="27"/>
        <v>1906858000</v>
      </c>
      <c r="CM29" s="699">
        <f t="shared" si="28"/>
        <v>1906858000</v>
      </c>
      <c r="CN29" s="699">
        <f t="shared" si="29"/>
        <v>0</v>
      </c>
    </row>
    <row r="30" spans="1:93">
      <c r="A30" s="705"/>
      <c r="B30" s="704"/>
      <c r="C30" s="710"/>
      <c r="D30" s="710"/>
      <c r="E30" s="710"/>
      <c r="F30" s="710"/>
      <c r="G30" s="709"/>
      <c r="H30" s="706"/>
      <c r="I30" s="708"/>
      <c r="J30" s="706"/>
      <c r="L30" s="705"/>
      <c r="M30" s="704"/>
      <c r="N30" s="703"/>
      <c r="O30" s="703"/>
      <c r="P30" s="703"/>
      <c r="Q30" s="703"/>
      <c r="R30" s="707"/>
      <c r="S30" s="706"/>
      <c r="T30" s="706"/>
      <c r="U30" s="706"/>
      <c r="W30" s="705"/>
      <c r="X30" s="704"/>
      <c r="Y30" s="703"/>
      <c r="Z30" s="703"/>
      <c r="AA30" s="703"/>
      <c r="AB30" s="703"/>
      <c r="AC30" s="700"/>
      <c r="AD30" s="702">
        <v>11</v>
      </c>
      <c r="AE30" s="701">
        <v>677.47245483059578</v>
      </c>
      <c r="AF30" s="699">
        <v>697000</v>
      </c>
      <c r="AG30" s="699">
        <v>1016874927.2973642</v>
      </c>
      <c r="AH30" s="699">
        <v>194072.70263579392</v>
      </c>
      <c r="AI30" s="699">
        <v>24713121.630818237</v>
      </c>
      <c r="AJ30" s="699">
        <v>3202076.3879362359</v>
      </c>
      <c r="AK30" s="699">
        <v>14492160.16947167</v>
      </c>
      <c r="AL30" s="699">
        <v>1689475.0552208619</v>
      </c>
      <c r="AM30" s="699">
        <v>236288104.84397641</v>
      </c>
      <c r="AN30" s="699">
        <v>7373114.0130182859</v>
      </c>
      <c r="AO30" s="699">
        <v>248418879.76666376</v>
      </c>
      <c r="AP30" s="699">
        <v>13846552.071074281</v>
      </c>
      <c r="AQ30" s="699">
        <v>139499418.95047602</v>
      </c>
      <c r="AR30" s="699">
        <v>15921664.94251252</v>
      </c>
      <c r="AS30" s="699">
        <v>348235.00147435663</v>
      </c>
      <c r="AT30" s="699">
        <v>72113089.354715556</v>
      </c>
      <c r="AU30" s="699">
        <v>37043811.927219421</v>
      </c>
      <c r="AV30" s="699">
        <v>59887.697267697557</v>
      </c>
      <c r="AW30" s="699">
        <v>7454774.1724212496</v>
      </c>
      <c r="AX30" s="699">
        <v>4384315.1755282395</v>
      </c>
      <c r="AY30" s="699">
        <v>12644807.568420684</v>
      </c>
      <c r="AZ30" s="699">
        <v>1165519.763754281</v>
      </c>
      <c r="BA30" s="699">
        <v>3847090.4906901163</v>
      </c>
      <c r="BB30" s="699">
        <v>42446797.4225704</v>
      </c>
      <c r="BC30" s="699">
        <v>9065451.379957119</v>
      </c>
      <c r="BD30" s="699">
        <v>1310337.7287296739</v>
      </c>
      <c r="BE30" s="699">
        <v>115979.72356005118</v>
      </c>
      <c r="BF30" s="699">
        <v>4979.6003903891124</v>
      </c>
      <c r="BG30" s="699">
        <v>414233.94547564484</v>
      </c>
      <c r="BH30" s="699">
        <v>1247233.1758503977</v>
      </c>
      <c r="BI30" s="699">
        <v>2981153.6097254544</v>
      </c>
      <c r="BJ30" s="699">
        <v>553227.28099272656</v>
      </c>
      <c r="BK30" s="699">
        <v>163594.72347078705</v>
      </c>
      <c r="BL30" s="699">
        <v>152714.06395969502</v>
      </c>
      <c r="BM30" s="699">
        <v>274177.46282083035</v>
      </c>
      <c r="BN30" s="699">
        <v>208341.87568668299</v>
      </c>
      <c r="BO30" s="699">
        <v>8001.5516953850602</v>
      </c>
      <c r="BP30" s="699">
        <v>1921219000</v>
      </c>
      <c r="BQ30" s="699">
        <v>4650915.0984892165</v>
      </c>
      <c r="BR30" s="699">
        <v>134774820.92234147</v>
      </c>
      <c r="BS30" s="699">
        <v>28094263.97916932</v>
      </c>
      <c r="BT30" s="699">
        <v>2088739000</v>
      </c>
      <c r="BU30" s="699">
        <v>36580662.796986066</v>
      </c>
      <c r="BV30" s="700"/>
      <c r="BW30" s="699">
        <f t="shared" si="13"/>
        <v>1016875000</v>
      </c>
      <c r="BX30" s="699">
        <f t="shared" si="14"/>
        <v>194000</v>
      </c>
      <c r="BY30" s="699">
        <f t="shared" si="15"/>
        <v>269685000</v>
      </c>
      <c r="BZ30" s="699">
        <f>ROUND(SUM(AK30,AO30:AP30,BE30),-3)-1000</f>
        <v>276873000</v>
      </c>
      <c r="CA30" s="699">
        <f t="shared" si="16"/>
        <v>157111000</v>
      </c>
      <c r="CB30" s="699">
        <f t="shared" si="17"/>
        <v>348000</v>
      </c>
      <c r="CC30" s="699">
        <f t="shared" si="18"/>
        <v>112359000</v>
      </c>
      <c r="CD30" s="699">
        <f t="shared" si="19"/>
        <v>60000</v>
      </c>
      <c r="CE30" s="699">
        <f t="shared" si="20"/>
        <v>12645000</v>
      </c>
      <c r="CF30" s="699">
        <f t="shared" si="21"/>
        <v>11839000</v>
      </c>
      <c r="CG30" s="699">
        <f t="shared" si="22"/>
        <v>5013000</v>
      </c>
      <c r="CH30" s="699">
        <f t="shared" si="23"/>
        <v>51512000</v>
      </c>
      <c r="CI30" s="699">
        <f t="shared" si="24"/>
        <v>6008000</v>
      </c>
      <c r="CJ30" s="699">
        <f t="shared" si="25"/>
        <v>697000</v>
      </c>
      <c r="CK30" s="699">
        <f t="shared" si="26"/>
        <v>204101000</v>
      </c>
      <c r="CL30" s="699">
        <f t="shared" si="27"/>
        <v>2125320000</v>
      </c>
      <c r="CM30" s="699">
        <f t="shared" si="28"/>
        <v>2125320000</v>
      </c>
      <c r="CN30" s="699">
        <f t="shared" si="29"/>
        <v>0</v>
      </c>
    </row>
    <row r="31" spans="1:93">
      <c r="A31" s="705"/>
      <c r="B31" s="704"/>
      <c r="C31" s="710"/>
      <c r="D31" s="710"/>
      <c r="E31" s="710"/>
      <c r="F31" s="710"/>
      <c r="G31" s="709"/>
      <c r="H31" s="706"/>
      <c r="I31" s="708"/>
      <c r="J31" s="706"/>
      <c r="L31" s="705"/>
      <c r="M31" s="704"/>
      <c r="N31" s="703"/>
      <c r="O31" s="703"/>
      <c r="P31" s="703"/>
      <c r="Q31" s="703"/>
      <c r="R31" s="707"/>
      <c r="S31" s="706"/>
      <c r="T31" s="706"/>
      <c r="U31" s="706"/>
      <c r="W31" s="705"/>
      <c r="X31" s="704"/>
      <c r="Y31" s="703"/>
      <c r="Z31" s="703"/>
      <c r="AA31" s="703"/>
      <c r="AB31" s="703"/>
      <c r="AC31" s="700"/>
      <c r="AD31" s="702">
        <v>12</v>
      </c>
      <c r="AE31" s="701">
        <v>595.69211348519025</v>
      </c>
      <c r="AF31" s="699">
        <v>1016000.0000000001</v>
      </c>
      <c r="AG31" s="699">
        <v>1287258995.9086225</v>
      </c>
      <c r="AH31" s="699">
        <v>253004.09137727824</v>
      </c>
      <c r="AI31" s="699">
        <v>30186711.354614723</v>
      </c>
      <c r="AJ31" s="699">
        <v>3690785.2250620453</v>
      </c>
      <c r="AK31" s="699">
        <v>16559663.049833987</v>
      </c>
      <c r="AL31" s="699">
        <v>1941371.026275197</v>
      </c>
      <c r="AM31" s="699">
        <v>265566811.3910329</v>
      </c>
      <c r="AN31" s="699">
        <v>7778324.5231663845</v>
      </c>
      <c r="AO31" s="699">
        <v>272909583.59996611</v>
      </c>
      <c r="AP31" s="699">
        <v>14223467.847465592</v>
      </c>
      <c r="AQ31" s="699">
        <v>150559770.07599181</v>
      </c>
      <c r="AR31" s="699">
        <v>14946546.112863906</v>
      </c>
      <c r="AS31" s="699">
        <v>369585.08542787842</v>
      </c>
      <c r="AT31" s="699">
        <v>79596126.598745972</v>
      </c>
      <c r="AU31" s="699">
        <v>37439754.136691272</v>
      </c>
      <c r="AV31" s="699">
        <v>4860.9714530337651</v>
      </c>
      <c r="AW31" s="699">
        <v>6245418.6732769972</v>
      </c>
      <c r="AX31" s="699">
        <v>4052109.0758877164</v>
      </c>
      <c r="AY31" s="699">
        <v>16089763.678072929</v>
      </c>
      <c r="AZ31" s="699">
        <v>1943259.8490094768</v>
      </c>
      <c r="BA31" s="699">
        <v>3512639.29545348</v>
      </c>
      <c r="BB31" s="699">
        <v>45279689.605349422</v>
      </c>
      <c r="BC31" s="699">
        <v>8895159.0084716436</v>
      </c>
      <c r="BD31" s="699">
        <v>1263122.1571187924</v>
      </c>
      <c r="BE31" s="699">
        <v>115573.53771963973</v>
      </c>
      <c r="BF31" s="699">
        <v>4786.5370176058386</v>
      </c>
      <c r="BG31" s="699">
        <v>432815.58705091686</v>
      </c>
      <c r="BH31" s="699">
        <v>1200374.6903978225</v>
      </c>
      <c r="BI31" s="699">
        <v>2798937.7889796873</v>
      </c>
      <c r="BJ31" s="699">
        <v>527021.73076298076</v>
      </c>
      <c r="BK31" s="699">
        <v>174169.26677804222</v>
      </c>
      <c r="BL31" s="699">
        <v>162797.1777806594</v>
      </c>
      <c r="BM31" s="699">
        <v>428772.27883907052</v>
      </c>
      <c r="BN31" s="699">
        <v>223500.35049275035</v>
      </c>
      <c r="BO31" s="699">
        <v>8133.0208359877124</v>
      </c>
      <c r="BP31" s="699">
        <v>2277660000</v>
      </c>
      <c r="BQ31" s="699">
        <v>4548179.2757936595</v>
      </c>
      <c r="BR31" s="699">
        <v>136056422.59981236</v>
      </c>
      <c r="BS31" s="699">
        <v>26694398.124393996</v>
      </c>
      <c r="BT31" s="699">
        <v>2444959000</v>
      </c>
      <c r="BU31" s="699">
        <v>37845873.266948998</v>
      </c>
      <c r="BV31" s="700"/>
      <c r="BW31" s="699">
        <f t="shared" si="13"/>
        <v>1287259000</v>
      </c>
      <c r="BX31" s="699">
        <f t="shared" si="14"/>
        <v>253000</v>
      </c>
      <c r="BY31" s="699">
        <f t="shared" si="15"/>
        <v>304795000</v>
      </c>
      <c r="BZ31" s="699">
        <f>ROUND(SUM(AK31,AO31:AP31,BE31),-3)-2000</f>
        <v>303806000</v>
      </c>
      <c r="CA31" s="699">
        <f t="shared" si="16"/>
        <v>167448000</v>
      </c>
      <c r="CB31" s="699">
        <f t="shared" si="17"/>
        <v>370000</v>
      </c>
      <c r="CC31" s="699">
        <f t="shared" si="18"/>
        <v>120727000</v>
      </c>
      <c r="CD31" s="699">
        <f t="shared" si="19"/>
        <v>5000</v>
      </c>
      <c r="CE31" s="699">
        <f t="shared" si="20"/>
        <v>16090000</v>
      </c>
      <c r="CF31" s="699">
        <f t="shared" si="21"/>
        <v>10298000</v>
      </c>
      <c r="CG31" s="699">
        <f t="shared" si="22"/>
        <v>5456000</v>
      </c>
      <c r="CH31" s="699">
        <f t="shared" si="23"/>
        <v>54175000</v>
      </c>
      <c r="CI31" s="699">
        <f t="shared" si="24"/>
        <v>5962000</v>
      </c>
      <c r="CJ31" s="699">
        <f t="shared" si="25"/>
        <v>1016000</v>
      </c>
      <c r="CK31" s="699">
        <f t="shared" si="26"/>
        <v>205145000</v>
      </c>
      <c r="CL31" s="699">
        <f t="shared" si="27"/>
        <v>2482805000</v>
      </c>
      <c r="CM31" s="699">
        <f t="shared" si="28"/>
        <v>2482805000</v>
      </c>
      <c r="CN31" s="699">
        <f t="shared" si="29"/>
        <v>0</v>
      </c>
    </row>
    <row r="32" spans="1:93">
      <c r="A32" s="697"/>
      <c r="B32" s="697"/>
      <c r="C32" s="698"/>
      <c r="D32" s="698"/>
      <c r="E32" s="698"/>
      <c r="F32" s="698"/>
      <c r="G32" s="698"/>
      <c r="H32" s="696"/>
      <c r="I32" s="698"/>
      <c r="J32" s="696"/>
      <c r="L32" s="697"/>
      <c r="M32" s="697"/>
      <c r="N32" s="696"/>
      <c r="O32" s="696"/>
      <c r="P32" s="696"/>
      <c r="Q32" s="696"/>
      <c r="R32" s="696"/>
      <c r="S32" s="696"/>
      <c r="T32" s="696"/>
      <c r="U32" s="696"/>
      <c r="W32" s="697"/>
      <c r="X32" s="697"/>
      <c r="Y32" s="696"/>
      <c r="Z32" s="696"/>
      <c r="AA32" s="696"/>
      <c r="AB32" s="696"/>
      <c r="AC32" s="702">
        <v>2021</v>
      </c>
      <c r="AD32" s="702">
        <v>1</v>
      </c>
      <c r="AE32" s="701">
        <v>597.26284392078117</v>
      </c>
      <c r="AF32" s="699">
        <v>883000</v>
      </c>
      <c r="AG32" s="699">
        <v>1246593539.6151092</v>
      </c>
      <c r="AH32" s="699">
        <v>242460.38489079016</v>
      </c>
      <c r="AI32" s="699">
        <v>28937381.432183478</v>
      </c>
      <c r="AJ32" s="699">
        <v>3675372.9524170016</v>
      </c>
      <c r="AK32" s="699">
        <v>17113358.065687459</v>
      </c>
      <c r="AL32" s="699">
        <v>1936822.2433786532</v>
      </c>
      <c r="AM32" s="699">
        <v>267679746.56629509</v>
      </c>
      <c r="AN32" s="699">
        <v>8959307.161520429</v>
      </c>
      <c r="AO32" s="699">
        <v>269837035.75425732</v>
      </c>
      <c r="AP32" s="699">
        <v>16192905.465713887</v>
      </c>
      <c r="AQ32" s="699">
        <v>147295650.30241454</v>
      </c>
      <c r="AR32" s="699">
        <v>16830408.833676148</v>
      </c>
      <c r="AS32" s="699">
        <v>342241.17180873337</v>
      </c>
      <c r="AT32" s="699">
        <v>78273066.274753317</v>
      </c>
      <c r="AU32" s="699">
        <v>42618314.109228104</v>
      </c>
      <c r="AV32" s="699">
        <v>4285.1296729827181</v>
      </c>
      <c r="AW32" s="699">
        <v>4194541.6991013326</v>
      </c>
      <c r="AX32" s="699">
        <v>4820149.5511287116</v>
      </c>
      <c r="AY32" s="699">
        <v>16778716.624238718</v>
      </c>
      <c r="AZ32" s="699">
        <v>1892108.4264713891</v>
      </c>
      <c r="BA32" s="699">
        <v>4026159.1047463631</v>
      </c>
      <c r="BB32" s="699">
        <v>40450493.233138256</v>
      </c>
      <c r="BC32" s="699">
        <v>9960755.7739863638</v>
      </c>
      <c r="BD32" s="699">
        <v>1223650.0465576807</v>
      </c>
      <c r="BE32" s="699">
        <v>116836.43359037284</v>
      </c>
      <c r="BF32" s="699">
        <v>4816.1329723107165</v>
      </c>
      <c r="BG32" s="699">
        <v>415748.52005883789</v>
      </c>
      <c r="BH32" s="699">
        <v>1165210.7036501365</v>
      </c>
      <c r="BI32" s="699">
        <v>2816077.880017607</v>
      </c>
      <c r="BJ32" s="699">
        <v>522792.44709208491</v>
      </c>
      <c r="BK32" s="699">
        <v>168648.19822950652</v>
      </c>
      <c r="BL32" s="699">
        <v>157980.02457535695</v>
      </c>
      <c r="BM32" s="699">
        <v>357270.57321704988</v>
      </c>
      <c r="BN32" s="699">
        <v>216023.58800721652</v>
      </c>
      <c r="BO32" s="699">
        <v>8528.3133693561122</v>
      </c>
      <c r="BP32" s="699">
        <v>2236711999.999999</v>
      </c>
      <c r="BQ32" s="699">
        <v>5411182.4019838739</v>
      </c>
      <c r="BR32" s="699">
        <v>135576313.09515479</v>
      </c>
      <c r="BS32" s="699">
        <v>26191504.502861325</v>
      </c>
      <c r="BT32" s="699">
        <v>2403890999.999999</v>
      </c>
      <c r="BU32" s="699">
        <v>39489989.198843785</v>
      </c>
      <c r="BV32" s="700"/>
      <c r="BW32" s="699">
        <f t="shared" si="13"/>
        <v>1246594000</v>
      </c>
      <c r="BX32" s="699">
        <f t="shared" si="14"/>
        <v>242000</v>
      </c>
      <c r="BY32" s="699">
        <f t="shared" si="15"/>
        <v>306800000</v>
      </c>
      <c r="BZ32" s="699">
        <f>ROUND(SUM(AK32,AO32:AP32,BE32),-3)</f>
        <v>303260000</v>
      </c>
      <c r="CA32" s="699">
        <f t="shared" si="16"/>
        <v>166063000</v>
      </c>
      <c r="CB32" s="699">
        <f t="shared" si="17"/>
        <v>342000</v>
      </c>
      <c r="CC32" s="699">
        <f t="shared" si="18"/>
        <v>124567000</v>
      </c>
      <c r="CD32" s="699">
        <f t="shared" si="19"/>
        <v>4000</v>
      </c>
      <c r="CE32" s="699">
        <f t="shared" si="20"/>
        <v>16779000</v>
      </c>
      <c r="CF32" s="699">
        <f t="shared" si="21"/>
        <v>9015000</v>
      </c>
      <c r="CG32" s="699">
        <f t="shared" si="22"/>
        <v>5918000</v>
      </c>
      <c r="CH32" s="699">
        <f t="shared" si="23"/>
        <v>50411000</v>
      </c>
      <c r="CI32" s="699">
        <f t="shared" si="24"/>
        <v>5834000</v>
      </c>
      <c r="CJ32" s="699">
        <f t="shared" si="25"/>
        <v>883000</v>
      </c>
      <c r="CK32" s="699">
        <f t="shared" si="26"/>
        <v>206669000</v>
      </c>
      <c r="CL32" s="699">
        <f t="shared" si="27"/>
        <v>2443381000</v>
      </c>
      <c r="CM32" s="699">
        <f t="shared" si="28"/>
        <v>2443381000</v>
      </c>
      <c r="CN32" s="699">
        <f t="shared" si="29"/>
        <v>0</v>
      </c>
    </row>
    <row r="33" spans="1:92">
      <c r="A33" s="697"/>
      <c r="B33" s="697"/>
      <c r="C33" s="698"/>
      <c r="D33" s="698"/>
      <c r="E33" s="698"/>
      <c r="F33" s="698"/>
      <c r="G33" s="698"/>
      <c r="H33" s="696"/>
      <c r="I33" s="698"/>
      <c r="J33" s="696"/>
      <c r="L33" s="697"/>
      <c r="M33" s="697"/>
      <c r="N33" s="696"/>
      <c r="O33" s="696"/>
      <c r="P33" s="696"/>
      <c r="Q33" s="696"/>
      <c r="R33" s="696"/>
      <c r="S33" s="696"/>
      <c r="T33" s="696"/>
      <c r="U33" s="696"/>
      <c r="W33" s="697"/>
      <c r="X33" s="697"/>
      <c r="Y33" s="696"/>
      <c r="Z33" s="696"/>
      <c r="AA33" s="696"/>
      <c r="AB33" s="696"/>
      <c r="AC33" s="700"/>
      <c r="AD33" s="702">
        <v>2</v>
      </c>
      <c r="AE33" s="701">
        <v>566.66237592494883</v>
      </c>
      <c r="AF33" s="699">
        <v>817000</v>
      </c>
      <c r="AG33" s="699">
        <v>1037451916.611099</v>
      </c>
      <c r="AH33" s="699">
        <v>180083.38890089808</v>
      </c>
      <c r="AI33" s="699">
        <v>24743471.024103962</v>
      </c>
      <c r="AJ33" s="699">
        <v>3241364.8709664661</v>
      </c>
      <c r="AK33" s="699">
        <v>14310085.537537852</v>
      </c>
      <c r="AL33" s="699">
        <v>1641753.8968587741</v>
      </c>
      <c r="AM33" s="699">
        <v>231554494.04813388</v>
      </c>
      <c r="AN33" s="699">
        <v>7177824.0755728483</v>
      </c>
      <c r="AO33" s="699">
        <v>246687498.74880105</v>
      </c>
      <c r="AP33" s="699">
        <v>13519478.787727373</v>
      </c>
      <c r="AQ33" s="699">
        <v>134258089.97224805</v>
      </c>
      <c r="AR33" s="699">
        <v>14721461.66149975</v>
      </c>
      <c r="AS33" s="699">
        <v>325472.1379968496</v>
      </c>
      <c r="AT33" s="699">
        <v>71334692.544148266</v>
      </c>
      <c r="AU33" s="699">
        <v>35188842.173092753</v>
      </c>
      <c r="AV33" s="699">
        <v>3129.4081766171248</v>
      </c>
      <c r="AW33" s="699">
        <v>5684961.3924660487</v>
      </c>
      <c r="AX33" s="699">
        <v>3964040.3177364194</v>
      </c>
      <c r="AY33" s="699">
        <v>14170066.008891772</v>
      </c>
      <c r="AZ33" s="699">
        <v>1716556.2658433733</v>
      </c>
      <c r="BA33" s="699">
        <v>4589703.0544335358</v>
      </c>
      <c r="BB33" s="699">
        <v>36882964.722031295</v>
      </c>
      <c r="BC33" s="699">
        <v>8410649.9299373329</v>
      </c>
      <c r="BD33" s="699">
        <v>1054829.0517965364</v>
      </c>
      <c r="BE33" s="699">
        <v>102446.28616312935</v>
      </c>
      <c r="BF33" s="699">
        <v>4630.6488277571152</v>
      </c>
      <c r="BG33" s="699">
        <v>423338.34739737585</v>
      </c>
      <c r="BH33" s="699">
        <v>1109201.9232999403</v>
      </c>
      <c r="BI33" s="699">
        <v>2644889.5430305069</v>
      </c>
      <c r="BJ33" s="699">
        <v>497339.63322591176</v>
      </c>
      <c r="BK33" s="699">
        <v>156222.33995019447</v>
      </c>
      <c r="BL33" s="699">
        <v>145653.47021499198</v>
      </c>
      <c r="BM33" s="699">
        <v>246757.90388291725</v>
      </c>
      <c r="BN33" s="699">
        <v>199439.50555230939</v>
      </c>
      <c r="BO33" s="699">
        <v>8084.1060783165349</v>
      </c>
      <c r="BP33" s="699">
        <v>1919169000.0000002</v>
      </c>
      <c r="BQ33" s="699">
        <v>5439831.237712644</v>
      </c>
      <c r="BR33" s="699">
        <v>135395750.61500865</v>
      </c>
      <c r="BS33" s="699">
        <v>26627418.147278704</v>
      </c>
      <c r="BT33" s="699">
        <v>2086632000.0000002</v>
      </c>
      <c r="BU33" s="699">
        <v>37492651.14622508</v>
      </c>
      <c r="BV33" s="700"/>
      <c r="BW33" s="699">
        <f t="shared" si="13"/>
        <v>1037452000</v>
      </c>
      <c r="BX33" s="699">
        <f t="shared" si="14"/>
        <v>180000</v>
      </c>
      <c r="BY33" s="699">
        <f t="shared" si="15"/>
        <v>264531000</v>
      </c>
      <c r="BZ33" s="699">
        <f>ROUND(SUM(AK33,AO33:AP33,BE33),-3)</f>
        <v>274620000</v>
      </c>
      <c r="CA33" s="699">
        <f t="shared" si="16"/>
        <v>150621000</v>
      </c>
      <c r="CB33" s="699">
        <f t="shared" si="17"/>
        <v>325000</v>
      </c>
      <c r="CC33" s="699">
        <f t="shared" si="18"/>
        <v>109765000</v>
      </c>
      <c r="CD33" s="699">
        <f t="shared" si="19"/>
        <v>3000</v>
      </c>
      <c r="CE33" s="699">
        <f t="shared" si="20"/>
        <v>14170000</v>
      </c>
      <c r="CF33" s="699">
        <f t="shared" si="21"/>
        <v>9649000</v>
      </c>
      <c r="CG33" s="699">
        <f t="shared" si="22"/>
        <v>6306000</v>
      </c>
      <c r="CH33" s="699">
        <f t="shared" si="23"/>
        <v>45294000</v>
      </c>
      <c r="CI33" s="699">
        <f t="shared" si="24"/>
        <v>5436000</v>
      </c>
      <c r="CJ33" s="699">
        <f t="shared" si="25"/>
        <v>817000</v>
      </c>
      <c r="CK33" s="699">
        <f t="shared" si="26"/>
        <v>204956000</v>
      </c>
      <c r="CL33" s="699">
        <f t="shared" si="27"/>
        <v>2124125000</v>
      </c>
      <c r="CM33" s="699">
        <f t="shared" si="28"/>
        <v>2124125000</v>
      </c>
      <c r="CN33" s="699">
        <f t="shared" si="29"/>
        <v>0</v>
      </c>
    </row>
    <row r="34" spans="1:92">
      <c r="A34" s="697"/>
      <c r="B34" s="697"/>
      <c r="C34" s="698"/>
      <c r="D34" s="698"/>
      <c r="E34" s="698"/>
      <c r="F34" s="698"/>
      <c r="G34" s="698"/>
      <c r="H34" s="696"/>
      <c r="I34" s="698"/>
      <c r="J34" s="696"/>
      <c r="L34" s="697"/>
      <c r="M34" s="697"/>
      <c r="N34" s="696"/>
      <c r="O34" s="696"/>
      <c r="P34" s="696"/>
      <c r="Q34" s="696"/>
      <c r="R34" s="696"/>
      <c r="S34" s="696"/>
      <c r="T34" s="696"/>
      <c r="U34" s="696"/>
      <c r="W34" s="697"/>
      <c r="X34" s="697"/>
      <c r="Y34" s="696"/>
      <c r="Z34" s="696"/>
      <c r="AA34" s="696"/>
      <c r="AB34" s="696"/>
      <c r="AC34" s="700"/>
      <c r="AD34" s="702">
        <v>3</v>
      </c>
      <c r="AE34" s="701">
        <v>647.51271997087827</v>
      </c>
      <c r="AF34" s="699">
        <v>814000</v>
      </c>
      <c r="AG34" s="699">
        <v>1028777272.4988135</v>
      </c>
      <c r="AH34" s="699">
        <v>185727.50118661806</v>
      </c>
      <c r="AI34" s="699">
        <v>24798179.17017794</v>
      </c>
      <c r="AJ34" s="699">
        <v>3359756.2644003332</v>
      </c>
      <c r="AK34" s="699">
        <v>14534668.408406172</v>
      </c>
      <c r="AL34" s="699">
        <v>1732697.2046491818</v>
      </c>
      <c r="AM34" s="699">
        <v>246970134.16961175</v>
      </c>
      <c r="AN34" s="699">
        <v>8112307.9874359006</v>
      </c>
      <c r="AO34" s="699">
        <v>251703798.67181474</v>
      </c>
      <c r="AP34" s="699">
        <v>15033626.594167458</v>
      </c>
      <c r="AQ34" s="699">
        <v>143734899.92080522</v>
      </c>
      <c r="AR34" s="699">
        <v>16548619.158466825</v>
      </c>
      <c r="AS34" s="699">
        <v>357965.96080411819</v>
      </c>
      <c r="AT34" s="699">
        <v>75950267.292740509</v>
      </c>
      <c r="AU34" s="699">
        <v>38943450.337906152</v>
      </c>
      <c r="AV34" s="699">
        <v>6314.4522019919668</v>
      </c>
      <c r="AW34" s="699">
        <v>9007290.2859865222</v>
      </c>
      <c r="AX34" s="699">
        <v>4687380.7408126369</v>
      </c>
      <c r="AY34" s="699">
        <v>13265136.122309672</v>
      </c>
      <c r="AZ34" s="699">
        <v>1881053.8643371137</v>
      </c>
      <c r="BA34" s="699">
        <v>4937026.3162110252</v>
      </c>
      <c r="BB34" s="699">
        <v>41501467.345402896</v>
      </c>
      <c r="BC34" s="699">
        <v>9502588.8650000021</v>
      </c>
      <c r="BD34" s="699">
        <v>1033921.7631573241</v>
      </c>
      <c r="BE34" s="699">
        <v>99887.830082042623</v>
      </c>
      <c r="BF34" s="699">
        <v>5284.9717669141537</v>
      </c>
      <c r="BG34" s="699">
        <v>468338.35819419601</v>
      </c>
      <c r="BH34" s="699">
        <v>1265567.6325095491</v>
      </c>
      <c r="BI34" s="699">
        <v>3001787.874037432</v>
      </c>
      <c r="BJ34" s="699">
        <v>565113.80281798355</v>
      </c>
      <c r="BK34" s="699">
        <v>175565.12098344215</v>
      </c>
      <c r="BL34" s="699">
        <v>163292.59405325082</v>
      </c>
      <c r="BM34" s="699">
        <v>278450.25471458724</v>
      </c>
      <c r="BN34" s="699">
        <v>226574.59870489649</v>
      </c>
      <c r="BO34" s="699">
        <v>8938.5526103536922</v>
      </c>
      <c r="BP34" s="699">
        <v>1963639000</v>
      </c>
      <c r="BQ34" s="699">
        <v>5523456.3031093339</v>
      </c>
      <c r="BR34" s="699">
        <v>134688685.90158692</v>
      </c>
      <c r="BS34" s="699">
        <v>27177857.795303781</v>
      </c>
      <c r="BT34" s="699">
        <v>2131029000</v>
      </c>
      <c r="BU34" s="699">
        <v>35133035.858352721</v>
      </c>
      <c r="BV34" s="700"/>
      <c r="BW34" s="699">
        <f t="shared" si="13"/>
        <v>1028777000</v>
      </c>
      <c r="BX34" s="699">
        <f t="shared" si="14"/>
        <v>186000</v>
      </c>
      <c r="BY34" s="699">
        <f t="shared" si="15"/>
        <v>280915000</v>
      </c>
      <c r="BZ34" s="699">
        <f>ROUND(SUM(AK34,AO34:AP34,BE34),-3)</f>
        <v>281372000</v>
      </c>
      <c r="CA34" s="699">
        <f t="shared" si="16"/>
        <v>162016000</v>
      </c>
      <c r="CB34" s="699">
        <f t="shared" si="17"/>
        <v>358000</v>
      </c>
      <c r="CC34" s="699">
        <f t="shared" si="18"/>
        <v>118253000</v>
      </c>
      <c r="CD34" s="699">
        <f t="shared" si="19"/>
        <v>6000</v>
      </c>
      <c r="CE34" s="699">
        <f t="shared" si="20"/>
        <v>13265000</v>
      </c>
      <c r="CF34" s="699">
        <f t="shared" si="21"/>
        <v>13695000</v>
      </c>
      <c r="CG34" s="699">
        <f t="shared" si="22"/>
        <v>6818000</v>
      </c>
      <c r="CH34" s="699">
        <f t="shared" si="23"/>
        <v>51004000</v>
      </c>
      <c r="CI34" s="699">
        <f t="shared" si="24"/>
        <v>6160000</v>
      </c>
      <c r="CJ34" s="699">
        <f t="shared" si="25"/>
        <v>814000</v>
      </c>
      <c r="CK34" s="699">
        <f t="shared" si="26"/>
        <v>202523000</v>
      </c>
      <c r="CL34" s="699">
        <f t="shared" si="27"/>
        <v>2166162000</v>
      </c>
      <c r="CM34" s="699">
        <f t="shared" si="28"/>
        <v>2166162000</v>
      </c>
      <c r="CN34" s="699">
        <f t="shared" si="29"/>
        <v>0</v>
      </c>
    </row>
    <row r="35" spans="1:92">
      <c r="A35" s="697"/>
      <c r="B35" s="697"/>
      <c r="C35" s="698"/>
      <c r="D35" s="698"/>
      <c r="E35" s="698"/>
      <c r="F35" s="698"/>
      <c r="G35" s="698"/>
      <c r="H35" s="696"/>
      <c r="I35" s="698"/>
      <c r="J35" s="696"/>
      <c r="L35" s="697"/>
      <c r="M35" s="697"/>
      <c r="N35" s="696"/>
      <c r="O35" s="696"/>
      <c r="P35" s="696"/>
      <c r="Q35" s="696"/>
      <c r="R35" s="696"/>
      <c r="S35" s="696"/>
      <c r="T35" s="696"/>
      <c r="U35" s="696"/>
      <c r="W35" s="697"/>
      <c r="X35" s="697"/>
      <c r="Y35" s="696"/>
      <c r="Z35" s="696"/>
      <c r="AA35" s="696"/>
      <c r="AB35" s="696"/>
      <c r="AC35" s="700"/>
      <c r="AD35" s="702">
        <v>4</v>
      </c>
      <c r="AE35" s="701">
        <v>587.69695406576977</v>
      </c>
      <c r="AF35" s="699">
        <v>592000</v>
      </c>
      <c r="AG35" s="699">
        <v>842614839.85130394</v>
      </c>
      <c r="AH35" s="699">
        <v>163160.1486960109</v>
      </c>
      <c r="AI35" s="699">
        <v>20697647.208429202</v>
      </c>
      <c r="AJ35" s="699">
        <v>2964131.9613109124</v>
      </c>
      <c r="AK35" s="699">
        <v>12580089.470159002</v>
      </c>
      <c r="AL35" s="699">
        <v>1487776.0149227343</v>
      </c>
      <c r="AM35" s="699">
        <v>220223653.42070311</v>
      </c>
      <c r="AN35" s="699">
        <v>7005162.8034811122</v>
      </c>
      <c r="AO35" s="699">
        <v>238742847.94970617</v>
      </c>
      <c r="AP35" s="699">
        <v>13679544.54327954</v>
      </c>
      <c r="AQ35" s="699">
        <v>133753974.48496521</v>
      </c>
      <c r="AR35" s="699">
        <v>15343305.493251093</v>
      </c>
      <c r="AS35" s="699">
        <v>649547.14419150597</v>
      </c>
      <c r="AT35" s="699">
        <v>69800843.274511725</v>
      </c>
      <c r="AU35" s="699">
        <v>36881109.434466273</v>
      </c>
      <c r="AV35" s="699">
        <v>442262.65631563967</v>
      </c>
      <c r="AW35" s="699">
        <v>8866779.5411788579</v>
      </c>
      <c r="AX35" s="699">
        <v>4046174.3948959401</v>
      </c>
      <c r="AY35" s="699">
        <v>10109925.571676465</v>
      </c>
      <c r="AZ35" s="699">
        <v>1703633.4470339005</v>
      </c>
      <c r="BA35" s="699">
        <v>3401331.8564879904</v>
      </c>
      <c r="BB35" s="699">
        <v>37335480.672179319</v>
      </c>
      <c r="BC35" s="699">
        <v>8973371.4741380513</v>
      </c>
      <c r="BD35" s="699">
        <v>823500.54633768764</v>
      </c>
      <c r="BE35" s="699">
        <v>69210.543632879373</v>
      </c>
      <c r="BF35" s="699">
        <v>4713.0057099947644</v>
      </c>
      <c r="BG35" s="699">
        <v>416372.66610902536</v>
      </c>
      <c r="BH35" s="699">
        <v>1129763.7861499153</v>
      </c>
      <c r="BI35" s="699">
        <v>2665488.7199846157</v>
      </c>
      <c r="BJ35" s="699">
        <v>502004.95701642113</v>
      </c>
      <c r="BK35" s="699">
        <v>165822.4432943016</v>
      </c>
      <c r="BL35" s="699">
        <v>154623.74248329602</v>
      </c>
      <c r="BM35" s="699">
        <v>373358.07810539549</v>
      </c>
      <c r="BN35" s="699">
        <v>210354.31539929504</v>
      </c>
      <c r="BO35" s="699">
        <v>8606.681539286179</v>
      </c>
      <c r="BP35" s="699">
        <v>1698583000.0000005</v>
      </c>
      <c r="BQ35" s="699">
        <v>5867513.1806230228</v>
      </c>
      <c r="BR35" s="699">
        <v>138526226.39879563</v>
      </c>
      <c r="BS35" s="699">
        <v>23068260.420581363</v>
      </c>
      <c r="BT35" s="699">
        <v>1866045000.0000005</v>
      </c>
      <c r="BU35" s="699">
        <v>35167710.669687845</v>
      </c>
      <c r="BV35" s="700"/>
      <c r="BW35" s="699">
        <f t="shared" si="13"/>
        <v>842615000</v>
      </c>
      <c r="BX35" s="699">
        <f t="shared" si="14"/>
        <v>163000</v>
      </c>
      <c r="BY35" s="699">
        <f t="shared" si="15"/>
        <v>248750000</v>
      </c>
      <c r="BZ35" s="699">
        <f>ROUND(SUM(AK35,AO35:AP35,BE35),-3)-1000</f>
        <v>265071000</v>
      </c>
      <c r="CA35" s="699">
        <f t="shared" si="16"/>
        <v>150585000</v>
      </c>
      <c r="CB35" s="699">
        <f t="shared" si="17"/>
        <v>650000</v>
      </c>
      <c r="CC35" s="699">
        <f t="shared" si="18"/>
        <v>109646000</v>
      </c>
      <c r="CD35" s="699">
        <f t="shared" si="19"/>
        <v>442000</v>
      </c>
      <c r="CE35" s="699">
        <f t="shared" si="20"/>
        <v>10110000</v>
      </c>
      <c r="CF35" s="699">
        <f t="shared" si="21"/>
        <v>12913000</v>
      </c>
      <c r="CG35" s="699">
        <f t="shared" si="22"/>
        <v>5105000</v>
      </c>
      <c r="CH35" s="699">
        <f t="shared" si="23"/>
        <v>46309000</v>
      </c>
      <c r="CI35" s="699">
        <f t="shared" si="24"/>
        <v>5632000</v>
      </c>
      <c r="CJ35" s="699">
        <f t="shared" si="25"/>
        <v>592000</v>
      </c>
      <c r="CK35" s="699">
        <f t="shared" si="26"/>
        <v>202630000</v>
      </c>
      <c r="CL35" s="699">
        <f t="shared" si="27"/>
        <v>1901213000</v>
      </c>
      <c r="CM35" s="699">
        <f t="shared" si="28"/>
        <v>1901213000</v>
      </c>
      <c r="CN35" s="699">
        <f t="shared" si="29"/>
        <v>0</v>
      </c>
    </row>
    <row r="36" spans="1:92" ht="15">
      <c r="A36" s="697"/>
      <c r="B36" s="697"/>
      <c r="C36" s="698"/>
      <c r="D36" s="698"/>
      <c r="E36" s="698"/>
      <c r="F36" s="698"/>
      <c r="G36" s="698"/>
      <c r="H36" s="696"/>
      <c r="I36" s="698"/>
      <c r="J36" s="696"/>
      <c r="L36" s="697"/>
      <c r="M36" s="697"/>
      <c r="N36" s="696"/>
      <c r="O36" s="696"/>
      <c r="P36" s="696"/>
      <c r="Q36" s="696"/>
      <c r="R36" s="696"/>
      <c r="S36" s="696"/>
      <c r="T36" s="696"/>
      <c r="U36" s="696"/>
      <c r="W36" s="697"/>
      <c r="X36" s="697"/>
      <c r="Y36" s="696"/>
      <c r="Z36" s="696"/>
      <c r="AA36" s="696"/>
      <c r="AB36" s="696"/>
      <c r="AC36" s="693"/>
      <c r="AD36" s="695">
        <v>5</v>
      </c>
      <c r="AE36" s="694">
        <v>627.48094434867096</v>
      </c>
      <c r="AF36" s="691">
        <v>458000</v>
      </c>
      <c r="AG36" s="691">
        <v>717780785.72425985</v>
      </c>
      <c r="AH36" s="691">
        <v>161214.27574019119</v>
      </c>
      <c r="AI36" s="691">
        <v>18860200.968057897</v>
      </c>
      <c r="AJ36" s="691">
        <v>2723338.3093408556</v>
      </c>
      <c r="AK36" s="691">
        <v>11627307.031292178</v>
      </c>
      <c r="AL36" s="691">
        <v>1382628.3079834774</v>
      </c>
      <c r="AM36" s="691">
        <v>210259365.87669271</v>
      </c>
      <c r="AN36" s="691">
        <v>6809810.8969058245</v>
      </c>
      <c r="AO36" s="691">
        <v>236275011.75546932</v>
      </c>
      <c r="AP36" s="691">
        <v>13758768.136012139</v>
      </c>
      <c r="AQ36" s="691">
        <v>136523105.30008256</v>
      </c>
      <c r="AR36" s="691">
        <v>16708963.60842118</v>
      </c>
      <c r="AS36" s="691">
        <v>1643844.6889154189</v>
      </c>
      <c r="AT36" s="691">
        <v>71143248.263935998</v>
      </c>
      <c r="AU36" s="691">
        <v>38467954.821279094</v>
      </c>
      <c r="AV36" s="691">
        <v>773594.73780847434</v>
      </c>
      <c r="AW36" s="691">
        <v>9357995.1666033249</v>
      </c>
      <c r="AX36" s="691">
        <v>4686241.018392114</v>
      </c>
      <c r="AY36" s="691">
        <v>8697418.1573607288</v>
      </c>
      <c r="AZ36" s="691">
        <v>1807386.4057623213</v>
      </c>
      <c r="BA36" s="691">
        <v>3501948.0195244662</v>
      </c>
      <c r="BB36" s="691">
        <v>38096466.951247677</v>
      </c>
      <c r="BC36" s="691">
        <v>8958313.4994651731</v>
      </c>
      <c r="BD36" s="691">
        <v>792004.75987914624</v>
      </c>
      <c r="BE36" s="691">
        <v>65972.438490968663</v>
      </c>
      <c r="BF36" s="691">
        <v>5063.024353219419</v>
      </c>
      <c r="BG36" s="691">
        <v>489180.89399199636</v>
      </c>
      <c r="BH36" s="691">
        <v>1208465.2177680985</v>
      </c>
      <c r="BI36" s="691">
        <v>2845259.127915537</v>
      </c>
      <c r="BJ36" s="691">
        <v>535312.0627439759</v>
      </c>
      <c r="BK36" s="691">
        <v>161268.99395182027</v>
      </c>
      <c r="BL36" s="691">
        <v>151168.61672432348</v>
      </c>
      <c r="BM36" s="691">
        <v>389114.99391270959</v>
      </c>
      <c r="BN36" s="691">
        <v>207446.80586956575</v>
      </c>
      <c r="BO36" s="691">
        <v>8203.6629013472775</v>
      </c>
      <c r="BP36" s="691">
        <v>1567322000.0000002</v>
      </c>
      <c r="BQ36" s="691">
        <v>5569005.7559286812</v>
      </c>
      <c r="BR36" s="691">
        <v>138595495.37494713</v>
      </c>
      <c r="BS36" s="691">
        <v>23112498.869124178</v>
      </c>
      <c r="BT36" s="691">
        <v>1734599000.0000002</v>
      </c>
      <c r="BU36" s="691">
        <v>34676716.828822158</v>
      </c>
      <c r="BV36" s="693"/>
      <c r="BW36" s="692">
        <f t="shared" si="13"/>
        <v>717781000</v>
      </c>
      <c r="BX36" s="692">
        <f t="shared" si="14"/>
        <v>161000</v>
      </c>
      <c r="BY36" s="692">
        <f t="shared" si="15"/>
        <v>236721000</v>
      </c>
      <c r="BZ36" s="692">
        <f>ROUND(SUM(AK36,AO36:AP36,BE36),-3)</f>
        <v>261727000</v>
      </c>
      <c r="CA36" s="692">
        <f t="shared" si="16"/>
        <v>154615000</v>
      </c>
      <c r="CB36" s="692">
        <f t="shared" si="17"/>
        <v>1644000</v>
      </c>
      <c r="CC36" s="692">
        <f t="shared" si="18"/>
        <v>112335000</v>
      </c>
      <c r="CD36" s="692">
        <f t="shared" si="19"/>
        <v>774000</v>
      </c>
      <c r="CE36" s="692">
        <f t="shared" si="20"/>
        <v>8697000</v>
      </c>
      <c r="CF36" s="692">
        <f t="shared" si="21"/>
        <v>14044000</v>
      </c>
      <c r="CG36" s="692">
        <f t="shared" si="22"/>
        <v>5309000</v>
      </c>
      <c r="CH36" s="692">
        <f t="shared" si="23"/>
        <v>47055000</v>
      </c>
      <c r="CI36" s="692">
        <f t="shared" si="24"/>
        <v>6001000</v>
      </c>
      <c r="CJ36" s="692">
        <f t="shared" si="25"/>
        <v>458000</v>
      </c>
      <c r="CK36" s="692">
        <f t="shared" si="26"/>
        <v>201954000</v>
      </c>
      <c r="CL36" s="692">
        <f t="shared" si="27"/>
        <v>1769276000</v>
      </c>
      <c r="CM36" s="692">
        <f t="shared" si="28"/>
        <v>1769276000</v>
      </c>
      <c r="CN36" s="691">
        <f t="shared" si="29"/>
        <v>0</v>
      </c>
    </row>
    <row r="37" spans="1:92" ht="15">
      <c r="A37" s="697"/>
      <c r="B37" s="697"/>
      <c r="C37" s="698"/>
      <c r="D37" s="698"/>
      <c r="E37" s="698"/>
      <c r="F37" s="698"/>
      <c r="G37" s="698"/>
      <c r="H37" s="696"/>
      <c r="I37" s="698"/>
      <c r="J37" s="696"/>
      <c r="L37" s="697"/>
      <c r="M37" s="697"/>
      <c r="N37" s="696"/>
      <c r="O37" s="696"/>
      <c r="P37" s="696"/>
      <c r="Q37" s="696"/>
      <c r="R37" s="696"/>
      <c r="S37" s="696"/>
      <c r="T37" s="696"/>
      <c r="U37" s="696"/>
      <c r="W37" s="697"/>
      <c r="X37" s="697"/>
      <c r="Y37" s="696"/>
      <c r="Z37" s="696"/>
      <c r="AA37" s="696"/>
      <c r="AB37" s="696"/>
      <c r="AC37" s="693"/>
      <c r="AD37" s="695">
        <v>6</v>
      </c>
      <c r="AE37" s="694">
        <v>632.3427768047743</v>
      </c>
      <c r="AF37" s="691">
        <v>356000</v>
      </c>
      <c r="AG37" s="691">
        <v>655985269.42719698</v>
      </c>
      <c r="AH37" s="691">
        <v>180730.5728030566</v>
      </c>
      <c r="AI37" s="691">
        <v>18754067.082315095</v>
      </c>
      <c r="AJ37" s="691">
        <v>2688790.5149843339</v>
      </c>
      <c r="AK37" s="691">
        <v>11579847.787196785</v>
      </c>
      <c r="AL37" s="691">
        <v>1504497.2668252143</v>
      </c>
      <c r="AM37" s="691">
        <v>206512283.3657442</v>
      </c>
      <c r="AN37" s="691">
        <v>6738466.7740903758</v>
      </c>
      <c r="AO37" s="691">
        <v>235059831.26718578</v>
      </c>
      <c r="AP37" s="691">
        <v>13821272.577675039</v>
      </c>
      <c r="AQ37" s="691">
        <v>136007086.72496676</v>
      </c>
      <c r="AR37" s="691">
        <v>16447176.64244524</v>
      </c>
      <c r="AS37" s="691">
        <v>2379983.1668012231</v>
      </c>
      <c r="AT37" s="691">
        <v>70472338.550373837</v>
      </c>
      <c r="AU37" s="691">
        <v>38395425.714631088</v>
      </c>
      <c r="AV37" s="691">
        <v>801787.08990739926</v>
      </c>
      <c r="AW37" s="691">
        <v>6327006.5159816584</v>
      </c>
      <c r="AX37" s="691">
        <v>4567422.1280914983</v>
      </c>
      <c r="AY37" s="691">
        <v>7085664.9733974598</v>
      </c>
      <c r="AZ37" s="691">
        <v>2012878.191589613</v>
      </c>
      <c r="BA37" s="691">
        <v>4197371.1487160865</v>
      </c>
      <c r="BB37" s="691">
        <v>39111074.800609</v>
      </c>
      <c r="BC37" s="691">
        <v>9199865.0143506825</v>
      </c>
      <c r="BD37" s="691">
        <v>726479.89708641265</v>
      </c>
      <c r="BE37" s="691">
        <v>68308.811090261137</v>
      </c>
      <c r="BF37" s="691">
        <v>5348.2680107809192</v>
      </c>
      <c r="BG37" s="691">
        <v>460481.90198316728</v>
      </c>
      <c r="BH37" s="691">
        <v>1274291.9549358154</v>
      </c>
      <c r="BI37" s="691">
        <v>2970480.0261657792</v>
      </c>
      <c r="BJ37" s="691">
        <v>564097.21823244309</v>
      </c>
      <c r="BK37" s="691">
        <v>164400.84489763025</v>
      </c>
      <c r="BL37" s="691">
        <v>152610.75520233813</v>
      </c>
      <c r="BM37" s="691">
        <v>265879.57971853472</v>
      </c>
      <c r="BN37" s="691">
        <v>210288.19325664034</v>
      </c>
      <c r="BO37" s="691">
        <v>8562.9087649851226</v>
      </c>
      <c r="BP37" s="691">
        <v>1497058000.0000002</v>
      </c>
      <c r="BQ37" s="691">
        <v>5389593.4399801828</v>
      </c>
      <c r="BR37" s="691">
        <v>136134928.42515156</v>
      </c>
      <c r="BS37" s="691">
        <v>25768478.134868246</v>
      </c>
      <c r="BT37" s="691">
        <v>1664351000.0000002</v>
      </c>
      <c r="BU37" s="691">
        <v>37549365.298448183</v>
      </c>
      <c r="BV37" s="693"/>
      <c r="BW37" s="692">
        <f t="shared" si="13"/>
        <v>655985000</v>
      </c>
      <c r="BX37" s="692">
        <f t="shared" si="14"/>
        <v>181000</v>
      </c>
      <c r="BY37" s="692">
        <f t="shared" si="15"/>
        <v>232731000</v>
      </c>
      <c r="BZ37" s="692">
        <f>ROUND(SUM(AK37,AO37:AP37,BE37),-3)</f>
        <v>260529000</v>
      </c>
      <c r="CA37" s="692">
        <f t="shared" si="16"/>
        <v>153959000</v>
      </c>
      <c r="CB37" s="692">
        <f t="shared" si="17"/>
        <v>2380000</v>
      </c>
      <c r="CC37" s="692">
        <f t="shared" si="18"/>
        <v>111557000</v>
      </c>
      <c r="CD37" s="692">
        <f t="shared" si="19"/>
        <v>802000</v>
      </c>
      <c r="CE37" s="692">
        <f t="shared" si="20"/>
        <v>7086000</v>
      </c>
      <c r="CF37" s="692">
        <f t="shared" si="21"/>
        <v>10894000</v>
      </c>
      <c r="CG37" s="692">
        <f t="shared" si="22"/>
        <v>6210000</v>
      </c>
      <c r="CH37" s="692">
        <f t="shared" si="23"/>
        <v>48311000</v>
      </c>
      <c r="CI37" s="692">
        <f t="shared" si="24"/>
        <v>6077000</v>
      </c>
      <c r="CJ37" s="692">
        <f t="shared" si="25"/>
        <v>356000</v>
      </c>
      <c r="CK37" s="692">
        <f t="shared" si="26"/>
        <v>204842000</v>
      </c>
      <c r="CL37" s="692">
        <f t="shared" si="27"/>
        <v>1701900000</v>
      </c>
      <c r="CM37" s="692">
        <f t="shared" si="28"/>
        <v>1701900000</v>
      </c>
      <c r="CN37" s="691">
        <f t="shared" si="29"/>
        <v>0</v>
      </c>
    </row>
    <row r="38" spans="1:92" ht="15">
      <c r="A38" s="697"/>
      <c r="B38" s="697"/>
      <c r="C38" s="698"/>
      <c r="D38" s="698"/>
      <c r="E38" s="698"/>
      <c r="F38" s="698"/>
      <c r="G38" s="698"/>
      <c r="H38" s="696"/>
      <c r="I38" s="698"/>
      <c r="J38" s="696"/>
      <c r="L38" s="697"/>
      <c r="M38" s="697"/>
      <c r="N38" s="696"/>
      <c r="O38" s="696"/>
      <c r="P38" s="696"/>
      <c r="Q38" s="696"/>
      <c r="R38" s="696"/>
      <c r="S38" s="696"/>
      <c r="T38" s="696"/>
      <c r="U38" s="696"/>
      <c r="W38" s="697"/>
      <c r="X38" s="697"/>
      <c r="Y38" s="696"/>
      <c r="Z38" s="696"/>
      <c r="AA38" s="696"/>
      <c r="AB38" s="696"/>
      <c r="AC38" s="693"/>
      <c r="AD38" s="695">
        <v>7</v>
      </c>
      <c r="AE38" s="694">
        <v>621.35697328423237</v>
      </c>
      <c r="AF38" s="691">
        <v>315000.00000000006</v>
      </c>
      <c r="AG38" s="691">
        <v>652474273.38699043</v>
      </c>
      <c r="AH38" s="691">
        <v>197726.61300962328</v>
      </c>
      <c r="AI38" s="691">
        <v>19344161.064705968</v>
      </c>
      <c r="AJ38" s="691">
        <v>2837983.3705624752</v>
      </c>
      <c r="AK38" s="691">
        <v>12428389.909906795</v>
      </c>
      <c r="AL38" s="691">
        <v>1955361.1590953642</v>
      </c>
      <c r="AM38" s="691">
        <v>219959962.73637319</v>
      </c>
      <c r="AN38" s="691">
        <v>6801515.6931639183</v>
      </c>
      <c r="AO38" s="691">
        <v>245655292.72028568</v>
      </c>
      <c r="AP38" s="691">
        <v>13995999.725207059</v>
      </c>
      <c r="AQ38" s="691">
        <v>145196356.02149063</v>
      </c>
      <c r="AR38" s="691">
        <v>16352488.036441173</v>
      </c>
      <c r="AS38" s="691">
        <v>3894710.5136989183</v>
      </c>
      <c r="AT38" s="691">
        <v>71546850.348121941</v>
      </c>
      <c r="AU38" s="691">
        <v>38253486.684258685</v>
      </c>
      <c r="AV38" s="691">
        <v>1076604.5097320196</v>
      </c>
      <c r="AW38" s="691">
        <v>6623948.9397136625</v>
      </c>
      <c r="AX38" s="691">
        <v>5034612.3377976157</v>
      </c>
      <c r="AY38" s="691">
        <v>5387269.453969554</v>
      </c>
      <c r="AZ38" s="691">
        <v>2398786.6295564375</v>
      </c>
      <c r="BA38" s="691">
        <v>4547177.9069634359</v>
      </c>
      <c r="BB38" s="691">
        <v>41105625.654536836</v>
      </c>
      <c r="BC38" s="691">
        <v>10577719.616168104</v>
      </c>
      <c r="BD38" s="691">
        <v>743934.14528478438</v>
      </c>
      <c r="BE38" s="691">
        <v>76202.204900065393</v>
      </c>
      <c r="BF38" s="691">
        <v>4602.787545588697</v>
      </c>
      <c r="BG38" s="691">
        <v>461084.32080197748</v>
      </c>
      <c r="BH38" s="691">
        <v>1201737.9221278557</v>
      </c>
      <c r="BI38" s="691">
        <v>2807369.998086018</v>
      </c>
      <c r="BJ38" s="691">
        <v>531729.41132267716</v>
      </c>
      <c r="BK38" s="691">
        <v>163693.6404344046</v>
      </c>
      <c r="BL38" s="691">
        <v>152978.84223497609</v>
      </c>
      <c r="BM38" s="691">
        <v>265717.85295774916</v>
      </c>
      <c r="BN38" s="691">
        <v>206598.21339109723</v>
      </c>
      <c r="BO38" s="691">
        <v>8426.2721902818666</v>
      </c>
      <c r="BP38" s="691">
        <v>1534586000</v>
      </c>
      <c r="BQ38" s="691">
        <v>5107442.6036420474</v>
      </c>
      <c r="BR38" s="691">
        <v>136289580.08435267</v>
      </c>
      <c r="BS38" s="691">
        <v>25709977.312005319</v>
      </c>
      <c r="BT38" s="691">
        <v>1701693000</v>
      </c>
      <c r="BU38" s="691">
        <v>37411777.371154942</v>
      </c>
      <c r="BV38" s="693"/>
      <c r="BW38" s="692">
        <f t="shared" si="13"/>
        <v>652474000</v>
      </c>
      <c r="BX38" s="692">
        <f t="shared" si="14"/>
        <v>198000</v>
      </c>
      <c r="BY38" s="692">
        <f t="shared" si="15"/>
        <v>246850000</v>
      </c>
      <c r="BZ38" s="692">
        <f>ROUND(SUM(AK38,AO38:AP38,BE38),-3)-1000</f>
        <v>272155000</v>
      </c>
      <c r="CA38" s="692">
        <f t="shared" si="16"/>
        <v>163504000</v>
      </c>
      <c r="CB38" s="692">
        <f t="shared" si="17"/>
        <v>3895000</v>
      </c>
      <c r="CC38" s="692">
        <f t="shared" si="18"/>
        <v>112638000</v>
      </c>
      <c r="CD38" s="692">
        <f t="shared" si="19"/>
        <v>1077000</v>
      </c>
      <c r="CE38" s="692">
        <f t="shared" si="20"/>
        <v>5387000</v>
      </c>
      <c r="CF38" s="692">
        <f t="shared" si="21"/>
        <v>11659000</v>
      </c>
      <c r="CG38" s="692">
        <f t="shared" si="22"/>
        <v>6946000</v>
      </c>
      <c r="CH38" s="692">
        <f t="shared" si="23"/>
        <v>51683000</v>
      </c>
      <c r="CI38" s="692">
        <f t="shared" si="24"/>
        <v>5805000</v>
      </c>
      <c r="CJ38" s="692">
        <f t="shared" si="25"/>
        <v>315000</v>
      </c>
      <c r="CK38" s="692">
        <f t="shared" si="26"/>
        <v>204519000</v>
      </c>
      <c r="CL38" s="692">
        <f t="shared" si="27"/>
        <v>1739105000</v>
      </c>
      <c r="CM38" s="692">
        <f t="shared" si="28"/>
        <v>1739105000</v>
      </c>
      <c r="CN38" s="691">
        <f t="shared" si="29"/>
        <v>0</v>
      </c>
    </row>
    <row r="39" spans="1:92" ht="15">
      <c r="A39" s="697"/>
      <c r="B39" s="697"/>
      <c r="C39" s="698"/>
      <c r="D39" s="698"/>
      <c r="E39" s="698"/>
      <c r="F39" s="698"/>
      <c r="G39" s="698"/>
      <c r="H39" s="696"/>
      <c r="I39" s="698"/>
      <c r="J39" s="696"/>
      <c r="L39" s="697"/>
      <c r="M39" s="697"/>
      <c r="N39" s="696"/>
      <c r="O39" s="696"/>
      <c r="P39" s="696"/>
      <c r="Q39" s="696"/>
      <c r="R39" s="696"/>
      <c r="S39" s="696"/>
      <c r="T39" s="696"/>
      <c r="U39" s="696"/>
      <c r="W39" s="697"/>
      <c r="X39" s="697"/>
      <c r="Y39" s="696"/>
      <c r="Z39" s="696"/>
      <c r="AA39" s="696"/>
      <c r="AB39" s="696"/>
      <c r="AC39" s="693"/>
      <c r="AD39" s="695">
        <v>8</v>
      </c>
      <c r="AE39" s="694">
        <v>581.33607709152966</v>
      </c>
      <c r="AF39" s="691">
        <v>285000</v>
      </c>
      <c r="AG39" s="691">
        <v>633894905.01710117</v>
      </c>
      <c r="AH39" s="691">
        <v>186094.98289875474</v>
      </c>
      <c r="AI39" s="691">
        <v>19727843.160127919</v>
      </c>
      <c r="AJ39" s="691">
        <v>2837972.7656007614</v>
      </c>
      <c r="AK39" s="691">
        <v>12727864.447315993</v>
      </c>
      <c r="AL39" s="691">
        <v>1830866.2552343195</v>
      </c>
      <c r="AM39" s="691">
        <v>224473597.70802248</v>
      </c>
      <c r="AN39" s="691">
        <v>7049614.4273792095</v>
      </c>
      <c r="AO39" s="691">
        <v>253619692.25222418</v>
      </c>
      <c r="AP39" s="691">
        <v>14661115.710352374</v>
      </c>
      <c r="AQ39" s="691">
        <v>148722349.72854719</v>
      </c>
      <c r="AR39" s="691">
        <v>17468279.598789789</v>
      </c>
      <c r="AS39" s="691">
        <v>4091007.8444027761</v>
      </c>
      <c r="AT39" s="691">
        <v>72370995.619711295</v>
      </c>
      <c r="AU39" s="691">
        <v>40079453.683070973</v>
      </c>
      <c r="AV39" s="691">
        <v>1005864.8932266557</v>
      </c>
      <c r="AW39" s="691">
        <v>5033350.98490531</v>
      </c>
      <c r="AX39" s="691">
        <v>4782328.3489276106</v>
      </c>
      <c r="AY39" s="691">
        <v>6279216.5945134936</v>
      </c>
      <c r="AZ39" s="691">
        <v>2450373.5882047107</v>
      </c>
      <c r="BA39" s="691">
        <v>4219354.8334396975</v>
      </c>
      <c r="BB39" s="691">
        <v>41764917.944026031</v>
      </c>
      <c r="BC39" s="691">
        <v>10039853.398040341</v>
      </c>
      <c r="BD39" s="691">
        <v>820542.66132355365</v>
      </c>
      <c r="BE39" s="691">
        <v>80360.761324203602</v>
      </c>
      <c r="BF39" s="691">
        <v>5054.0967743084766</v>
      </c>
      <c r="BG39" s="691">
        <v>498459.44288591371</v>
      </c>
      <c r="BH39" s="691">
        <v>1225221.3987995144</v>
      </c>
      <c r="BI39" s="691">
        <v>2851801.5655289413</v>
      </c>
      <c r="BJ39" s="691">
        <v>531876.75133471156</v>
      </c>
      <c r="BK39" s="691">
        <v>168169.44482942423</v>
      </c>
      <c r="BL39" s="691">
        <v>156584.12680255092</v>
      </c>
      <c r="BM39" s="691">
        <v>267101.98595176172</v>
      </c>
      <c r="BN39" s="691">
        <v>214506.29460986907</v>
      </c>
      <c r="BO39" s="691">
        <v>8826.3476951323009</v>
      </c>
      <c r="BP39" s="691">
        <v>1536430999.9999988</v>
      </c>
      <c r="BQ39" s="691">
        <v>5110810.6941641923</v>
      </c>
      <c r="BR39" s="691">
        <v>136225477.77899396</v>
      </c>
      <c r="BS39" s="691">
        <v>25732711.526841857</v>
      </c>
      <c r="BT39" s="691">
        <v>1703499999.9999988</v>
      </c>
      <c r="BU39" s="691">
        <v>38791024.643815123</v>
      </c>
      <c r="BV39" s="693"/>
      <c r="BW39" s="692">
        <f t="shared" si="13"/>
        <v>633895000</v>
      </c>
      <c r="BX39" s="692">
        <f t="shared" si="14"/>
        <v>186000</v>
      </c>
      <c r="BY39" s="692">
        <f t="shared" si="15"/>
        <v>252072000</v>
      </c>
      <c r="BZ39" s="692">
        <f>ROUND(SUM(AK39,AO39:AP39,BE39),-3)</f>
        <v>281089000</v>
      </c>
      <c r="CA39" s="692">
        <f t="shared" si="16"/>
        <v>168021000</v>
      </c>
      <c r="CB39" s="692">
        <f t="shared" si="17"/>
        <v>4091000</v>
      </c>
      <c r="CC39" s="692">
        <f t="shared" si="18"/>
        <v>115288000</v>
      </c>
      <c r="CD39" s="692">
        <f t="shared" si="19"/>
        <v>1006000</v>
      </c>
      <c r="CE39" s="692">
        <f t="shared" si="20"/>
        <v>6279000</v>
      </c>
      <c r="CF39" s="692">
        <f t="shared" si="21"/>
        <v>9816000</v>
      </c>
      <c r="CG39" s="692">
        <f t="shared" si="22"/>
        <v>6670000</v>
      </c>
      <c r="CH39" s="692">
        <f t="shared" si="23"/>
        <v>51805000</v>
      </c>
      <c r="CI39" s="692">
        <f t="shared" si="24"/>
        <v>5928000</v>
      </c>
      <c r="CJ39" s="692">
        <f t="shared" si="25"/>
        <v>285000</v>
      </c>
      <c r="CK39" s="692">
        <f t="shared" si="26"/>
        <v>205860000</v>
      </c>
      <c r="CL39" s="692">
        <f t="shared" si="27"/>
        <v>1742291000</v>
      </c>
      <c r="CM39" s="692">
        <f t="shared" si="28"/>
        <v>1742291000</v>
      </c>
      <c r="CN39" s="691">
        <f t="shared" si="29"/>
        <v>0</v>
      </c>
    </row>
    <row r="40" spans="1:92" ht="15">
      <c r="A40" s="697"/>
      <c r="B40" s="697"/>
      <c r="C40" s="698"/>
      <c r="D40" s="698"/>
      <c r="E40" s="698"/>
      <c r="F40" s="698"/>
      <c r="G40" s="698"/>
      <c r="H40" s="696"/>
      <c r="I40" s="698"/>
      <c r="J40" s="696"/>
      <c r="L40" s="697"/>
      <c r="M40" s="697"/>
      <c r="N40" s="696"/>
      <c r="O40" s="696"/>
      <c r="P40" s="696"/>
      <c r="Q40" s="696"/>
      <c r="R40" s="696"/>
      <c r="S40" s="696"/>
      <c r="T40" s="696"/>
      <c r="U40" s="696"/>
      <c r="W40" s="697"/>
      <c r="X40" s="697"/>
      <c r="Y40" s="696"/>
      <c r="Z40" s="696"/>
      <c r="AA40" s="696"/>
      <c r="AB40" s="696"/>
      <c r="AC40" s="693"/>
      <c r="AD40" s="695">
        <v>9</v>
      </c>
      <c r="AE40" s="694">
        <v>594.18947859611535</v>
      </c>
      <c r="AF40" s="691">
        <v>324000</v>
      </c>
      <c r="AG40" s="691">
        <v>636428007.97798109</v>
      </c>
      <c r="AH40" s="691">
        <v>163992.02201889834</v>
      </c>
      <c r="AI40" s="691">
        <v>18884933.879985455</v>
      </c>
      <c r="AJ40" s="691">
        <v>2758233.2712267861</v>
      </c>
      <c r="AK40" s="691">
        <v>12155244.643258648</v>
      </c>
      <c r="AL40" s="691">
        <v>1530073.7355289869</v>
      </c>
      <c r="AM40" s="691">
        <v>206845653.08585072</v>
      </c>
      <c r="AN40" s="691">
        <v>6313634.6044851122</v>
      </c>
      <c r="AO40" s="691">
        <v>236503160.89748576</v>
      </c>
      <c r="AP40" s="691">
        <v>13396835.349976175</v>
      </c>
      <c r="AQ40" s="691">
        <v>137276528.95442069</v>
      </c>
      <c r="AR40" s="691">
        <v>16218368.096421998</v>
      </c>
      <c r="AS40" s="691">
        <v>1923432.1276374229</v>
      </c>
      <c r="AT40" s="691">
        <v>70390705.726606742</v>
      </c>
      <c r="AU40" s="691">
        <v>36511590.763265483</v>
      </c>
      <c r="AV40" s="691">
        <v>785700.3937246619</v>
      </c>
      <c r="AW40" s="691">
        <v>6160239.7096073069</v>
      </c>
      <c r="AX40" s="691">
        <v>4970339.2880084002</v>
      </c>
      <c r="AY40" s="691">
        <v>8167928.4697014196</v>
      </c>
      <c r="AZ40" s="691">
        <v>2070911.9054423871</v>
      </c>
      <c r="BA40" s="691">
        <v>3737751.1351390472</v>
      </c>
      <c r="BB40" s="691">
        <v>42101526.904842615</v>
      </c>
      <c r="BC40" s="691">
        <v>9086480.7627037931</v>
      </c>
      <c r="BD40" s="691">
        <v>871241.03406304354</v>
      </c>
      <c r="BE40" s="691">
        <v>75914.331915424482</v>
      </c>
      <c r="BF40" s="691">
        <v>4682.4862503051845</v>
      </c>
      <c r="BG40" s="691">
        <v>434610.61907461437</v>
      </c>
      <c r="BH40" s="691">
        <v>1174460.9818509014</v>
      </c>
      <c r="BI40" s="691">
        <v>2695337.0607547928</v>
      </c>
      <c r="BJ40" s="691">
        <v>510248.47059756756</v>
      </c>
      <c r="BK40" s="691">
        <v>165081.73888113553</v>
      </c>
      <c r="BL40" s="691">
        <v>153163.5717317271</v>
      </c>
      <c r="BM40" s="691">
        <v>356910.82601475483</v>
      </c>
      <c r="BN40" s="691">
        <v>211026.59157509112</v>
      </c>
      <c r="BO40" s="691">
        <v>8454.3924923342056</v>
      </c>
      <c r="BP40" s="691">
        <v>1481367000</v>
      </c>
      <c r="BQ40" s="691">
        <v>4873615.2659414941</v>
      </c>
      <c r="BR40" s="691">
        <v>134606163.26270568</v>
      </c>
      <c r="BS40" s="691">
        <v>27646221.471352831</v>
      </c>
      <c r="BT40" s="691">
        <v>1648493000</v>
      </c>
      <c r="BU40" s="691">
        <v>37555403.468348347</v>
      </c>
      <c r="BV40" s="693"/>
      <c r="BW40" s="692">
        <f t="shared" si="13"/>
        <v>636428000</v>
      </c>
      <c r="BX40" s="692">
        <f t="shared" si="14"/>
        <v>164000</v>
      </c>
      <c r="BY40" s="692">
        <f t="shared" si="15"/>
        <v>232915000</v>
      </c>
      <c r="BZ40" s="692">
        <f>ROUND(SUM(AK40,AO40:AP40,BE40),-3)-1000</f>
        <v>262130000</v>
      </c>
      <c r="CA40" s="692">
        <f t="shared" si="16"/>
        <v>155025000</v>
      </c>
      <c r="CB40" s="692">
        <f t="shared" si="17"/>
        <v>1923000</v>
      </c>
      <c r="CC40" s="692">
        <f t="shared" si="18"/>
        <v>109661000</v>
      </c>
      <c r="CD40" s="692">
        <f t="shared" si="19"/>
        <v>786000</v>
      </c>
      <c r="CE40" s="692">
        <f t="shared" si="20"/>
        <v>8168000</v>
      </c>
      <c r="CF40" s="692">
        <f t="shared" si="21"/>
        <v>11131000</v>
      </c>
      <c r="CG40" s="692">
        <f t="shared" si="22"/>
        <v>5809000</v>
      </c>
      <c r="CH40" s="692">
        <f t="shared" si="23"/>
        <v>51188000</v>
      </c>
      <c r="CI40" s="692">
        <f t="shared" si="24"/>
        <v>5715000</v>
      </c>
      <c r="CJ40" s="692">
        <f t="shared" si="25"/>
        <v>324000</v>
      </c>
      <c r="CK40" s="692">
        <f t="shared" si="26"/>
        <v>204681000</v>
      </c>
      <c r="CL40" s="692">
        <f t="shared" si="27"/>
        <v>1686048000</v>
      </c>
      <c r="CM40" s="692">
        <f t="shared" si="28"/>
        <v>1686048000</v>
      </c>
      <c r="CN40" s="691">
        <f t="shared" si="29"/>
        <v>0</v>
      </c>
    </row>
    <row r="41" spans="1:92" ht="15">
      <c r="A41" s="697"/>
      <c r="B41" s="697"/>
      <c r="C41" s="698"/>
      <c r="D41" s="698"/>
      <c r="E41" s="698"/>
      <c r="F41" s="698"/>
      <c r="G41" s="698"/>
      <c r="H41" s="696"/>
      <c r="I41" s="698"/>
      <c r="J41" s="696"/>
      <c r="L41" s="697"/>
      <c r="M41" s="697"/>
      <c r="N41" s="696"/>
      <c r="O41" s="696"/>
      <c r="P41" s="696"/>
      <c r="Q41" s="696"/>
      <c r="R41" s="696"/>
      <c r="S41" s="696"/>
      <c r="T41" s="696"/>
      <c r="U41" s="696"/>
      <c r="W41" s="697"/>
      <c r="X41" s="697"/>
      <c r="Y41" s="696"/>
      <c r="Z41" s="696"/>
      <c r="AA41" s="696"/>
      <c r="AB41" s="696"/>
      <c r="AC41" s="693"/>
      <c r="AD41" s="695">
        <v>10</v>
      </c>
      <c r="AE41" s="694">
        <v>616.51374400369434</v>
      </c>
      <c r="AF41" s="691">
        <v>483000</v>
      </c>
      <c r="AG41" s="691">
        <v>799216102.37917709</v>
      </c>
      <c r="AH41" s="691">
        <v>170897.62082294558</v>
      </c>
      <c r="AI41" s="691">
        <v>20494920.842270937</v>
      </c>
      <c r="AJ41" s="691">
        <v>2913456.7006474296</v>
      </c>
      <c r="AK41" s="691">
        <v>13425735.39893293</v>
      </c>
      <c r="AL41" s="691">
        <v>1516411.4489237235</v>
      </c>
      <c r="AM41" s="691">
        <v>216681662.93220332</v>
      </c>
      <c r="AN41" s="691">
        <v>6731155.4416242475</v>
      </c>
      <c r="AO41" s="691">
        <v>239321257.02370837</v>
      </c>
      <c r="AP41" s="691">
        <v>13839497.400306216</v>
      </c>
      <c r="AQ41" s="691">
        <v>138257483.4148753</v>
      </c>
      <c r="AR41" s="691">
        <v>16390066.172158306</v>
      </c>
      <c r="AS41" s="691">
        <v>649752.49249638221</v>
      </c>
      <c r="AT41" s="691">
        <v>70994878.691051856</v>
      </c>
      <c r="AU41" s="691">
        <v>38130592.995140508</v>
      </c>
      <c r="AV41" s="691">
        <v>265918.93775990402</v>
      </c>
      <c r="AW41" s="691">
        <v>8735302.6886823811</v>
      </c>
      <c r="AX41" s="691">
        <v>4774334.3511247691</v>
      </c>
      <c r="AY41" s="691">
        <v>9892213.4178505931</v>
      </c>
      <c r="AZ41" s="691">
        <v>1006595.8253100633</v>
      </c>
      <c r="BA41" s="691">
        <v>4264880.4830939975</v>
      </c>
      <c r="BB41" s="691">
        <v>41067790.171685286</v>
      </c>
      <c r="BC41" s="691">
        <v>9072473.1565519497</v>
      </c>
      <c r="BD41" s="691">
        <v>1020951.1054076939</v>
      </c>
      <c r="BE41" s="691">
        <v>84191.545990577186</v>
      </c>
      <c r="BF41" s="691">
        <v>4375.8058920407138</v>
      </c>
      <c r="BG41" s="691">
        <v>543487.99938349589</v>
      </c>
      <c r="BH41" s="691">
        <v>1167729.0245377158</v>
      </c>
      <c r="BI41" s="691">
        <v>2697982.2105236272</v>
      </c>
      <c r="BJ41" s="691">
        <v>501502.40402951435</v>
      </c>
      <c r="BK41" s="691">
        <v>165869.64656020186</v>
      </c>
      <c r="BL41" s="691">
        <v>153586.42689628384</v>
      </c>
      <c r="BM41" s="691">
        <v>369163.39049133187</v>
      </c>
      <c r="BN41" s="691">
        <v>215502.88288036699</v>
      </c>
      <c r="BO41" s="691">
        <v>8661.0572644875465</v>
      </c>
      <c r="BP41" s="691">
        <v>1665229999.9999998</v>
      </c>
      <c r="BQ41" s="691">
        <v>4524430.5527561698</v>
      </c>
      <c r="BR41" s="691">
        <v>133459231.65330307</v>
      </c>
      <c r="BS41" s="691">
        <v>28995337.793940742</v>
      </c>
      <c r="BT41" s="691">
        <v>1832208999.9999998</v>
      </c>
      <c r="BU41" s="691">
        <v>35590086.116863422</v>
      </c>
      <c r="BV41" s="693"/>
      <c r="BW41" s="692">
        <f t="shared" si="13"/>
        <v>799216000</v>
      </c>
      <c r="BX41" s="692">
        <f t="shared" si="14"/>
        <v>171000</v>
      </c>
      <c r="BY41" s="692">
        <f t="shared" si="15"/>
        <v>244929000</v>
      </c>
      <c r="BZ41" s="692">
        <f>ROUND(SUM(AK41,AO41:AP41,BE41),-3)</f>
        <v>266671000</v>
      </c>
      <c r="CA41" s="692">
        <f t="shared" si="16"/>
        <v>156164000</v>
      </c>
      <c r="CB41" s="692">
        <f t="shared" si="17"/>
        <v>650000</v>
      </c>
      <c r="CC41" s="692">
        <f t="shared" si="18"/>
        <v>112039000</v>
      </c>
      <c r="CD41" s="692">
        <f t="shared" si="19"/>
        <v>266000</v>
      </c>
      <c r="CE41" s="692">
        <f t="shared" si="20"/>
        <v>9892000</v>
      </c>
      <c r="CF41" s="692">
        <f t="shared" si="21"/>
        <v>13510000</v>
      </c>
      <c r="CG41" s="692">
        <f t="shared" si="22"/>
        <v>5271000</v>
      </c>
      <c r="CH41" s="692">
        <f t="shared" si="23"/>
        <v>50140000</v>
      </c>
      <c r="CI41" s="692">
        <f t="shared" si="24"/>
        <v>5828000</v>
      </c>
      <c r="CJ41" s="692">
        <f t="shared" si="25"/>
        <v>483000</v>
      </c>
      <c r="CK41" s="692">
        <f t="shared" si="26"/>
        <v>202569000</v>
      </c>
      <c r="CL41" s="692">
        <f t="shared" si="27"/>
        <v>1867799000</v>
      </c>
      <c r="CM41" s="692">
        <f t="shared" si="28"/>
        <v>1867799000</v>
      </c>
      <c r="CN41" s="691">
        <f t="shared" si="29"/>
        <v>0</v>
      </c>
    </row>
    <row r="42" spans="1:92" ht="15">
      <c r="A42" s="697"/>
      <c r="B42" s="697"/>
      <c r="C42" s="698"/>
      <c r="D42" s="698"/>
      <c r="E42" s="698"/>
      <c r="F42" s="698"/>
      <c r="G42" s="698"/>
      <c r="H42" s="696"/>
      <c r="I42" s="698"/>
      <c r="J42" s="696"/>
      <c r="L42" s="697"/>
      <c r="M42" s="697"/>
      <c r="N42" s="696"/>
      <c r="O42" s="696"/>
      <c r="P42" s="696"/>
      <c r="Q42" s="696"/>
      <c r="R42" s="696"/>
      <c r="S42" s="696"/>
      <c r="T42" s="696"/>
      <c r="U42" s="696"/>
      <c r="W42" s="697"/>
      <c r="X42" s="697"/>
      <c r="Y42" s="696"/>
      <c r="Z42" s="696"/>
      <c r="AA42" s="696"/>
      <c r="AB42" s="696"/>
      <c r="AC42" s="693"/>
      <c r="AD42" s="695">
        <v>11</v>
      </c>
      <c r="AE42" s="694">
        <v>676.52697337925667</v>
      </c>
      <c r="AF42" s="691">
        <v>698000</v>
      </c>
      <c r="AG42" s="691">
        <v>995818245.31408167</v>
      </c>
      <c r="AH42" s="691">
        <v>189754.68591825702</v>
      </c>
      <c r="AI42" s="691">
        <v>23966811.259754609</v>
      </c>
      <c r="AJ42" s="691">
        <v>3166844.2880927934</v>
      </c>
      <c r="AK42" s="691">
        <v>14332704.50003117</v>
      </c>
      <c r="AL42" s="691">
        <v>1670885.9440888471</v>
      </c>
      <c r="AM42" s="691">
        <v>234587965.27501309</v>
      </c>
      <c r="AN42" s="691">
        <v>6935315.9249577913</v>
      </c>
      <c r="AO42" s="691">
        <v>246221533.61516759</v>
      </c>
      <c r="AP42" s="691">
        <v>13054771.347661737</v>
      </c>
      <c r="AQ42" s="691">
        <v>136673785.22302884</v>
      </c>
      <c r="AR42" s="691">
        <v>14545508.858588709</v>
      </c>
      <c r="AS42" s="691">
        <v>350164.76508811611</v>
      </c>
      <c r="AT42" s="691">
        <v>70645214.019943967</v>
      </c>
      <c r="AU42" s="691">
        <v>35136725.595950291</v>
      </c>
      <c r="AV42" s="691">
        <v>59228.759418032671</v>
      </c>
      <c r="AW42" s="691">
        <v>7977185.2458118293</v>
      </c>
      <c r="AX42" s="691">
        <v>4097327.4250083207</v>
      </c>
      <c r="AY42" s="691">
        <v>12505678.11965733</v>
      </c>
      <c r="AZ42" s="691">
        <v>1152695.6759714899</v>
      </c>
      <c r="BA42" s="691">
        <v>3615240.6106433384</v>
      </c>
      <c r="BB42" s="691">
        <v>41979759.905770168</v>
      </c>
      <c r="BC42" s="691">
        <v>8519110.2371897902</v>
      </c>
      <c r="BD42" s="691">
        <v>1256434.2831809723</v>
      </c>
      <c r="BE42" s="691">
        <v>115817.86210490925</v>
      </c>
      <c r="BF42" s="691">
        <v>4972.6508535177263</v>
      </c>
      <c r="BG42" s="691">
        <v>509328.49026130012</v>
      </c>
      <c r="BH42" s="691">
        <v>1248570.8456683226</v>
      </c>
      <c r="BI42" s="691">
        <v>2867094.6540533397</v>
      </c>
      <c r="BJ42" s="691">
        <v>529757.00781508512</v>
      </c>
      <c r="BK42" s="691">
        <v>158823.60624435727</v>
      </c>
      <c r="BL42" s="691">
        <v>147633.5025119452</v>
      </c>
      <c r="BM42" s="691">
        <v>266347.67908917426</v>
      </c>
      <c r="BN42" s="691">
        <v>208013.74119269018</v>
      </c>
      <c r="BO42" s="691">
        <v>8072.5532130654437</v>
      </c>
      <c r="BP42" s="691">
        <v>1885222000</v>
      </c>
      <c r="BQ42" s="691">
        <v>4359373.1002768418</v>
      </c>
      <c r="BR42" s="691">
        <v>134359231.4605588</v>
      </c>
      <c r="BS42" s="691">
        <v>28205395.43916434</v>
      </c>
      <c r="BT42" s="691">
        <v>2052146000</v>
      </c>
      <c r="BU42" s="691">
        <v>36031952.855031274</v>
      </c>
      <c r="BV42" s="693"/>
      <c r="BW42" s="692">
        <f t="shared" si="13"/>
        <v>995818000</v>
      </c>
      <c r="BX42" s="692">
        <f t="shared" si="14"/>
        <v>190000</v>
      </c>
      <c r="BY42" s="692">
        <f t="shared" si="15"/>
        <v>266747000</v>
      </c>
      <c r="BZ42" s="692">
        <f>ROUND(SUM(AK42,AO42:AP42,BE42),-3)-1000</f>
        <v>273724000</v>
      </c>
      <c r="CA42" s="692">
        <f t="shared" si="16"/>
        <v>152890000</v>
      </c>
      <c r="CB42" s="692">
        <f t="shared" si="17"/>
        <v>350000</v>
      </c>
      <c r="CC42" s="692">
        <f t="shared" si="18"/>
        <v>108949000</v>
      </c>
      <c r="CD42" s="692">
        <f t="shared" si="19"/>
        <v>59000</v>
      </c>
      <c r="CE42" s="692">
        <f t="shared" si="20"/>
        <v>12506000</v>
      </c>
      <c r="CF42" s="692">
        <f t="shared" si="21"/>
        <v>12075000</v>
      </c>
      <c r="CG42" s="692">
        <f t="shared" si="22"/>
        <v>4768000</v>
      </c>
      <c r="CH42" s="692">
        <f t="shared" si="23"/>
        <v>50499000</v>
      </c>
      <c r="CI42" s="692">
        <f t="shared" si="24"/>
        <v>5949000</v>
      </c>
      <c r="CJ42" s="692">
        <f t="shared" si="25"/>
        <v>698000</v>
      </c>
      <c r="CK42" s="692">
        <f t="shared" si="26"/>
        <v>202956000</v>
      </c>
      <c r="CL42" s="692">
        <f t="shared" si="27"/>
        <v>2088178000</v>
      </c>
      <c r="CM42" s="692">
        <f t="shared" si="28"/>
        <v>2088178000</v>
      </c>
      <c r="CN42" s="691">
        <f t="shared" si="29"/>
        <v>0</v>
      </c>
    </row>
    <row r="43" spans="1:92" ht="15">
      <c r="A43" s="697"/>
      <c r="B43" s="697"/>
      <c r="C43" s="698"/>
      <c r="D43" s="698"/>
      <c r="E43" s="698"/>
      <c r="F43" s="698"/>
      <c r="G43" s="698"/>
      <c r="H43" s="696"/>
      <c r="I43" s="698"/>
      <c r="J43" s="696"/>
      <c r="L43" s="697"/>
      <c r="M43" s="697"/>
      <c r="N43" s="696"/>
      <c r="O43" s="696"/>
      <c r="P43" s="696"/>
      <c r="Q43" s="696"/>
      <c r="R43" s="696"/>
      <c r="S43" s="696"/>
      <c r="T43" s="696"/>
      <c r="U43" s="696"/>
      <c r="W43" s="697"/>
      <c r="X43" s="697"/>
      <c r="Y43" s="696"/>
      <c r="Z43" s="696"/>
      <c r="AA43" s="696"/>
      <c r="AB43" s="696"/>
      <c r="AC43" s="693"/>
      <c r="AD43" s="695">
        <v>12</v>
      </c>
      <c r="AE43" s="694">
        <v>594.81268371771012</v>
      </c>
      <c r="AF43" s="691">
        <v>1016000.0000000001</v>
      </c>
      <c r="AG43" s="691">
        <v>1265674052.76565</v>
      </c>
      <c r="AH43" s="691">
        <v>247947.2343497987</v>
      </c>
      <c r="AI43" s="691">
        <v>28797620.237619959</v>
      </c>
      <c r="AJ43" s="691">
        <v>3590640.6576225068</v>
      </c>
      <c r="AK43" s="691">
        <v>16110338.531623296</v>
      </c>
      <c r="AL43" s="691">
        <v>1888694.4954530292</v>
      </c>
      <c r="AM43" s="691">
        <v>259914796.82395288</v>
      </c>
      <c r="AN43" s="691">
        <v>7314935.312085337</v>
      </c>
      <c r="AO43" s="691">
        <v>266083391.26387128</v>
      </c>
      <c r="AP43" s="691">
        <v>13405819.157480966</v>
      </c>
      <c r="AQ43" s="691">
        <v>145170460.37225389</v>
      </c>
      <c r="AR43" s="691">
        <v>13638093.806565398</v>
      </c>
      <c r="AS43" s="691">
        <v>365571.73444155982</v>
      </c>
      <c r="AT43" s="691">
        <v>76823790.361113161</v>
      </c>
      <c r="AU43" s="691">
        <v>35506671.066223063</v>
      </c>
      <c r="AV43" s="691">
        <v>4729.0754325895432</v>
      </c>
      <c r="AW43" s="691">
        <v>6711433.7110064188</v>
      </c>
      <c r="AX43" s="691">
        <v>3786030.2367025344</v>
      </c>
      <c r="AY43" s="691">
        <v>15653189.256780796</v>
      </c>
      <c r="AZ43" s="691">
        <v>1890532.0674847728</v>
      </c>
      <c r="BA43" s="691">
        <v>3300216.3180272151</v>
      </c>
      <c r="BB43" s="691">
        <v>44051085.215548314</v>
      </c>
      <c r="BC43" s="691">
        <v>8357234.1029155003</v>
      </c>
      <c r="BD43" s="691">
        <v>1211063.1264728273</v>
      </c>
      <c r="BE43" s="691">
        <v>115402.91466269006</v>
      </c>
      <c r="BF43" s="691">
        <v>4779.4705766690922</v>
      </c>
      <c r="BG43" s="691">
        <v>527845.43483309797</v>
      </c>
      <c r="BH43" s="691">
        <v>1201564.9767676534</v>
      </c>
      <c r="BI43" s="691">
        <v>2691632.8363862908</v>
      </c>
      <c r="BJ43" s="691">
        <v>504622.41874875914</v>
      </c>
      <c r="BK43" s="691">
        <v>166331.85596589369</v>
      </c>
      <c r="BL43" s="691">
        <v>154814.24156704417</v>
      </c>
      <c r="BM43" s="691">
        <v>416494.00886829366</v>
      </c>
      <c r="BN43" s="691">
        <v>219508.73794962303</v>
      </c>
      <c r="BO43" s="691">
        <v>8071.3603132107892</v>
      </c>
      <c r="BP43" s="691">
        <v>2226526000.0000005</v>
      </c>
      <c r="BQ43" s="691">
        <v>4267732.8717965456</v>
      </c>
      <c r="BR43" s="691">
        <v>135785007.26135311</v>
      </c>
      <c r="BS43" s="691">
        <v>26829259.866850376</v>
      </c>
      <c r="BT43" s="691">
        <v>2393408000.0000005</v>
      </c>
      <c r="BU43" s="691">
        <v>37278185.167944767</v>
      </c>
      <c r="BV43" s="693"/>
      <c r="BW43" s="692">
        <f t="shared" si="13"/>
        <v>1265674000</v>
      </c>
      <c r="BX43" s="692">
        <f t="shared" si="14"/>
        <v>248000</v>
      </c>
      <c r="BY43" s="692">
        <f t="shared" si="15"/>
        <v>297238000</v>
      </c>
      <c r="BZ43" s="692">
        <f>ROUND(SUM(AK43,AO43:AP43,BE43),-3)+1000</f>
        <v>295716000</v>
      </c>
      <c r="CA43" s="692">
        <f t="shared" si="16"/>
        <v>160697000</v>
      </c>
      <c r="CB43" s="692">
        <f t="shared" si="17"/>
        <v>366000</v>
      </c>
      <c r="CC43" s="692">
        <f t="shared" si="18"/>
        <v>115921000</v>
      </c>
      <c r="CD43" s="692">
        <f t="shared" si="19"/>
        <v>5000</v>
      </c>
      <c r="CE43" s="692">
        <f t="shared" si="20"/>
        <v>15653000</v>
      </c>
      <c r="CF43" s="692">
        <f t="shared" si="21"/>
        <v>10497000</v>
      </c>
      <c r="CG43" s="692">
        <f t="shared" si="22"/>
        <v>5191000</v>
      </c>
      <c r="CH43" s="692">
        <f t="shared" si="23"/>
        <v>52408000</v>
      </c>
      <c r="CI43" s="692">
        <f t="shared" si="24"/>
        <v>5896000</v>
      </c>
      <c r="CJ43" s="692">
        <f t="shared" si="25"/>
        <v>1016000</v>
      </c>
      <c r="CK43" s="692">
        <f t="shared" si="26"/>
        <v>204160000</v>
      </c>
      <c r="CL43" s="692">
        <f t="shared" si="27"/>
        <v>2430686000</v>
      </c>
      <c r="CM43" s="692">
        <f t="shared" si="28"/>
        <v>2430686000</v>
      </c>
      <c r="CN43" s="691">
        <f t="shared" si="29"/>
        <v>0</v>
      </c>
    </row>
    <row r="45" spans="1:92">
      <c r="AC45" s="690" t="s">
        <v>835</v>
      </c>
      <c r="AD45" s="689"/>
      <c r="AE45" s="685">
        <f t="shared" ref="AE45:BU45" si="30">SUM(AE24:AE35)</f>
        <v>7363.9152678018418</v>
      </c>
      <c r="AF45" s="685">
        <f t="shared" si="30"/>
        <v>7039000</v>
      </c>
      <c r="AG45" s="685">
        <f t="shared" si="30"/>
        <v>10674852492.748594</v>
      </c>
      <c r="AH45" s="685">
        <f t="shared" si="30"/>
        <v>2309507.2514040484</v>
      </c>
      <c r="AI45" s="685">
        <f t="shared" si="30"/>
        <v>272890603.35841841</v>
      </c>
      <c r="AJ45" s="685">
        <f t="shared" si="30"/>
        <v>36956905.50296317</v>
      </c>
      <c r="AK45" s="685">
        <f t="shared" si="30"/>
        <v>163824231.04219255</v>
      </c>
      <c r="AL45" s="685">
        <f t="shared" si="30"/>
        <v>20186827.125987336</v>
      </c>
      <c r="AM45" s="685">
        <f t="shared" si="30"/>
        <v>2758075503.5735326</v>
      </c>
      <c r="AN45" s="685">
        <f t="shared" si="30"/>
        <v>89692674.979904935</v>
      </c>
      <c r="AO45" s="685">
        <f t="shared" si="30"/>
        <v>2976952085.4128609</v>
      </c>
      <c r="AP45" s="685">
        <f t="shared" si="30"/>
        <v>175537406.53022635</v>
      </c>
      <c r="AQ45" s="685">
        <f t="shared" si="30"/>
        <v>1701995710.0323973</v>
      </c>
      <c r="AR45" s="685">
        <f t="shared" si="30"/>
        <v>204055711.43459466</v>
      </c>
      <c r="AS45" s="685">
        <f t="shared" si="30"/>
        <v>16780573.390723065</v>
      </c>
      <c r="AT45" s="685">
        <f t="shared" si="30"/>
        <v>880867797.06432343</v>
      </c>
      <c r="AU45" s="685">
        <f t="shared" si="30"/>
        <v>471825373.9634583</v>
      </c>
      <c r="AV45" s="685">
        <f t="shared" si="30"/>
        <v>5243745.444368015</v>
      </c>
      <c r="AW45" s="685">
        <f t="shared" si="30"/>
        <v>80077384.492004961</v>
      </c>
      <c r="AX45" s="685">
        <f t="shared" si="30"/>
        <v>56963861.300167389</v>
      </c>
      <c r="AY45" s="685">
        <f t="shared" si="30"/>
        <v>128749625.10595427</v>
      </c>
      <c r="AZ45" s="685">
        <f t="shared" si="30"/>
        <v>22087080.056055885</v>
      </c>
      <c r="BA45" s="685">
        <f t="shared" si="30"/>
        <v>50498243.11048492</v>
      </c>
      <c r="BB45" s="685">
        <f t="shared" si="30"/>
        <v>488081358.77522486</v>
      </c>
      <c r="BC45" s="685">
        <f t="shared" si="30"/>
        <v>115741728.68116337</v>
      </c>
      <c r="BD45" s="685">
        <f t="shared" si="30"/>
        <v>11916599.927712876</v>
      </c>
      <c r="BE45" s="685">
        <f t="shared" si="30"/>
        <v>1073139.5557299703</v>
      </c>
      <c r="BF45" s="685">
        <f t="shared" si="30"/>
        <v>58483.511634385002</v>
      </c>
      <c r="BG45" s="685">
        <f t="shared" si="30"/>
        <v>4905896.1155398525</v>
      </c>
      <c r="BH45" s="685">
        <f t="shared" si="30"/>
        <v>14387620.918237157</v>
      </c>
      <c r="BI45" s="685">
        <f t="shared" si="30"/>
        <v>34510979.506589301</v>
      </c>
      <c r="BJ45" s="685">
        <f t="shared" si="30"/>
        <v>6494885.7915597726</v>
      </c>
      <c r="BK45" s="685">
        <f t="shared" si="30"/>
        <v>2014760.8653105369</v>
      </c>
      <c r="BL45" s="685">
        <f t="shared" si="30"/>
        <v>1881846.0327021349</v>
      </c>
      <c r="BM45" s="685">
        <f t="shared" si="30"/>
        <v>3936030.7577288891</v>
      </c>
      <c r="BN45" s="685">
        <f t="shared" si="30"/>
        <v>2542354.7303674161</v>
      </c>
      <c r="BO45" s="685">
        <f t="shared" si="30"/>
        <v>100607.99461378809</v>
      </c>
      <c r="BP45" s="685">
        <f t="shared" si="30"/>
        <v>21485116000</v>
      </c>
      <c r="BQ45" s="685">
        <f t="shared" si="30"/>
        <v>64081999.174366102</v>
      </c>
      <c r="BR45" s="685">
        <f t="shared" si="30"/>
        <v>1633360430.142345</v>
      </c>
      <c r="BS45" s="685">
        <f t="shared" si="30"/>
        <v>314291570.68328899</v>
      </c>
      <c r="BT45" s="685">
        <f t="shared" si="30"/>
        <v>23496850000</v>
      </c>
      <c r="BU45" s="685">
        <f t="shared" si="30"/>
        <v>446658525.7060315</v>
      </c>
      <c r="BV45" s="689"/>
      <c r="BW45" s="685">
        <f t="shared" ref="BW45:CN45" si="31">SUM(BW24:BW35)</f>
        <v>10674853000</v>
      </c>
      <c r="BX45" s="685">
        <f t="shared" si="31"/>
        <v>2309000</v>
      </c>
      <c r="BY45" s="685">
        <f t="shared" si="31"/>
        <v>3132576000</v>
      </c>
      <c r="BZ45" s="685">
        <f t="shared" si="31"/>
        <v>3317386000</v>
      </c>
      <c r="CA45" s="685">
        <f t="shared" si="31"/>
        <v>1926238000</v>
      </c>
      <c r="CB45" s="685">
        <f t="shared" si="31"/>
        <v>16780000</v>
      </c>
      <c r="CC45" s="685">
        <f t="shared" si="31"/>
        <v>1389650000</v>
      </c>
      <c r="CD45" s="685">
        <f t="shared" si="31"/>
        <v>5243000</v>
      </c>
      <c r="CE45" s="685">
        <f t="shared" si="31"/>
        <v>128750000</v>
      </c>
      <c r="CF45" s="685">
        <f t="shared" si="31"/>
        <v>137042000</v>
      </c>
      <c r="CG45" s="685">
        <f t="shared" si="31"/>
        <v>72585000</v>
      </c>
      <c r="CH45" s="685">
        <f t="shared" si="31"/>
        <v>603824000</v>
      </c>
      <c r="CI45" s="685">
        <f t="shared" si="31"/>
        <v>70841000</v>
      </c>
      <c r="CJ45" s="685">
        <f t="shared" si="31"/>
        <v>7039000</v>
      </c>
      <c r="CK45" s="685">
        <f t="shared" si="31"/>
        <v>2458393000</v>
      </c>
      <c r="CL45" s="685">
        <f t="shared" si="31"/>
        <v>23943509000</v>
      </c>
      <c r="CM45" s="685">
        <f t="shared" si="31"/>
        <v>23943509000</v>
      </c>
      <c r="CN45" s="685">
        <f t="shared" si="31"/>
        <v>0</v>
      </c>
    </row>
    <row r="46" spans="1:92">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8"/>
      <c r="BU46" s="688"/>
    </row>
    <row r="47" spans="1:92">
      <c r="AC47" s="684" t="s">
        <v>834</v>
      </c>
      <c r="BT47" s="688"/>
      <c r="BY47" s="686">
        <f>+'Production Factor'!G14</f>
        <v>853998</v>
      </c>
      <c r="BZ47" s="686">
        <f>+'Production Factor'!G15</f>
        <v>6794968</v>
      </c>
      <c r="CA47" s="686">
        <f>+'Production Factor'!G16</f>
        <v>44108557</v>
      </c>
      <c r="CB47" s="686"/>
      <c r="CC47" s="686">
        <f>+'Production Factor'!G21</f>
        <v>110833086</v>
      </c>
      <c r="CD47" s="686"/>
      <c r="CE47" s="686"/>
      <c r="CF47" s="686">
        <f>SUM(BY47:CC47)</f>
        <v>162590609</v>
      </c>
    </row>
    <row r="48" spans="1:92">
      <c r="BT48" s="688"/>
      <c r="BY48" s="687">
        <f>+BY47/$CF$47</f>
        <v>5.2524435774762368E-3</v>
      </c>
      <c r="BZ48" s="687">
        <f>+BZ47/$CF$47</f>
        <v>4.1791884794527091E-2</v>
      </c>
      <c r="CA48" s="687">
        <f>+CA47/$CF$47</f>
        <v>0.27128600643841611</v>
      </c>
      <c r="CB48" s="687"/>
      <c r="CC48" s="687">
        <f>+CC47/$CF$47</f>
        <v>0.6816696651895805</v>
      </c>
      <c r="CD48" s="686"/>
      <c r="CE48" s="686"/>
      <c r="CF48" s="686"/>
    </row>
    <row r="49" spans="77:84">
      <c r="BY49" s="686">
        <f>ROUND(+BY48*$CF$45,-3)</f>
        <v>720000</v>
      </c>
      <c r="BZ49" s="686">
        <f>ROUND(+BZ48*$CF$45,-3)</f>
        <v>5727000</v>
      </c>
      <c r="CA49" s="686">
        <f>ROUND(+CA48*$CF$45,-3)</f>
        <v>37178000</v>
      </c>
      <c r="CB49" s="686"/>
      <c r="CC49" s="686">
        <f>ROUND(+CC48*$CF$45,-3)</f>
        <v>93417000</v>
      </c>
      <c r="CD49" s="686"/>
      <c r="CE49" s="686"/>
      <c r="CF49" s="686">
        <f>SUM(BY49:CC49)</f>
        <v>137042000</v>
      </c>
    </row>
    <row r="51" spans="77:84">
      <c r="BY51" s="685">
        <f>+BY49+BY45</f>
        <v>3133296000</v>
      </c>
      <c r="BZ51" s="685">
        <f>+BZ49+BZ45</f>
        <v>3323113000</v>
      </c>
      <c r="CA51" s="685">
        <f>+CA49+CA45</f>
        <v>1963416000</v>
      </c>
      <c r="CC51" s="685">
        <f>+CC49+CC45</f>
        <v>1483067000</v>
      </c>
      <c r="CF51" s="685">
        <f>+CF49-CF45</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8"/>
  <sheetViews>
    <sheetView zoomScaleNormal="100" workbookViewId="0">
      <pane xSplit="4" ySplit="6" topLeftCell="E46" activePane="bottomRight" state="frozen"/>
      <selection activeCell="AF50" sqref="AF50"/>
      <selection pane="topRight" activeCell="AF50" sqref="AF50"/>
      <selection pane="bottomLeft" activeCell="AF50" sqref="AF50"/>
      <selection pane="bottomRight" activeCell="AF50" sqref="AF50"/>
    </sheetView>
  </sheetViews>
  <sheetFormatPr defaultRowHeight="12.75" outlineLevelCol="1"/>
  <cols>
    <col min="1" max="2" width="9.140625" style="738"/>
    <col min="3" max="3" width="9.140625" style="738" customWidth="1" outlineLevel="1"/>
    <col min="4" max="4" width="2.7109375" style="738" customWidth="1"/>
    <col min="5" max="6" width="12.42578125" style="738" bestFit="1" customWidth="1"/>
    <col min="7" max="7" width="11" style="738" bestFit="1" customWidth="1"/>
    <col min="8" max="8" width="9.140625" style="738" bestFit="1" customWidth="1"/>
    <col min="9" max="9" width="9" style="738" bestFit="1" customWidth="1"/>
    <col min="10" max="10" width="14.7109375" style="738" bestFit="1" customWidth="1"/>
    <col min="11" max="11" width="13.28515625" style="738" bestFit="1" customWidth="1"/>
    <col min="12" max="12" width="15.28515625" style="738" customWidth="1"/>
    <col min="13" max="13" width="12.7109375" style="738" bestFit="1" customWidth="1"/>
    <col min="14" max="14" width="18.5703125" style="738" customWidth="1"/>
    <col min="15" max="15" width="14.140625" style="738" customWidth="1"/>
    <col min="16" max="16" width="14.42578125" style="739" customWidth="1"/>
    <col min="17" max="18" width="11" style="738" hidden="1" customWidth="1" outlineLevel="1"/>
    <col min="19" max="19" width="10" style="738" hidden="1" customWidth="1" outlineLevel="1"/>
    <col min="20" max="20" width="9" style="738" hidden="1" customWidth="1" outlineLevel="1"/>
    <col min="21" max="21" width="6.5703125" style="738" hidden="1" customWidth="1" outlineLevel="1"/>
    <col min="22" max="22" width="12.5703125" style="738" hidden="1" customWidth="1" outlineLevel="1"/>
    <col min="23" max="23" width="10" style="738" hidden="1" customWidth="1" outlineLevel="1"/>
    <col min="24" max="24" width="11" style="738" hidden="1" customWidth="1" outlineLevel="1"/>
    <col min="25" max="25" width="12.5703125" style="738" hidden="1" customWidth="1" outlineLevel="1"/>
    <col min="26" max="26" width="18.42578125" style="738" hidden="1" customWidth="1" outlineLevel="1"/>
    <col min="27" max="27" width="13.5703125" style="738" hidden="1" customWidth="1" outlineLevel="1"/>
    <col min="28" max="28" width="2.5703125" style="739" customWidth="1" collapsed="1"/>
    <col min="29" max="16384" width="9.140625" style="738"/>
  </cols>
  <sheetData>
    <row r="1" spans="1:27" ht="31.5">
      <c r="A1" s="769" t="s">
        <v>921</v>
      </c>
      <c r="E1" s="739"/>
      <c r="F1" s="739"/>
      <c r="G1" s="739"/>
      <c r="H1" s="739"/>
      <c r="I1" s="739"/>
      <c r="J1" s="739"/>
      <c r="K1" s="739"/>
      <c r="L1" s="739"/>
      <c r="M1" s="739"/>
      <c r="N1" s="739"/>
      <c r="O1" s="739"/>
    </row>
    <row r="2" spans="1:27" ht="21">
      <c r="A2" s="768" t="s">
        <v>920</v>
      </c>
      <c r="E2" s="739"/>
      <c r="F2" s="739"/>
      <c r="G2" s="739"/>
      <c r="H2" s="739"/>
      <c r="I2" s="739"/>
      <c r="J2" s="739"/>
      <c r="K2" s="739"/>
      <c r="L2" s="739"/>
      <c r="M2" s="739"/>
      <c r="N2" s="739"/>
      <c r="O2" s="739"/>
      <c r="P2" s="739" t="s">
        <v>919</v>
      </c>
      <c r="Q2" s="739"/>
      <c r="R2" s="739"/>
    </row>
    <row r="3" spans="1:27" ht="13.5" thickBot="1">
      <c r="A3" s="739" t="s">
        <v>918</v>
      </c>
      <c r="B3" s="739"/>
      <c r="C3" s="739"/>
      <c r="D3" s="739"/>
      <c r="E3" s="739"/>
      <c r="F3" s="739"/>
      <c r="G3" s="739"/>
      <c r="H3" s="739"/>
      <c r="I3" s="739"/>
      <c r="J3" s="739"/>
      <c r="K3" s="739"/>
      <c r="L3" s="739"/>
      <c r="M3" s="739"/>
      <c r="N3" s="739"/>
      <c r="O3" s="739"/>
    </row>
    <row r="4" spans="1:27">
      <c r="A4" s="739"/>
      <c r="B4" s="739"/>
      <c r="C4" s="739"/>
      <c r="D4" s="739"/>
      <c r="E4" s="856" t="s">
        <v>917</v>
      </c>
      <c r="F4" s="857"/>
      <c r="G4" s="857"/>
      <c r="H4" s="857"/>
      <c r="I4" s="857"/>
      <c r="J4" s="857"/>
      <c r="K4" s="857"/>
      <c r="L4" s="857"/>
      <c r="M4" s="857"/>
      <c r="N4" s="857"/>
      <c r="O4" s="858"/>
      <c r="Q4" s="856" t="s">
        <v>916</v>
      </c>
      <c r="R4" s="857"/>
      <c r="S4" s="857"/>
      <c r="T4" s="857"/>
      <c r="U4" s="857"/>
      <c r="V4" s="857"/>
      <c r="W4" s="857"/>
      <c r="X4" s="857"/>
      <c r="Y4" s="857"/>
      <c r="Z4" s="857"/>
      <c r="AA4" s="858"/>
    </row>
    <row r="5" spans="1:27">
      <c r="A5" s="742" t="s">
        <v>633</v>
      </c>
      <c r="B5" s="742" t="s">
        <v>895</v>
      </c>
      <c r="C5" s="742" t="s">
        <v>240</v>
      </c>
      <c r="D5" s="739"/>
      <c r="E5" s="767" t="s">
        <v>813</v>
      </c>
      <c r="F5" s="766" t="s">
        <v>898</v>
      </c>
      <c r="G5" s="766" t="s">
        <v>897</v>
      </c>
      <c r="H5" s="766" t="s">
        <v>915</v>
      </c>
      <c r="I5" s="766" t="s">
        <v>900</v>
      </c>
      <c r="J5" s="766" t="s">
        <v>914</v>
      </c>
      <c r="K5" s="766" t="s">
        <v>913</v>
      </c>
      <c r="L5" s="766" t="s">
        <v>912</v>
      </c>
      <c r="M5" s="766" t="s">
        <v>911</v>
      </c>
      <c r="N5" s="766" t="s">
        <v>910</v>
      </c>
      <c r="O5" s="765" t="s">
        <v>909</v>
      </c>
      <c r="Q5" s="767" t="s">
        <v>813</v>
      </c>
      <c r="R5" s="766" t="s">
        <v>898</v>
      </c>
      <c r="S5" s="766" t="s">
        <v>897</v>
      </c>
      <c r="T5" s="766" t="s">
        <v>915</v>
      </c>
      <c r="U5" s="766" t="s">
        <v>900</v>
      </c>
      <c r="V5" s="766" t="s">
        <v>914</v>
      </c>
      <c r="W5" s="766" t="s">
        <v>913</v>
      </c>
      <c r="X5" s="766" t="s">
        <v>912</v>
      </c>
      <c r="Y5" s="766" t="s">
        <v>911</v>
      </c>
      <c r="Z5" s="766" t="s">
        <v>910</v>
      </c>
      <c r="AA5" s="765" t="s">
        <v>909</v>
      </c>
    </row>
    <row r="6" spans="1:27" ht="3" customHeight="1" thickBot="1">
      <c r="A6" s="739"/>
      <c r="B6" s="739"/>
      <c r="C6" s="739"/>
      <c r="D6" s="739"/>
      <c r="E6" s="764"/>
      <c r="F6" s="763"/>
      <c r="G6" s="763"/>
      <c r="H6" s="763"/>
      <c r="I6" s="763"/>
      <c r="J6" s="763"/>
      <c r="K6" s="763"/>
      <c r="L6" s="763"/>
      <c r="M6" s="763"/>
      <c r="N6" s="763"/>
      <c r="O6" s="762"/>
      <c r="Q6" s="764"/>
      <c r="R6" s="763"/>
      <c r="S6" s="763"/>
      <c r="T6" s="763"/>
      <c r="U6" s="763"/>
      <c r="V6" s="763"/>
      <c r="W6" s="763"/>
      <c r="X6" s="763"/>
      <c r="Y6" s="763"/>
      <c r="Z6" s="763"/>
      <c r="AA6" s="762"/>
    </row>
    <row r="7" spans="1:27">
      <c r="A7" s="742">
        <v>2018</v>
      </c>
      <c r="B7" s="742"/>
      <c r="C7" s="746"/>
      <c r="D7" s="739"/>
      <c r="E7" s="760">
        <f t="shared" ref="E7:O16" si="0">SUMIF($A$30:$A$293,$A7,E$30:E$293)</f>
        <v>10804651</v>
      </c>
      <c r="F7" s="759">
        <f t="shared" si="0"/>
        <v>9317909</v>
      </c>
      <c r="G7" s="759">
        <f t="shared" si="0"/>
        <v>1248404</v>
      </c>
      <c r="H7" s="759">
        <f t="shared" si="0"/>
        <v>78520</v>
      </c>
      <c r="I7" s="759">
        <f t="shared" si="0"/>
        <v>7036</v>
      </c>
      <c r="J7" s="759">
        <f t="shared" si="0"/>
        <v>21456520</v>
      </c>
      <c r="K7" s="759">
        <f t="shared" si="0"/>
        <v>1639842</v>
      </c>
      <c r="L7" s="759">
        <f t="shared" si="0"/>
        <v>23096362</v>
      </c>
      <c r="M7" s="759">
        <f t="shared" si="0"/>
        <v>23036</v>
      </c>
      <c r="N7" s="759">
        <f t="shared" si="0"/>
        <v>1761</v>
      </c>
      <c r="O7" s="761">
        <f t="shared" si="0"/>
        <v>23121159</v>
      </c>
      <c r="Q7" s="760">
        <f t="shared" ref="Q7:AA16" si="1">SUMIF($A$30:$A$293,$A7,Q$30:Q$293)</f>
        <v>10851163</v>
      </c>
      <c r="R7" s="759">
        <f t="shared" si="1"/>
        <v>9389522</v>
      </c>
      <c r="S7" s="759">
        <f t="shared" si="1"/>
        <v>1253463</v>
      </c>
      <c r="T7" s="759">
        <f t="shared" si="1"/>
        <v>78520</v>
      </c>
      <c r="U7" s="759">
        <f t="shared" si="1"/>
        <v>7036</v>
      </c>
      <c r="V7" s="759">
        <f t="shared" si="1"/>
        <v>21579704</v>
      </c>
      <c r="W7" s="759">
        <f t="shared" si="1"/>
        <v>1649256</v>
      </c>
      <c r="X7" s="759">
        <f t="shared" si="1"/>
        <v>23228960</v>
      </c>
      <c r="Y7" s="759">
        <f t="shared" si="1"/>
        <v>23036</v>
      </c>
      <c r="Z7" s="759">
        <f t="shared" si="1"/>
        <v>1761</v>
      </c>
      <c r="AA7" s="761">
        <f t="shared" si="1"/>
        <v>23253757</v>
      </c>
    </row>
    <row r="8" spans="1:27">
      <c r="A8" s="742">
        <f t="shared" ref="A8:A28" si="2">A7+1</f>
        <v>2019</v>
      </c>
      <c r="B8" s="742"/>
      <c r="C8" s="746"/>
      <c r="D8" s="739"/>
      <c r="E8" s="748">
        <f t="shared" si="0"/>
        <v>10810545</v>
      </c>
      <c r="F8" s="741">
        <f t="shared" si="0"/>
        <v>9378080</v>
      </c>
      <c r="G8" s="741">
        <f t="shared" si="0"/>
        <v>1263528</v>
      </c>
      <c r="H8" s="741">
        <f t="shared" si="0"/>
        <v>78229</v>
      </c>
      <c r="I8" s="741">
        <f t="shared" si="0"/>
        <v>7036</v>
      </c>
      <c r="J8" s="741">
        <f t="shared" si="0"/>
        <v>21537418</v>
      </c>
      <c r="K8" s="741">
        <f t="shared" si="0"/>
        <v>1646024</v>
      </c>
      <c r="L8" s="741">
        <f t="shared" si="0"/>
        <v>23183442</v>
      </c>
      <c r="M8" s="741">
        <f t="shared" si="0"/>
        <v>23036</v>
      </c>
      <c r="N8" s="741">
        <f t="shared" si="0"/>
        <v>1761</v>
      </c>
      <c r="O8" s="747">
        <f t="shared" si="0"/>
        <v>23208239</v>
      </c>
      <c r="Q8" s="748">
        <f t="shared" si="1"/>
        <v>11003701</v>
      </c>
      <c r="R8" s="741">
        <f t="shared" si="1"/>
        <v>10059194</v>
      </c>
      <c r="S8" s="741">
        <f t="shared" si="1"/>
        <v>1282140</v>
      </c>
      <c r="T8" s="741">
        <f t="shared" si="1"/>
        <v>78229</v>
      </c>
      <c r="U8" s="741">
        <f t="shared" si="1"/>
        <v>7036</v>
      </c>
      <c r="V8" s="741">
        <f t="shared" si="1"/>
        <v>22430300</v>
      </c>
      <c r="W8" s="741">
        <f t="shared" si="1"/>
        <v>1714265</v>
      </c>
      <c r="X8" s="741">
        <f t="shared" si="1"/>
        <v>24144565</v>
      </c>
      <c r="Y8" s="741">
        <f t="shared" si="1"/>
        <v>23036</v>
      </c>
      <c r="Z8" s="741">
        <f t="shared" si="1"/>
        <v>1761</v>
      </c>
      <c r="AA8" s="747">
        <f t="shared" si="1"/>
        <v>24169362</v>
      </c>
    </row>
    <row r="9" spans="1:27">
      <c r="A9" s="742">
        <f t="shared" si="2"/>
        <v>2020</v>
      </c>
      <c r="B9" s="742"/>
      <c r="C9" s="746"/>
      <c r="D9" s="739"/>
      <c r="E9" s="748">
        <f t="shared" si="0"/>
        <v>10767874</v>
      </c>
      <c r="F9" s="741">
        <f t="shared" si="0"/>
        <v>9538442</v>
      </c>
      <c r="G9" s="741">
        <f t="shared" si="0"/>
        <v>1198019</v>
      </c>
      <c r="H9" s="741">
        <f t="shared" si="0"/>
        <v>77908</v>
      </c>
      <c r="I9" s="741">
        <f t="shared" si="0"/>
        <v>7067</v>
      </c>
      <c r="J9" s="741">
        <f t="shared" si="0"/>
        <v>21589310</v>
      </c>
      <c r="K9" s="741">
        <f t="shared" si="0"/>
        <v>1649990</v>
      </c>
      <c r="L9" s="741">
        <f t="shared" si="0"/>
        <v>23239300</v>
      </c>
      <c r="M9" s="741">
        <f t="shared" si="0"/>
        <v>23784</v>
      </c>
      <c r="N9" s="741">
        <f t="shared" si="0"/>
        <v>1817</v>
      </c>
      <c r="O9" s="747">
        <f t="shared" si="0"/>
        <v>23264901</v>
      </c>
      <c r="Q9" s="748">
        <f t="shared" si="1"/>
        <v>11180043</v>
      </c>
      <c r="R9" s="741">
        <f t="shared" si="1"/>
        <v>10443236</v>
      </c>
      <c r="S9" s="741">
        <f t="shared" si="1"/>
        <v>1237199</v>
      </c>
      <c r="T9" s="741">
        <f t="shared" si="1"/>
        <v>77908</v>
      </c>
      <c r="U9" s="741">
        <f t="shared" si="1"/>
        <v>7067</v>
      </c>
      <c r="V9" s="741">
        <f t="shared" si="1"/>
        <v>22945453</v>
      </c>
      <c r="W9" s="741">
        <f t="shared" si="1"/>
        <v>1753636</v>
      </c>
      <c r="X9" s="741">
        <f t="shared" si="1"/>
        <v>24699089</v>
      </c>
      <c r="Y9" s="741">
        <f t="shared" si="1"/>
        <v>23784</v>
      </c>
      <c r="Z9" s="741">
        <f t="shared" si="1"/>
        <v>1817</v>
      </c>
      <c r="AA9" s="747">
        <f t="shared" si="1"/>
        <v>24724690</v>
      </c>
    </row>
    <row r="10" spans="1:27">
      <c r="A10" s="742">
        <f t="shared" si="2"/>
        <v>2021</v>
      </c>
      <c r="B10" s="742"/>
      <c r="C10" s="746"/>
      <c r="D10" s="739"/>
      <c r="E10" s="748">
        <f t="shared" si="0"/>
        <v>10514979</v>
      </c>
      <c r="F10" s="741">
        <f t="shared" si="0"/>
        <v>9500538</v>
      </c>
      <c r="G10" s="741">
        <f t="shared" si="0"/>
        <v>1112848</v>
      </c>
      <c r="H10" s="741">
        <f t="shared" si="0"/>
        <v>76439</v>
      </c>
      <c r="I10" s="741">
        <f t="shared" si="0"/>
        <v>7041</v>
      </c>
      <c r="J10" s="741">
        <f t="shared" si="0"/>
        <v>21211845</v>
      </c>
      <c r="K10" s="741">
        <f t="shared" si="0"/>
        <v>1621143</v>
      </c>
      <c r="L10" s="741">
        <f t="shared" si="0"/>
        <v>22832988</v>
      </c>
      <c r="M10" s="741">
        <f t="shared" si="0"/>
        <v>23700</v>
      </c>
      <c r="N10" s="741">
        <f t="shared" si="0"/>
        <v>1811</v>
      </c>
      <c r="O10" s="747">
        <f t="shared" si="0"/>
        <v>22858499</v>
      </c>
      <c r="Q10" s="748">
        <f t="shared" si="1"/>
        <v>11207766</v>
      </c>
      <c r="R10" s="741">
        <f t="shared" si="1"/>
        <v>10719265</v>
      </c>
      <c r="S10" s="741">
        <f t="shared" si="1"/>
        <v>1181701</v>
      </c>
      <c r="T10" s="741">
        <f t="shared" si="1"/>
        <v>76439</v>
      </c>
      <c r="U10" s="741">
        <f t="shared" si="1"/>
        <v>7041</v>
      </c>
      <c r="V10" s="741">
        <f t="shared" si="1"/>
        <v>23192212</v>
      </c>
      <c r="W10" s="741">
        <f t="shared" si="1"/>
        <v>1772496</v>
      </c>
      <c r="X10" s="741">
        <f t="shared" si="1"/>
        <v>24964708</v>
      </c>
      <c r="Y10" s="741">
        <f t="shared" si="1"/>
        <v>23700</v>
      </c>
      <c r="Z10" s="741">
        <f t="shared" si="1"/>
        <v>1811</v>
      </c>
      <c r="AA10" s="747">
        <f t="shared" si="1"/>
        <v>24990219</v>
      </c>
    </row>
    <row r="11" spans="1:27">
      <c r="A11" s="742">
        <f t="shared" si="2"/>
        <v>2022</v>
      </c>
      <c r="B11" s="742"/>
      <c r="C11" s="746"/>
      <c r="D11" s="739"/>
      <c r="E11" s="748">
        <f t="shared" si="0"/>
        <v>10353606</v>
      </c>
      <c r="F11" s="741">
        <f t="shared" si="0"/>
        <v>9204709</v>
      </c>
      <c r="G11" s="741">
        <f t="shared" si="0"/>
        <v>1061115</v>
      </c>
      <c r="H11" s="741">
        <f t="shared" si="0"/>
        <v>75261</v>
      </c>
      <c r="I11" s="741">
        <f t="shared" si="0"/>
        <v>7041</v>
      </c>
      <c r="J11" s="741">
        <f t="shared" si="0"/>
        <v>20701732</v>
      </c>
      <c r="K11" s="741">
        <f t="shared" si="0"/>
        <v>1582154</v>
      </c>
      <c r="L11" s="741">
        <f t="shared" si="0"/>
        <v>22283886</v>
      </c>
      <c r="M11" s="741">
        <f t="shared" si="0"/>
        <v>23700</v>
      </c>
      <c r="N11" s="741">
        <f t="shared" si="0"/>
        <v>1811</v>
      </c>
      <c r="O11" s="747">
        <f t="shared" si="0"/>
        <v>22309397</v>
      </c>
      <c r="Q11" s="748">
        <f t="shared" si="1"/>
        <v>11259679</v>
      </c>
      <c r="R11" s="741">
        <f t="shared" si="1"/>
        <v>10657849</v>
      </c>
      <c r="S11" s="741">
        <f t="shared" si="1"/>
        <v>1159475</v>
      </c>
      <c r="T11" s="741">
        <f t="shared" si="1"/>
        <v>75261</v>
      </c>
      <c r="U11" s="741">
        <f t="shared" si="1"/>
        <v>7041</v>
      </c>
      <c r="V11" s="741">
        <f t="shared" si="1"/>
        <v>23159305</v>
      </c>
      <c r="W11" s="741">
        <f t="shared" si="1"/>
        <v>1769980</v>
      </c>
      <c r="X11" s="741">
        <f t="shared" si="1"/>
        <v>24929285</v>
      </c>
      <c r="Y11" s="741">
        <f t="shared" si="1"/>
        <v>23700</v>
      </c>
      <c r="Z11" s="741">
        <f t="shared" si="1"/>
        <v>1811</v>
      </c>
      <c r="AA11" s="747">
        <f t="shared" si="1"/>
        <v>24954796</v>
      </c>
    </row>
    <row r="12" spans="1:27">
      <c r="A12" s="742">
        <f t="shared" si="2"/>
        <v>2023</v>
      </c>
      <c r="B12" s="742"/>
      <c r="C12" s="746"/>
      <c r="D12" s="739"/>
      <c r="E12" s="748">
        <f t="shared" si="0"/>
        <v>10369218</v>
      </c>
      <c r="F12" s="741">
        <f t="shared" si="0"/>
        <v>9180045</v>
      </c>
      <c r="G12" s="741">
        <f t="shared" si="0"/>
        <v>1034072</v>
      </c>
      <c r="H12" s="741">
        <f t="shared" si="0"/>
        <v>74487</v>
      </c>
      <c r="I12" s="741">
        <f t="shared" si="0"/>
        <v>7041</v>
      </c>
      <c r="J12" s="741">
        <f t="shared" si="0"/>
        <v>20664863</v>
      </c>
      <c r="K12" s="741">
        <f t="shared" si="0"/>
        <v>1579337</v>
      </c>
      <c r="L12" s="741">
        <f t="shared" si="0"/>
        <v>22244200</v>
      </c>
      <c r="M12" s="741">
        <f t="shared" si="0"/>
        <v>23700</v>
      </c>
      <c r="N12" s="741">
        <f t="shared" si="0"/>
        <v>1811</v>
      </c>
      <c r="O12" s="747">
        <f t="shared" si="0"/>
        <v>22269711</v>
      </c>
      <c r="Q12" s="748">
        <f t="shared" si="1"/>
        <v>11423870</v>
      </c>
      <c r="R12" s="741">
        <f t="shared" si="1"/>
        <v>10782187</v>
      </c>
      <c r="S12" s="741">
        <f t="shared" si="1"/>
        <v>1161675</v>
      </c>
      <c r="T12" s="741">
        <f t="shared" si="1"/>
        <v>74487</v>
      </c>
      <c r="U12" s="741">
        <f t="shared" si="1"/>
        <v>7041</v>
      </c>
      <c r="V12" s="741">
        <f t="shared" si="1"/>
        <v>23449260</v>
      </c>
      <c r="W12" s="741">
        <f t="shared" si="1"/>
        <v>1792139</v>
      </c>
      <c r="X12" s="741">
        <f t="shared" si="1"/>
        <v>25241399</v>
      </c>
      <c r="Y12" s="741">
        <f t="shared" si="1"/>
        <v>23700</v>
      </c>
      <c r="Z12" s="741">
        <f t="shared" si="1"/>
        <v>1811</v>
      </c>
      <c r="AA12" s="747">
        <f t="shared" si="1"/>
        <v>25266910</v>
      </c>
    </row>
    <row r="13" spans="1:27">
      <c r="A13" s="742">
        <f t="shared" si="2"/>
        <v>2024</v>
      </c>
      <c r="B13" s="742"/>
      <c r="C13" s="746"/>
      <c r="D13" s="739"/>
      <c r="E13" s="748">
        <f t="shared" si="0"/>
        <v>10467302</v>
      </c>
      <c r="F13" s="741">
        <f t="shared" si="0"/>
        <v>9197833</v>
      </c>
      <c r="G13" s="741">
        <f t="shared" si="0"/>
        <v>1029940</v>
      </c>
      <c r="H13" s="741">
        <f t="shared" si="0"/>
        <v>73874</v>
      </c>
      <c r="I13" s="741">
        <f t="shared" si="0"/>
        <v>7070</v>
      </c>
      <c r="J13" s="741">
        <f t="shared" si="0"/>
        <v>20776019</v>
      </c>
      <c r="K13" s="741">
        <f t="shared" si="0"/>
        <v>1587834</v>
      </c>
      <c r="L13" s="741">
        <f t="shared" si="0"/>
        <v>22363853</v>
      </c>
      <c r="M13" s="741">
        <f t="shared" si="0"/>
        <v>23784</v>
      </c>
      <c r="N13" s="741">
        <f t="shared" si="0"/>
        <v>1817</v>
      </c>
      <c r="O13" s="747">
        <f t="shared" si="0"/>
        <v>22389454</v>
      </c>
      <c r="Q13" s="748">
        <f t="shared" si="1"/>
        <v>11662658</v>
      </c>
      <c r="R13" s="741">
        <f t="shared" si="1"/>
        <v>10934379</v>
      </c>
      <c r="S13" s="741">
        <f t="shared" si="1"/>
        <v>1185386</v>
      </c>
      <c r="T13" s="741">
        <f t="shared" si="1"/>
        <v>73874</v>
      </c>
      <c r="U13" s="741">
        <f t="shared" si="1"/>
        <v>7070</v>
      </c>
      <c r="V13" s="741">
        <f t="shared" si="1"/>
        <v>23863367</v>
      </c>
      <c r="W13" s="741">
        <f t="shared" si="1"/>
        <v>1823787</v>
      </c>
      <c r="X13" s="741">
        <f t="shared" si="1"/>
        <v>25687154</v>
      </c>
      <c r="Y13" s="741">
        <f t="shared" si="1"/>
        <v>23784</v>
      </c>
      <c r="Z13" s="741">
        <f t="shared" si="1"/>
        <v>1817</v>
      </c>
      <c r="AA13" s="747">
        <f t="shared" si="1"/>
        <v>25712755</v>
      </c>
    </row>
    <row r="14" spans="1:27">
      <c r="A14" s="742">
        <f t="shared" si="2"/>
        <v>2025</v>
      </c>
      <c r="B14" s="742"/>
      <c r="C14" s="746"/>
      <c r="D14" s="739"/>
      <c r="E14" s="748">
        <f t="shared" si="0"/>
        <v>10493533</v>
      </c>
      <c r="F14" s="741">
        <f t="shared" si="0"/>
        <v>9177253</v>
      </c>
      <c r="G14" s="741">
        <f t="shared" si="0"/>
        <v>988961</v>
      </c>
      <c r="H14" s="741">
        <f t="shared" si="0"/>
        <v>72803</v>
      </c>
      <c r="I14" s="741">
        <f t="shared" si="0"/>
        <v>7041</v>
      </c>
      <c r="J14" s="741">
        <f t="shared" si="0"/>
        <v>20739591</v>
      </c>
      <c r="K14" s="741">
        <f t="shared" si="0"/>
        <v>1585049</v>
      </c>
      <c r="L14" s="741">
        <f t="shared" si="0"/>
        <v>22324640</v>
      </c>
      <c r="M14" s="741">
        <f t="shared" si="0"/>
        <v>23700</v>
      </c>
      <c r="N14" s="741">
        <f t="shared" si="0"/>
        <v>1811</v>
      </c>
      <c r="O14" s="747">
        <f t="shared" si="0"/>
        <v>22350151</v>
      </c>
      <c r="Q14" s="748">
        <f t="shared" si="1"/>
        <v>11825415</v>
      </c>
      <c r="R14" s="741">
        <f t="shared" si="1"/>
        <v>11035732</v>
      </c>
      <c r="S14" s="741">
        <f t="shared" si="1"/>
        <v>1170217</v>
      </c>
      <c r="T14" s="741">
        <f t="shared" si="1"/>
        <v>72803</v>
      </c>
      <c r="U14" s="741">
        <f t="shared" si="1"/>
        <v>7041</v>
      </c>
      <c r="V14" s="741">
        <f t="shared" si="1"/>
        <v>24111208</v>
      </c>
      <c r="W14" s="741">
        <f t="shared" si="1"/>
        <v>1842730</v>
      </c>
      <c r="X14" s="741">
        <f t="shared" si="1"/>
        <v>25953938</v>
      </c>
      <c r="Y14" s="741">
        <f t="shared" si="1"/>
        <v>23700</v>
      </c>
      <c r="Z14" s="741">
        <f t="shared" si="1"/>
        <v>1811</v>
      </c>
      <c r="AA14" s="747">
        <f t="shared" si="1"/>
        <v>25979449</v>
      </c>
    </row>
    <row r="15" spans="1:27">
      <c r="A15" s="742">
        <f t="shared" si="2"/>
        <v>2026</v>
      </c>
      <c r="B15" s="742"/>
      <c r="C15" s="746"/>
      <c r="D15" s="739"/>
      <c r="E15" s="748">
        <f t="shared" si="0"/>
        <v>10564390</v>
      </c>
      <c r="F15" s="741">
        <f t="shared" si="0"/>
        <v>9241780</v>
      </c>
      <c r="G15" s="741">
        <f t="shared" si="0"/>
        <v>930429</v>
      </c>
      <c r="H15" s="741">
        <f t="shared" si="0"/>
        <v>71931</v>
      </c>
      <c r="I15" s="741">
        <f t="shared" si="0"/>
        <v>7041</v>
      </c>
      <c r="J15" s="741">
        <f t="shared" si="0"/>
        <v>20815571</v>
      </c>
      <c r="K15" s="741">
        <f t="shared" si="0"/>
        <v>1590858</v>
      </c>
      <c r="L15" s="741">
        <f t="shared" si="0"/>
        <v>22406429</v>
      </c>
      <c r="M15" s="741">
        <f t="shared" si="0"/>
        <v>23700</v>
      </c>
      <c r="N15" s="741">
        <f t="shared" si="0"/>
        <v>1811</v>
      </c>
      <c r="O15" s="747">
        <f t="shared" si="0"/>
        <v>22431940</v>
      </c>
      <c r="Q15" s="748">
        <f t="shared" si="1"/>
        <v>12026752</v>
      </c>
      <c r="R15" s="741">
        <f t="shared" si="1"/>
        <v>11210249</v>
      </c>
      <c r="S15" s="741">
        <f t="shared" si="1"/>
        <v>1136168</v>
      </c>
      <c r="T15" s="741">
        <f t="shared" si="1"/>
        <v>71931</v>
      </c>
      <c r="U15" s="741">
        <f t="shared" si="1"/>
        <v>7041</v>
      </c>
      <c r="V15" s="741">
        <f t="shared" si="1"/>
        <v>24452141</v>
      </c>
      <c r="W15" s="741">
        <f t="shared" si="1"/>
        <v>1868785</v>
      </c>
      <c r="X15" s="741">
        <f t="shared" si="1"/>
        <v>26320926</v>
      </c>
      <c r="Y15" s="741">
        <f t="shared" si="1"/>
        <v>23700</v>
      </c>
      <c r="Z15" s="741">
        <f t="shared" si="1"/>
        <v>1811</v>
      </c>
      <c r="AA15" s="747">
        <f t="shared" si="1"/>
        <v>26346437</v>
      </c>
    </row>
    <row r="16" spans="1:27">
      <c r="A16" s="742">
        <f t="shared" si="2"/>
        <v>2027</v>
      </c>
      <c r="B16" s="742"/>
      <c r="C16" s="746"/>
      <c r="D16" s="739"/>
      <c r="E16" s="748">
        <f t="shared" si="0"/>
        <v>10624330</v>
      </c>
      <c r="F16" s="741">
        <f t="shared" si="0"/>
        <v>9297643</v>
      </c>
      <c r="G16" s="741">
        <f t="shared" si="0"/>
        <v>888408</v>
      </c>
      <c r="H16" s="741">
        <f t="shared" si="0"/>
        <v>70970</v>
      </c>
      <c r="I16" s="741">
        <f t="shared" si="0"/>
        <v>7041</v>
      </c>
      <c r="J16" s="741">
        <f t="shared" si="0"/>
        <v>20888392</v>
      </c>
      <c r="K16" s="741">
        <f t="shared" si="0"/>
        <v>1596421</v>
      </c>
      <c r="L16" s="741">
        <f t="shared" si="0"/>
        <v>22484813</v>
      </c>
      <c r="M16" s="741">
        <f t="shared" si="0"/>
        <v>23700</v>
      </c>
      <c r="N16" s="741">
        <f t="shared" si="0"/>
        <v>1811</v>
      </c>
      <c r="O16" s="747">
        <f t="shared" si="0"/>
        <v>22510324</v>
      </c>
      <c r="Q16" s="748">
        <f t="shared" si="1"/>
        <v>12213629</v>
      </c>
      <c r="R16" s="741">
        <f t="shared" si="1"/>
        <v>11373128</v>
      </c>
      <c r="S16" s="741">
        <f t="shared" si="1"/>
        <v>1117351</v>
      </c>
      <c r="T16" s="741">
        <f t="shared" si="1"/>
        <v>70970</v>
      </c>
      <c r="U16" s="741">
        <f t="shared" si="1"/>
        <v>7041</v>
      </c>
      <c r="V16" s="741">
        <f t="shared" si="1"/>
        <v>24782119</v>
      </c>
      <c r="W16" s="741">
        <f t="shared" si="1"/>
        <v>1894004</v>
      </c>
      <c r="X16" s="741">
        <f t="shared" si="1"/>
        <v>26676123</v>
      </c>
      <c r="Y16" s="741">
        <f t="shared" si="1"/>
        <v>23700</v>
      </c>
      <c r="Z16" s="741">
        <f t="shared" si="1"/>
        <v>1811</v>
      </c>
      <c r="AA16" s="747">
        <f t="shared" si="1"/>
        <v>26701634</v>
      </c>
    </row>
    <row r="17" spans="1:27">
      <c r="A17" s="742">
        <f t="shared" si="2"/>
        <v>2028</v>
      </c>
      <c r="B17" s="742"/>
      <c r="C17" s="746"/>
      <c r="D17" s="739"/>
      <c r="E17" s="748">
        <f t="shared" ref="E17:O28" si="3">SUMIF($A$30:$A$293,$A17,E$30:E$293)</f>
        <v>10735803</v>
      </c>
      <c r="F17" s="741">
        <f t="shared" si="3"/>
        <v>9403499</v>
      </c>
      <c r="G17" s="741">
        <f t="shared" si="3"/>
        <v>863254</v>
      </c>
      <c r="H17" s="741">
        <f t="shared" si="3"/>
        <v>70111</v>
      </c>
      <c r="I17" s="741">
        <f t="shared" si="3"/>
        <v>7070</v>
      </c>
      <c r="J17" s="741">
        <f t="shared" si="3"/>
        <v>21079737</v>
      </c>
      <c r="K17" s="741">
        <f t="shared" si="3"/>
        <v>1611043</v>
      </c>
      <c r="L17" s="741">
        <f t="shared" si="3"/>
        <v>22690780</v>
      </c>
      <c r="M17" s="741">
        <f t="shared" si="3"/>
        <v>23784</v>
      </c>
      <c r="N17" s="741">
        <f t="shared" si="3"/>
        <v>1817</v>
      </c>
      <c r="O17" s="747">
        <f t="shared" si="3"/>
        <v>22716381</v>
      </c>
      <c r="Q17" s="748">
        <f t="shared" ref="Q17:AA28" si="4">SUMIF($A$30:$A$293,$A17,Q$30:Q$293)</f>
        <v>12440193</v>
      </c>
      <c r="R17" s="741">
        <f t="shared" si="4"/>
        <v>11568331</v>
      </c>
      <c r="S17" s="741">
        <f t="shared" si="4"/>
        <v>1111533</v>
      </c>
      <c r="T17" s="741">
        <f t="shared" si="4"/>
        <v>70111</v>
      </c>
      <c r="U17" s="741">
        <f t="shared" si="4"/>
        <v>7070</v>
      </c>
      <c r="V17" s="741">
        <f t="shared" si="4"/>
        <v>25197238</v>
      </c>
      <c r="W17" s="741">
        <f t="shared" si="4"/>
        <v>1925731</v>
      </c>
      <c r="X17" s="741">
        <f t="shared" si="4"/>
        <v>27122969</v>
      </c>
      <c r="Y17" s="741">
        <f t="shared" si="4"/>
        <v>23784</v>
      </c>
      <c r="Z17" s="741">
        <f t="shared" si="4"/>
        <v>1817</v>
      </c>
      <c r="AA17" s="747">
        <f t="shared" si="4"/>
        <v>27148570</v>
      </c>
    </row>
    <row r="18" spans="1:27">
      <c r="A18" s="742">
        <f t="shared" si="2"/>
        <v>2029</v>
      </c>
      <c r="B18" s="742"/>
      <c r="C18" s="746"/>
      <c r="D18" s="739"/>
      <c r="E18" s="748">
        <f t="shared" si="3"/>
        <v>10764180</v>
      </c>
      <c r="F18" s="741">
        <f t="shared" si="3"/>
        <v>9471398</v>
      </c>
      <c r="G18" s="741">
        <f t="shared" si="3"/>
        <v>837407</v>
      </c>
      <c r="H18" s="741">
        <f t="shared" si="3"/>
        <v>68851</v>
      </c>
      <c r="I18" s="741">
        <f t="shared" si="3"/>
        <v>7041</v>
      </c>
      <c r="J18" s="741">
        <f t="shared" si="3"/>
        <v>21148877</v>
      </c>
      <c r="K18" s="741">
        <f t="shared" si="3"/>
        <v>1616329</v>
      </c>
      <c r="L18" s="741">
        <f t="shared" si="3"/>
        <v>22765206</v>
      </c>
      <c r="M18" s="741">
        <f t="shared" si="3"/>
        <v>24561</v>
      </c>
      <c r="N18" s="741">
        <f t="shared" si="3"/>
        <v>1878</v>
      </c>
      <c r="O18" s="747">
        <f t="shared" si="3"/>
        <v>22791645</v>
      </c>
      <c r="Q18" s="748">
        <f t="shared" si="4"/>
        <v>12562112</v>
      </c>
      <c r="R18" s="741">
        <f t="shared" si="4"/>
        <v>11702050</v>
      </c>
      <c r="S18" s="741">
        <f t="shared" si="4"/>
        <v>1098831</v>
      </c>
      <c r="T18" s="741">
        <f t="shared" si="4"/>
        <v>68851</v>
      </c>
      <c r="U18" s="741">
        <f t="shared" si="4"/>
        <v>7041</v>
      </c>
      <c r="V18" s="741">
        <f t="shared" si="4"/>
        <v>25438885</v>
      </c>
      <c r="W18" s="741">
        <f t="shared" si="4"/>
        <v>1944199</v>
      </c>
      <c r="X18" s="741">
        <f t="shared" si="4"/>
        <v>27383084</v>
      </c>
      <c r="Y18" s="741">
        <f t="shared" si="4"/>
        <v>24561</v>
      </c>
      <c r="Z18" s="741">
        <f t="shared" si="4"/>
        <v>1878</v>
      </c>
      <c r="AA18" s="747">
        <f t="shared" si="4"/>
        <v>27409523</v>
      </c>
    </row>
    <row r="19" spans="1:27">
      <c r="A19" s="742">
        <f t="shared" si="2"/>
        <v>2030</v>
      </c>
      <c r="B19" s="742"/>
      <c r="C19" s="746"/>
      <c r="D19" s="739"/>
      <c r="E19" s="748">
        <f t="shared" si="3"/>
        <v>10857929</v>
      </c>
      <c r="F19" s="741">
        <f t="shared" si="3"/>
        <v>9592430</v>
      </c>
      <c r="G19" s="741">
        <f t="shared" si="3"/>
        <v>819436</v>
      </c>
      <c r="H19" s="741">
        <f t="shared" si="3"/>
        <v>67993</v>
      </c>
      <c r="I19" s="741">
        <f t="shared" si="3"/>
        <v>7041</v>
      </c>
      <c r="J19" s="741">
        <f t="shared" si="3"/>
        <v>21344829</v>
      </c>
      <c r="K19" s="741">
        <f t="shared" si="3"/>
        <v>1631305</v>
      </c>
      <c r="L19" s="741">
        <f t="shared" si="3"/>
        <v>22976134</v>
      </c>
      <c r="M19" s="741">
        <f t="shared" si="3"/>
        <v>24561</v>
      </c>
      <c r="N19" s="741">
        <f t="shared" si="3"/>
        <v>1878</v>
      </c>
      <c r="O19" s="747">
        <f t="shared" si="3"/>
        <v>23002573</v>
      </c>
      <c r="Q19" s="748">
        <f t="shared" si="4"/>
        <v>12733506</v>
      </c>
      <c r="R19" s="741">
        <f t="shared" si="4"/>
        <v>11871197</v>
      </c>
      <c r="S19" s="741">
        <f t="shared" si="4"/>
        <v>1090631</v>
      </c>
      <c r="T19" s="741">
        <f t="shared" si="4"/>
        <v>67993</v>
      </c>
      <c r="U19" s="741">
        <f t="shared" si="4"/>
        <v>7041</v>
      </c>
      <c r="V19" s="741">
        <f t="shared" si="4"/>
        <v>25770368</v>
      </c>
      <c r="W19" s="741">
        <f t="shared" si="4"/>
        <v>1969534</v>
      </c>
      <c r="X19" s="741">
        <f t="shared" si="4"/>
        <v>27739902</v>
      </c>
      <c r="Y19" s="741">
        <f t="shared" si="4"/>
        <v>24561</v>
      </c>
      <c r="Z19" s="741">
        <f t="shared" si="4"/>
        <v>1878</v>
      </c>
      <c r="AA19" s="747">
        <f t="shared" si="4"/>
        <v>27766341</v>
      </c>
    </row>
    <row r="20" spans="1:27">
      <c r="A20" s="742">
        <f t="shared" si="2"/>
        <v>2031</v>
      </c>
      <c r="B20" s="742"/>
      <c r="C20" s="746"/>
      <c r="D20" s="739"/>
      <c r="E20" s="748">
        <f t="shared" si="3"/>
        <v>10984799</v>
      </c>
      <c r="F20" s="741">
        <f t="shared" si="3"/>
        <v>9730113</v>
      </c>
      <c r="G20" s="741">
        <f t="shared" si="3"/>
        <v>802890</v>
      </c>
      <c r="H20" s="741">
        <f t="shared" si="3"/>
        <v>67152</v>
      </c>
      <c r="I20" s="741">
        <f t="shared" si="3"/>
        <v>7041</v>
      </c>
      <c r="J20" s="741">
        <f t="shared" si="3"/>
        <v>21591995</v>
      </c>
      <c r="K20" s="741">
        <f t="shared" si="3"/>
        <v>1650195</v>
      </c>
      <c r="L20" s="741">
        <f t="shared" si="3"/>
        <v>23242190</v>
      </c>
      <c r="M20" s="741">
        <f t="shared" si="3"/>
        <v>24561</v>
      </c>
      <c r="N20" s="741">
        <f t="shared" si="3"/>
        <v>1878</v>
      </c>
      <c r="O20" s="747">
        <f t="shared" si="3"/>
        <v>23268629</v>
      </c>
      <c r="Q20" s="748">
        <f t="shared" si="4"/>
        <v>12935633</v>
      </c>
      <c r="R20" s="741">
        <f t="shared" si="4"/>
        <v>12054454</v>
      </c>
      <c r="S20" s="741">
        <f t="shared" si="4"/>
        <v>1082797</v>
      </c>
      <c r="T20" s="741">
        <f t="shared" si="4"/>
        <v>67152</v>
      </c>
      <c r="U20" s="741">
        <f t="shared" si="4"/>
        <v>7041</v>
      </c>
      <c r="V20" s="741">
        <f t="shared" si="4"/>
        <v>26147077</v>
      </c>
      <c r="W20" s="741">
        <f t="shared" si="4"/>
        <v>1998323</v>
      </c>
      <c r="X20" s="741">
        <f t="shared" si="4"/>
        <v>28145400</v>
      </c>
      <c r="Y20" s="741">
        <f t="shared" si="4"/>
        <v>24561</v>
      </c>
      <c r="Z20" s="741">
        <f t="shared" si="4"/>
        <v>1878</v>
      </c>
      <c r="AA20" s="747">
        <f t="shared" si="4"/>
        <v>28171839</v>
      </c>
    </row>
    <row r="21" spans="1:27">
      <c r="A21" s="742">
        <f t="shared" si="2"/>
        <v>2032</v>
      </c>
      <c r="B21" s="742"/>
      <c r="C21" s="746"/>
      <c r="D21" s="739"/>
      <c r="E21" s="748">
        <f t="shared" si="3"/>
        <v>11159982</v>
      </c>
      <c r="F21" s="741">
        <f t="shared" si="3"/>
        <v>9904156</v>
      </c>
      <c r="G21" s="741">
        <f t="shared" si="3"/>
        <v>790701</v>
      </c>
      <c r="H21" s="741">
        <f t="shared" si="3"/>
        <v>66493</v>
      </c>
      <c r="I21" s="741">
        <f t="shared" si="3"/>
        <v>7070</v>
      </c>
      <c r="J21" s="741">
        <f t="shared" si="3"/>
        <v>21928402</v>
      </c>
      <c r="K21" s="741">
        <f t="shared" si="3"/>
        <v>1675905</v>
      </c>
      <c r="L21" s="741">
        <f t="shared" si="3"/>
        <v>23604307</v>
      </c>
      <c r="M21" s="741">
        <f t="shared" si="3"/>
        <v>24648</v>
      </c>
      <c r="N21" s="741">
        <f t="shared" si="3"/>
        <v>1885</v>
      </c>
      <c r="O21" s="747">
        <f t="shared" si="3"/>
        <v>23630840</v>
      </c>
      <c r="Q21" s="748">
        <f t="shared" si="4"/>
        <v>13184896</v>
      </c>
      <c r="R21" s="741">
        <f t="shared" si="4"/>
        <v>12273835</v>
      </c>
      <c r="S21" s="741">
        <f t="shared" si="4"/>
        <v>1078359</v>
      </c>
      <c r="T21" s="741">
        <f t="shared" si="4"/>
        <v>66493</v>
      </c>
      <c r="U21" s="741">
        <f t="shared" si="4"/>
        <v>7070</v>
      </c>
      <c r="V21" s="741">
        <f t="shared" si="4"/>
        <v>26610653</v>
      </c>
      <c r="W21" s="741">
        <f t="shared" si="4"/>
        <v>2033753</v>
      </c>
      <c r="X21" s="741">
        <f t="shared" si="4"/>
        <v>28644406</v>
      </c>
      <c r="Y21" s="741">
        <f t="shared" si="4"/>
        <v>24648</v>
      </c>
      <c r="Z21" s="741">
        <f t="shared" si="4"/>
        <v>1885</v>
      </c>
      <c r="AA21" s="747">
        <f t="shared" si="4"/>
        <v>28670939</v>
      </c>
    </row>
    <row r="22" spans="1:27">
      <c r="A22" s="742">
        <f t="shared" si="2"/>
        <v>2033</v>
      </c>
      <c r="B22" s="742"/>
      <c r="C22" s="746"/>
      <c r="D22" s="739"/>
      <c r="E22" s="748">
        <f t="shared" si="3"/>
        <v>11236144</v>
      </c>
      <c r="F22" s="741">
        <f t="shared" si="3"/>
        <v>9998189</v>
      </c>
      <c r="G22" s="741">
        <f t="shared" si="3"/>
        <v>772751</v>
      </c>
      <c r="H22" s="741">
        <f t="shared" si="3"/>
        <v>65429</v>
      </c>
      <c r="I22" s="741">
        <f t="shared" si="3"/>
        <v>7041</v>
      </c>
      <c r="J22" s="741">
        <f t="shared" si="3"/>
        <v>22079554</v>
      </c>
      <c r="K22" s="741">
        <f t="shared" si="3"/>
        <v>1687458</v>
      </c>
      <c r="L22" s="741">
        <f t="shared" si="3"/>
        <v>23767012</v>
      </c>
      <c r="M22" s="741">
        <f t="shared" si="3"/>
        <v>24561</v>
      </c>
      <c r="N22" s="741">
        <f t="shared" si="3"/>
        <v>1878</v>
      </c>
      <c r="O22" s="747">
        <f t="shared" si="3"/>
        <v>23793451</v>
      </c>
      <c r="Q22" s="748">
        <f t="shared" si="4"/>
        <v>13333714</v>
      </c>
      <c r="R22" s="741">
        <f t="shared" si="4"/>
        <v>12416919</v>
      </c>
      <c r="S22" s="741">
        <f t="shared" si="4"/>
        <v>1067659</v>
      </c>
      <c r="T22" s="741">
        <f t="shared" si="4"/>
        <v>65429</v>
      </c>
      <c r="U22" s="741">
        <f t="shared" si="4"/>
        <v>7041</v>
      </c>
      <c r="V22" s="741">
        <f t="shared" si="4"/>
        <v>26890762</v>
      </c>
      <c r="W22" s="741">
        <f t="shared" si="4"/>
        <v>2055160</v>
      </c>
      <c r="X22" s="741">
        <f t="shared" si="4"/>
        <v>28945922</v>
      </c>
      <c r="Y22" s="741">
        <f t="shared" si="4"/>
        <v>24561</v>
      </c>
      <c r="Z22" s="741">
        <f t="shared" si="4"/>
        <v>1878</v>
      </c>
      <c r="AA22" s="747">
        <f t="shared" si="4"/>
        <v>28972361</v>
      </c>
    </row>
    <row r="23" spans="1:27">
      <c r="A23" s="742">
        <f t="shared" si="2"/>
        <v>2034</v>
      </c>
      <c r="B23" s="742"/>
      <c r="C23" s="746"/>
      <c r="D23" s="739"/>
      <c r="E23" s="748">
        <f t="shared" si="3"/>
        <v>11362496</v>
      </c>
      <c r="F23" s="741">
        <f t="shared" si="3"/>
        <v>10140780</v>
      </c>
      <c r="G23" s="741">
        <f t="shared" si="3"/>
        <v>760410</v>
      </c>
      <c r="H23" s="741">
        <f t="shared" si="3"/>
        <v>64690</v>
      </c>
      <c r="I23" s="741">
        <f t="shared" si="3"/>
        <v>7041</v>
      </c>
      <c r="J23" s="741">
        <f t="shared" si="3"/>
        <v>22335417</v>
      </c>
      <c r="K23" s="741">
        <f t="shared" si="3"/>
        <v>1707011</v>
      </c>
      <c r="L23" s="741">
        <f t="shared" si="3"/>
        <v>24042428</v>
      </c>
      <c r="M23" s="741">
        <f t="shared" si="3"/>
        <v>24561</v>
      </c>
      <c r="N23" s="741">
        <f t="shared" si="3"/>
        <v>1878</v>
      </c>
      <c r="O23" s="747">
        <f t="shared" si="3"/>
        <v>24068867</v>
      </c>
      <c r="Q23" s="748">
        <f t="shared" si="4"/>
        <v>13525367</v>
      </c>
      <c r="R23" s="741">
        <f t="shared" si="4"/>
        <v>12600738</v>
      </c>
      <c r="S23" s="741">
        <f t="shared" si="4"/>
        <v>1061291</v>
      </c>
      <c r="T23" s="741">
        <f t="shared" si="4"/>
        <v>64690</v>
      </c>
      <c r="U23" s="741">
        <f t="shared" si="4"/>
        <v>7041</v>
      </c>
      <c r="V23" s="741">
        <f t="shared" si="4"/>
        <v>27259127</v>
      </c>
      <c r="W23" s="741">
        <f t="shared" si="4"/>
        <v>2083313</v>
      </c>
      <c r="X23" s="741">
        <f t="shared" si="4"/>
        <v>29342440</v>
      </c>
      <c r="Y23" s="741">
        <f t="shared" si="4"/>
        <v>24561</v>
      </c>
      <c r="Z23" s="741">
        <f t="shared" si="4"/>
        <v>1878</v>
      </c>
      <c r="AA23" s="747">
        <f t="shared" si="4"/>
        <v>29368879</v>
      </c>
    </row>
    <row r="24" spans="1:27">
      <c r="A24" s="742">
        <f t="shared" si="2"/>
        <v>2035</v>
      </c>
      <c r="B24" s="742"/>
      <c r="C24" s="746"/>
      <c r="D24" s="739"/>
      <c r="E24" s="748">
        <f t="shared" si="3"/>
        <v>11518410</v>
      </c>
      <c r="F24" s="741">
        <f t="shared" si="3"/>
        <v>10306614</v>
      </c>
      <c r="G24" s="741">
        <f t="shared" si="3"/>
        <v>750778</v>
      </c>
      <c r="H24" s="741">
        <f t="shared" si="3"/>
        <v>63994</v>
      </c>
      <c r="I24" s="741">
        <f t="shared" si="3"/>
        <v>7041</v>
      </c>
      <c r="J24" s="741">
        <f t="shared" si="3"/>
        <v>22646837</v>
      </c>
      <c r="K24" s="741">
        <f t="shared" si="3"/>
        <v>1730813</v>
      </c>
      <c r="L24" s="741">
        <f t="shared" si="3"/>
        <v>24377650</v>
      </c>
      <c r="M24" s="741">
        <f t="shared" si="3"/>
        <v>24561</v>
      </c>
      <c r="N24" s="741">
        <f t="shared" si="3"/>
        <v>1878</v>
      </c>
      <c r="O24" s="747">
        <f t="shared" si="3"/>
        <v>24404089</v>
      </c>
      <c r="Q24" s="748">
        <f t="shared" si="4"/>
        <v>13740594</v>
      </c>
      <c r="R24" s="741">
        <f t="shared" si="4"/>
        <v>12800735</v>
      </c>
      <c r="S24" s="741">
        <f t="shared" si="4"/>
        <v>1055854</v>
      </c>
      <c r="T24" s="741">
        <f t="shared" si="4"/>
        <v>63994</v>
      </c>
      <c r="U24" s="741">
        <f t="shared" si="4"/>
        <v>7041</v>
      </c>
      <c r="V24" s="741">
        <f t="shared" si="4"/>
        <v>27668218</v>
      </c>
      <c r="W24" s="741">
        <f t="shared" si="4"/>
        <v>2114580</v>
      </c>
      <c r="X24" s="741">
        <f t="shared" si="4"/>
        <v>29782798</v>
      </c>
      <c r="Y24" s="741">
        <f t="shared" si="4"/>
        <v>24561</v>
      </c>
      <c r="Z24" s="741">
        <f t="shared" si="4"/>
        <v>1878</v>
      </c>
      <c r="AA24" s="747">
        <f t="shared" si="4"/>
        <v>29809237</v>
      </c>
    </row>
    <row r="25" spans="1:27">
      <c r="A25" s="742">
        <f t="shared" si="2"/>
        <v>2036</v>
      </c>
      <c r="B25" s="742"/>
      <c r="C25" s="746"/>
      <c r="D25" s="739"/>
      <c r="E25" s="748">
        <f t="shared" si="3"/>
        <v>11726819</v>
      </c>
      <c r="F25" s="741">
        <f t="shared" si="3"/>
        <v>10517055</v>
      </c>
      <c r="G25" s="741">
        <f t="shared" si="3"/>
        <v>744387</v>
      </c>
      <c r="H25" s="741">
        <f t="shared" si="3"/>
        <v>63402</v>
      </c>
      <c r="I25" s="741">
        <f t="shared" si="3"/>
        <v>7070</v>
      </c>
      <c r="J25" s="741">
        <f t="shared" si="3"/>
        <v>23058733</v>
      </c>
      <c r="K25" s="741">
        <f t="shared" si="3"/>
        <v>1762292</v>
      </c>
      <c r="L25" s="741">
        <f t="shared" si="3"/>
        <v>24821025</v>
      </c>
      <c r="M25" s="741">
        <f t="shared" si="3"/>
        <v>24561</v>
      </c>
      <c r="N25" s="741">
        <f t="shared" si="3"/>
        <v>1878</v>
      </c>
      <c r="O25" s="747">
        <f t="shared" si="3"/>
        <v>24847464</v>
      </c>
      <c r="Q25" s="748">
        <f t="shared" si="4"/>
        <v>14005156</v>
      </c>
      <c r="R25" s="741">
        <f t="shared" si="4"/>
        <v>13043802</v>
      </c>
      <c r="S25" s="741">
        <f t="shared" si="4"/>
        <v>1052650</v>
      </c>
      <c r="T25" s="741">
        <f t="shared" si="4"/>
        <v>63402</v>
      </c>
      <c r="U25" s="741">
        <f t="shared" si="4"/>
        <v>7070</v>
      </c>
      <c r="V25" s="741">
        <f t="shared" si="4"/>
        <v>28172080</v>
      </c>
      <c r="W25" s="741">
        <f t="shared" si="4"/>
        <v>2153087</v>
      </c>
      <c r="X25" s="741">
        <f t="shared" si="4"/>
        <v>30325167</v>
      </c>
      <c r="Y25" s="741">
        <f t="shared" si="4"/>
        <v>24561</v>
      </c>
      <c r="Z25" s="741">
        <f t="shared" si="4"/>
        <v>1878</v>
      </c>
      <c r="AA25" s="747">
        <f t="shared" si="4"/>
        <v>30351606</v>
      </c>
    </row>
    <row r="26" spans="1:27">
      <c r="A26" s="742">
        <f t="shared" si="2"/>
        <v>2037</v>
      </c>
      <c r="B26" s="742"/>
      <c r="C26" s="746"/>
      <c r="D26" s="739"/>
      <c r="E26" s="748">
        <f t="shared" si="3"/>
        <v>11811532</v>
      </c>
      <c r="F26" s="741">
        <f t="shared" si="3"/>
        <v>10638145</v>
      </c>
      <c r="G26" s="741">
        <f t="shared" si="3"/>
        <v>731032</v>
      </c>
      <c r="H26" s="741">
        <f t="shared" si="3"/>
        <v>62397</v>
      </c>
      <c r="I26" s="741">
        <f t="shared" si="3"/>
        <v>7041</v>
      </c>
      <c r="J26" s="741">
        <f t="shared" si="3"/>
        <v>23250147</v>
      </c>
      <c r="K26" s="741">
        <f t="shared" si="3"/>
        <v>1776920</v>
      </c>
      <c r="L26" s="741">
        <f t="shared" si="3"/>
        <v>25027067</v>
      </c>
      <c r="M26" s="741">
        <f t="shared" si="3"/>
        <v>24561</v>
      </c>
      <c r="N26" s="741">
        <f t="shared" si="3"/>
        <v>1878</v>
      </c>
      <c r="O26" s="747">
        <f t="shared" si="3"/>
        <v>25053506</v>
      </c>
      <c r="Q26" s="748">
        <f t="shared" si="4"/>
        <v>14146490</v>
      </c>
      <c r="R26" s="741">
        <f t="shared" si="4"/>
        <v>13202328</v>
      </c>
      <c r="S26" s="741">
        <f t="shared" si="4"/>
        <v>1041909</v>
      </c>
      <c r="T26" s="741">
        <f t="shared" si="4"/>
        <v>62397</v>
      </c>
      <c r="U26" s="741">
        <f t="shared" si="4"/>
        <v>7041</v>
      </c>
      <c r="V26" s="741">
        <f t="shared" si="4"/>
        <v>28460165</v>
      </c>
      <c r="W26" s="741">
        <f t="shared" si="4"/>
        <v>2175104</v>
      </c>
      <c r="X26" s="741">
        <f t="shared" si="4"/>
        <v>30635269</v>
      </c>
      <c r="Y26" s="741">
        <f t="shared" si="4"/>
        <v>24561</v>
      </c>
      <c r="Z26" s="741">
        <f t="shared" si="4"/>
        <v>1878</v>
      </c>
      <c r="AA26" s="747">
        <f t="shared" si="4"/>
        <v>30661708</v>
      </c>
    </row>
    <row r="27" spans="1:27">
      <c r="A27" s="742">
        <f t="shared" si="2"/>
        <v>2038</v>
      </c>
      <c r="B27" s="742"/>
      <c r="C27" s="746"/>
      <c r="D27" s="739"/>
      <c r="E27" s="748">
        <f t="shared" si="3"/>
        <v>11940737</v>
      </c>
      <c r="F27" s="741">
        <f t="shared" si="3"/>
        <v>10796419</v>
      </c>
      <c r="G27" s="741">
        <f t="shared" si="3"/>
        <v>721476</v>
      </c>
      <c r="H27" s="741">
        <f t="shared" si="3"/>
        <v>61712</v>
      </c>
      <c r="I27" s="741">
        <f t="shared" si="3"/>
        <v>7041</v>
      </c>
      <c r="J27" s="741">
        <f t="shared" si="3"/>
        <v>23527385</v>
      </c>
      <c r="K27" s="741">
        <f t="shared" si="3"/>
        <v>1798111</v>
      </c>
      <c r="L27" s="741">
        <f t="shared" si="3"/>
        <v>25325496</v>
      </c>
      <c r="M27" s="741">
        <f t="shared" si="3"/>
        <v>24561</v>
      </c>
      <c r="N27" s="741">
        <f t="shared" si="3"/>
        <v>1878</v>
      </c>
      <c r="O27" s="747">
        <f t="shared" si="3"/>
        <v>25351935</v>
      </c>
      <c r="Q27" s="748">
        <f t="shared" si="4"/>
        <v>14332348</v>
      </c>
      <c r="R27" s="741">
        <f t="shared" si="4"/>
        <v>13395887</v>
      </c>
      <c r="S27" s="741">
        <f t="shared" si="4"/>
        <v>1035039</v>
      </c>
      <c r="T27" s="741">
        <f t="shared" si="4"/>
        <v>61712</v>
      </c>
      <c r="U27" s="741">
        <f t="shared" si="4"/>
        <v>7041</v>
      </c>
      <c r="V27" s="741">
        <f t="shared" si="4"/>
        <v>28832027</v>
      </c>
      <c r="W27" s="741">
        <f t="shared" si="4"/>
        <v>2203524</v>
      </c>
      <c r="X27" s="741">
        <f t="shared" si="4"/>
        <v>31035551</v>
      </c>
      <c r="Y27" s="741">
        <f t="shared" si="4"/>
        <v>24561</v>
      </c>
      <c r="Z27" s="741">
        <f t="shared" si="4"/>
        <v>1878</v>
      </c>
      <c r="AA27" s="747">
        <f t="shared" si="4"/>
        <v>31061990</v>
      </c>
    </row>
    <row r="28" spans="1:27" ht="13.5" thickBot="1">
      <c r="A28" s="742">
        <f t="shared" si="2"/>
        <v>2039</v>
      </c>
      <c r="B28" s="742"/>
      <c r="C28" s="746"/>
      <c r="D28" s="739"/>
      <c r="E28" s="745">
        <f t="shared" si="3"/>
        <v>12094885</v>
      </c>
      <c r="F28" s="744">
        <f t="shared" si="3"/>
        <v>10967809</v>
      </c>
      <c r="G28" s="744">
        <f t="shared" si="3"/>
        <v>712558</v>
      </c>
      <c r="H28" s="744">
        <f t="shared" si="3"/>
        <v>61053</v>
      </c>
      <c r="I28" s="744">
        <f t="shared" si="3"/>
        <v>7039</v>
      </c>
      <c r="J28" s="744">
        <f t="shared" si="3"/>
        <v>23843344</v>
      </c>
      <c r="K28" s="744">
        <f t="shared" si="3"/>
        <v>1822259</v>
      </c>
      <c r="L28" s="744">
        <f t="shared" si="3"/>
        <v>25665603</v>
      </c>
      <c r="M28" s="744">
        <f t="shared" si="3"/>
        <v>24561</v>
      </c>
      <c r="N28" s="744">
        <f t="shared" si="3"/>
        <v>1878</v>
      </c>
      <c r="O28" s="743">
        <f t="shared" si="3"/>
        <v>25692042</v>
      </c>
      <c r="Q28" s="745">
        <f t="shared" si="4"/>
        <v>14546723</v>
      </c>
      <c r="R28" s="744">
        <f t="shared" si="4"/>
        <v>13604675</v>
      </c>
      <c r="S28" s="744">
        <f t="shared" si="4"/>
        <v>1029062</v>
      </c>
      <c r="T28" s="744">
        <f t="shared" si="4"/>
        <v>61053</v>
      </c>
      <c r="U28" s="744">
        <f t="shared" si="4"/>
        <v>7039</v>
      </c>
      <c r="V28" s="744">
        <f t="shared" si="4"/>
        <v>29248552</v>
      </c>
      <c r="W28" s="744">
        <f t="shared" si="4"/>
        <v>2235357</v>
      </c>
      <c r="X28" s="744">
        <f t="shared" si="4"/>
        <v>31483909</v>
      </c>
      <c r="Y28" s="744">
        <f t="shared" si="4"/>
        <v>24561</v>
      </c>
      <c r="Z28" s="744">
        <f t="shared" si="4"/>
        <v>1878</v>
      </c>
      <c r="AA28" s="743">
        <f t="shared" si="4"/>
        <v>31510348</v>
      </c>
    </row>
    <row r="29" spans="1:27" ht="3" customHeight="1" thickBot="1">
      <c r="A29" s="739"/>
      <c r="B29" s="739"/>
      <c r="C29" s="739"/>
      <c r="D29" s="739"/>
      <c r="E29" s="739"/>
      <c r="F29" s="739"/>
      <c r="G29" s="739"/>
      <c r="H29" s="739"/>
      <c r="I29" s="739"/>
      <c r="J29" s="739"/>
      <c r="K29" s="739"/>
      <c r="L29" s="739"/>
      <c r="M29" s="739"/>
      <c r="N29" s="739"/>
      <c r="O29" s="739"/>
      <c r="Q29" s="739"/>
      <c r="R29" s="739"/>
      <c r="S29" s="739"/>
      <c r="T29" s="739"/>
      <c r="U29" s="739"/>
      <c r="V29" s="739"/>
      <c r="W29" s="739"/>
      <c r="X29" s="739"/>
      <c r="Y29" s="739"/>
      <c r="Z29" s="739"/>
      <c r="AA29" s="739"/>
    </row>
    <row r="30" spans="1:27">
      <c r="A30" s="742">
        <v>2018</v>
      </c>
      <c r="B30" s="742">
        <v>1</v>
      </c>
      <c r="C30" s="746">
        <f t="shared" ref="C30:C93" si="5">DATE(A30,B30,1)</f>
        <v>43101</v>
      </c>
      <c r="D30" s="739"/>
      <c r="E30" s="760">
        <v>1230542</v>
      </c>
      <c r="F30" s="759">
        <v>823998</v>
      </c>
      <c r="G30" s="759">
        <v>105594</v>
      </c>
      <c r="H30" s="759">
        <v>6749</v>
      </c>
      <c r="I30" s="759">
        <v>883</v>
      </c>
      <c r="J30" s="759">
        <f t="shared" ref="J30:J93" si="6">SUM(E30:I30)</f>
        <v>2167766</v>
      </c>
      <c r="K30" s="759">
        <f t="shared" ref="K30:K93" si="7">L30-J30</f>
        <v>165674</v>
      </c>
      <c r="L30" s="759">
        <f t="shared" ref="L30:L93" si="8">ROUND(J30/0.929, 0)</f>
        <v>2333440</v>
      </c>
      <c r="M30" s="759">
        <v>2180</v>
      </c>
      <c r="N30" s="759">
        <f t="shared" ref="N30:N93" si="9">ROUND(M30/0.929-M30, 0)</f>
        <v>167</v>
      </c>
      <c r="O30" s="761">
        <f t="shared" ref="O30:O93" si="10">SUM(L30:N30)</f>
        <v>2335787</v>
      </c>
      <c r="Q30" s="760">
        <v>1230542</v>
      </c>
      <c r="R30" s="759">
        <v>823998</v>
      </c>
      <c r="S30" s="759">
        <v>105594</v>
      </c>
      <c r="T30" s="759">
        <v>6749</v>
      </c>
      <c r="U30" s="759">
        <v>883</v>
      </c>
      <c r="V30" s="759">
        <f t="shared" ref="V30:V93" si="11">SUM(Q30:U30)</f>
        <v>2167766</v>
      </c>
      <c r="W30" s="759">
        <f t="shared" ref="W30:W93" si="12">X30-V30</f>
        <v>165674</v>
      </c>
      <c r="X30" s="759">
        <f t="shared" ref="X30:X93" si="13">ROUND(V30/0.929, 0)</f>
        <v>2333440</v>
      </c>
      <c r="Y30" s="759">
        <v>2180</v>
      </c>
      <c r="Z30" s="759">
        <f t="shared" ref="Z30:Z93" si="14">N30</f>
        <v>167</v>
      </c>
      <c r="AA30" s="758">
        <f t="shared" ref="AA30:AA93" si="15">SUM(X30:Z30)</f>
        <v>2335787</v>
      </c>
    </row>
    <row r="31" spans="1:27">
      <c r="A31" s="742">
        <f t="shared" ref="A31:A94" si="16">IF(B31=1,A30+1,A30)</f>
        <v>2018</v>
      </c>
      <c r="B31" s="742">
        <f t="shared" ref="B31:B94" si="17">IF(B30=12,1,B30+1)</f>
        <v>2</v>
      </c>
      <c r="C31" s="746">
        <f t="shared" si="5"/>
        <v>43132</v>
      </c>
      <c r="D31" s="739"/>
      <c r="E31" s="748">
        <v>1028940</v>
      </c>
      <c r="F31" s="741">
        <v>735827</v>
      </c>
      <c r="G31" s="741">
        <v>90879</v>
      </c>
      <c r="H31" s="741">
        <v>6216</v>
      </c>
      <c r="I31" s="741">
        <v>817</v>
      </c>
      <c r="J31" s="741">
        <f t="shared" si="6"/>
        <v>1862679</v>
      </c>
      <c r="K31" s="741">
        <f t="shared" si="7"/>
        <v>142358</v>
      </c>
      <c r="L31" s="741">
        <f t="shared" si="8"/>
        <v>2005037</v>
      </c>
      <c r="M31" s="741">
        <v>2294</v>
      </c>
      <c r="N31" s="741">
        <f t="shared" si="9"/>
        <v>175</v>
      </c>
      <c r="O31" s="747">
        <f t="shared" si="10"/>
        <v>2007506</v>
      </c>
      <c r="Q31" s="748">
        <v>1028940</v>
      </c>
      <c r="R31" s="741">
        <v>735827</v>
      </c>
      <c r="S31" s="741">
        <v>90879</v>
      </c>
      <c r="T31" s="741">
        <v>6216</v>
      </c>
      <c r="U31" s="741">
        <v>817</v>
      </c>
      <c r="V31" s="741">
        <f t="shared" si="11"/>
        <v>1862679</v>
      </c>
      <c r="W31" s="741">
        <f t="shared" si="12"/>
        <v>142358</v>
      </c>
      <c r="X31" s="741">
        <f t="shared" si="13"/>
        <v>2005037</v>
      </c>
      <c r="Y31" s="741">
        <v>2294</v>
      </c>
      <c r="Z31" s="741">
        <f t="shared" si="14"/>
        <v>175</v>
      </c>
      <c r="AA31" s="749">
        <f t="shared" si="15"/>
        <v>2007506</v>
      </c>
    </row>
    <row r="32" spans="1:27">
      <c r="A32" s="742">
        <f t="shared" si="16"/>
        <v>2018</v>
      </c>
      <c r="B32" s="742">
        <f t="shared" si="17"/>
        <v>3</v>
      </c>
      <c r="C32" s="746">
        <f t="shared" si="5"/>
        <v>43160</v>
      </c>
      <c r="D32" s="739"/>
      <c r="E32" s="748">
        <v>1043446</v>
      </c>
      <c r="F32" s="741">
        <v>798237</v>
      </c>
      <c r="G32" s="741">
        <v>105281</v>
      </c>
      <c r="H32" s="741">
        <v>6900</v>
      </c>
      <c r="I32" s="741">
        <v>814</v>
      </c>
      <c r="J32" s="741">
        <f t="shared" si="6"/>
        <v>1954678</v>
      </c>
      <c r="K32" s="741">
        <f t="shared" si="7"/>
        <v>149389</v>
      </c>
      <c r="L32" s="741">
        <f t="shared" si="8"/>
        <v>2104067</v>
      </c>
      <c r="M32" s="741">
        <v>2205</v>
      </c>
      <c r="N32" s="741">
        <f t="shared" si="9"/>
        <v>169</v>
      </c>
      <c r="O32" s="747">
        <f t="shared" si="10"/>
        <v>2106441</v>
      </c>
      <c r="Q32" s="748">
        <v>1043546</v>
      </c>
      <c r="R32" s="741">
        <v>798414</v>
      </c>
      <c r="S32" s="741">
        <v>105308</v>
      </c>
      <c r="T32" s="741">
        <v>6900</v>
      </c>
      <c r="U32" s="741">
        <v>814</v>
      </c>
      <c r="V32" s="741">
        <f t="shared" si="11"/>
        <v>1954982</v>
      </c>
      <c r="W32" s="741">
        <f t="shared" si="12"/>
        <v>149412</v>
      </c>
      <c r="X32" s="741">
        <f t="shared" si="13"/>
        <v>2104394</v>
      </c>
      <c r="Y32" s="741">
        <v>2205</v>
      </c>
      <c r="Z32" s="741">
        <f t="shared" si="14"/>
        <v>169</v>
      </c>
      <c r="AA32" s="749">
        <f t="shared" si="15"/>
        <v>2106768</v>
      </c>
    </row>
    <row r="33" spans="1:27">
      <c r="A33" s="742">
        <f t="shared" si="16"/>
        <v>2018</v>
      </c>
      <c r="B33" s="742">
        <f t="shared" si="17"/>
        <v>4</v>
      </c>
      <c r="C33" s="746">
        <f t="shared" si="5"/>
        <v>43191</v>
      </c>
      <c r="D33" s="739"/>
      <c r="E33" s="748">
        <v>862615</v>
      </c>
      <c r="F33" s="741">
        <v>737689</v>
      </c>
      <c r="G33" s="741">
        <v>97809</v>
      </c>
      <c r="H33" s="741">
        <v>6157</v>
      </c>
      <c r="I33" s="741">
        <v>591</v>
      </c>
      <c r="J33" s="741">
        <f t="shared" si="6"/>
        <v>1704861</v>
      </c>
      <c r="K33" s="741">
        <f t="shared" si="7"/>
        <v>130296</v>
      </c>
      <c r="L33" s="741">
        <f t="shared" si="8"/>
        <v>1835157</v>
      </c>
      <c r="M33" s="741">
        <v>2046</v>
      </c>
      <c r="N33" s="741">
        <f t="shared" si="9"/>
        <v>156</v>
      </c>
      <c r="O33" s="747">
        <f t="shared" si="10"/>
        <v>1837359</v>
      </c>
      <c r="Q33" s="748">
        <v>863106</v>
      </c>
      <c r="R33" s="741">
        <v>738483</v>
      </c>
      <c r="S33" s="741">
        <v>97909</v>
      </c>
      <c r="T33" s="741">
        <v>6157</v>
      </c>
      <c r="U33" s="741">
        <v>591</v>
      </c>
      <c r="V33" s="741">
        <f t="shared" si="11"/>
        <v>1706246</v>
      </c>
      <c r="W33" s="741">
        <f t="shared" si="12"/>
        <v>130402</v>
      </c>
      <c r="X33" s="741">
        <f t="shared" si="13"/>
        <v>1836648</v>
      </c>
      <c r="Y33" s="741">
        <v>2046</v>
      </c>
      <c r="Z33" s="741">
        <f t="shared" si="14"/>
        <v>156</v>
      </c>
      <c r="AA33" s="749">
        <f t="shared" si="15"/>
        <v>1838850</v>
      </c>
    </row>
    <row r="34" spans="1:27">
      <c r="A34" s="742">
        <f t="shared" si="16"/>
        <v>2018</v>
      </c>
      <c r="B34" s="742">
        <f t="shared" si="17"/>
        <v>5</v>
      </c>
      <c r="C34" s="746">
        <f t="shared" si="5"/>
        <v>43221</v>
      </c>
      <c r="D34" s="739"/>
      <c r="E34" s="748">
        <v>738331</v>
      </c>
      <c r="F34" s="741">
        <v>727288</v>
      </c>
      <c r="G34" s="741">
        <v>103671</v>
      </c>
      <c r="H34" s="741">
        <v>6517</v>
      </c>
      <c r="I34" s="741">
        <v>457</v>
      </c>
      <c r="J34" s="741">
        <f t="shared" si="6"/>
        <v>1576264</v>
      </c>
      <c r="K34" s="741">
        <f t="shared" si="7"/>
        <v>120468</v>
      </c>
      <c r="L34" s="741">
        <f t="shared" si="8"/>
        <v>1696732</v>
      </c>
      <c r="M34" s="741">
        <v>2037</v>
      </c>
      <c r="N34" s="741">
        <f t="shared" si="9"/>
        <v>156</v>
      </c>
      <c r="O34" s="747">
        <f t="shared" si="10"/>
        <v>1698925</v>
      </c>
      <c r="Q34" s="748">
        <v>739448</v>
      </c>
      <c r="R34" s="741">
        <v>728994</v>
      </c>
      <c r="S34" s="741">
        <v>103872</v>
      </c>
      <c r="T34" s="741">
        <v>6517</v>
      </c>
      <c r="U34" s="741">
        <v>457</v>
      </c>
      <c r="V34" s="741">
        <f t="shared" si="11"/>
        <v>1579288</v>
      </c>
      <c r="W34" s="741">
        <f t="shared" si="12"/>
        <v>120699</v>
      </c>
      <c r="X34" s="741">
        <f t="shared" si="13"/>
        <v>1699987</v>
      </c>
      <c r="Y34" s="741">
        <v>2037</v>
      </c>
      <c r="Z34" s="741">
        <f t="shared" si="14"/>
        <v>156</v>
      </c>
      <c r="AA34" s="749">
        <f t="shared" si="15"/>
        <v>1702180</v>
      </c>
    </row>
    <row r="35" spans="1:27">
      <c r="A35" s="742">
        <f t="shared" si="16"/>
        <v>2018</v>
      </c>
      <c r="B35" s="742">
        <f t="shared" si="17"/>
        <v>6</v>
      </c>
      <c r="C35" s="746">
        <f t="shared" si="5"/>
        <v>43252</v>
      </c>
      <c r="D35" s="739"/>
      <c r="E35" s="748">
        <v>682241</v>
      </c>
      <c r="F35" s="741">
        <v>731934</v>
      </c>
      <c r="G35" s="741">
        <v>105811</v>
      </c>
      <c r="H35" s="741">
        <v>6523</v>
      </c>
      <c r="I35" s="741">
        <v>356</v>
      </c>
      <c r="J35" s="741">
        <f t="shared" si="6"/>
        <v>1526865</v>
      </c>
      <c r="K35" s="741">
        <f t="shared" si="7"/>
        <v>116693</v>
      </c>
      <c r="L35" s="741">
        <f t="shared" si="8"/>
        <v>1643558</v>
      </c>
      <c r="M35" s="741">
        <v>1680</v>
      </c>
      <c r="N35" s="741">
        <f t="shared" si="9"/>
        <v>128</v>
      </c>
      <c r="O35" s="747">
        <f t="shared" si="10"/>
        <v>1645366</v>
      </c>
      <c r="Q35" s="748">
        <v>684105</v>
      </c>
      <c r="R35" s="741">
        <v>734598</v>
      </c>
      <c r="S35" s="741">
        <v>106119</v>
      </c>
      <c r="T35" s="741">
        <v>6523</v>
      </c>
      <c r="U35" s="741">
        <v>356</v>
      </c>
      <c r="V35" s="741">
        <f t="shared" si="11"/>
        <v>1531701</v>
      </c>
      <c r="W35" s="741">
        <f t="shared" si="12"/>
        <v>117062</v>
      </c>
      <c r="X35" s="741">
        <f t="shared" si="13"/>
        <v>1648763</v>
      </c>
      <c r="Y35" s="741">
        <v>1680</v>
      </c>
      <c r="Z35" s="741">
        <f t="shared" si="14"/>
        <v>128</v>
      </c>
      <c r="AA35" s="749">
        <f t="shared" si="15"/>
        <v>1650571</v>
      </c>
    </row>
    <row r="36" spans="1:27">
      <c r="A36" s="742">
        <f t="shared" si="16"/>
        <v>2018</v>
      </c>
      <c r="B36" s="742">
        <f t="shared" si="17"/>
        <v>7</v>
      </c>
      <c r="C36" s="746">
        <f t="shared" si="5"/>
        <v>43282</v>
      </c>
      <c r="D36" s="739"/>
      <c r="E36" s="748">
        <v>693377</v>
      </c>
      <c r="F36" s="741">
        <v>777656</v>
      </c>
      <c r="G36" s="741">
        <v>108466</v>
      </c>
      <c r="H36" s="741">
        <v>6279</v>
      </c>
      <c r="I36" s="741">
        <v>314</v>
      </c>
      <c r="J36" s="741">
        <f t="shared" si="6"/>
        <v>1586092</v>
      </c>
      <c r="K36" s="741">
        <f t="shared" si="7"/>
        <v>121219</v>
      </c>
      <c r="L36" s="741">
        <f t="shared" si="8"/>
        <v>1707311</v>
      </c>
      <c r="M36" s="741">
        <v>2694</v>
      </c>
      <c r="N36" s="741">
        <f t="shared" si="9"/>
        <v>206</v>
      </c>
      <c r="O36" s="747">
        <f t="shared" si="10"/>
        <v>1710211</v>
      </c>
      <c r="Q36" s="748">
        <v>696255</v>
      </c>
      <c r="R36" s="741">
        <v>781606</v>
      </c>
      <c r="S36" s="741">
        <v>108900</v>
      </c>
      <c r="T36" s="741">
        <v>6279</v>
      </c>
      <c r="U36" s="741">
        <v>314</v>
      </c>
      <c r="V36" s="741">
        <f t="shared" si="11"/>
        <v>1593354</v>
      </c>
      <c r="W36" s="741">
        <f t="shared" si="12"/>
        <v>121774</v>
      </c>
      <c r="X36" s="741">
        <f t="shared" si="13"/>
        <v>1715128</v>
      </c>
      <c r="Y36" s="741">
        <v>2694</v>
      </c>
      <c r="Z36" s="741">
        <f t="shared" si="14"/>
        <v>206</v>
      </c>
      <c r="AA36" s="749">
        <f t="shared" si="15"/>
        <v>1718028</v>
      </c>
    </row>
    <row r="37" spans="1:27">
      <c r="A37" s="742">
        <f t="shared" si="16"/>
        <v>2018</v>
      </c>
      <c r="B37" s="742">
        <f t="shared" si="17"/>
        <v>8</v>
      </c>
      <c r="C37" s="746">
        <f t="shared" si="5"/>
        <v>43313</v>
      </c>
      <c r="D37" s="739"/>
      <c r="E37" s="748">
        <v>683648</v>
      </c>
      <c r="F37" s="741">
        <v>795828</v>
      </c>
      <c r="G37" s="741">
        <v>111577</v>
      </c>
      <c r="H37" s="741">
        <v>6474</v>
      </c>
      <c r="I37" s="741">
        <v>284</v>
      </c>
      <c r="J37" s="741">
        <f t="shared" si="6"/>
        <v>1597811</v>
      </c>
      <c r="K37" s="741">
        <f t="shared" si="7"/>
        <v>122115</v>
      </c>
      <c r="L37" s="741">
        <f t="shared" si="8"/>
        <v>1719926</v>
      </c>
      <c r="M37" s="741">
        <v>1538</v>
      </c>
      <c r="N37" s="741">
        <f t="shared" si="9"/>
        <v>118</v>
      </c>
      <c r="O37" s="747">
        <f t="shared" si="10"/>
        <v>1721582</v>
      </c>
      <c r="Q37" s="748">
        <v>687473</v>
      </c>
      <c r="R37" s="741">
        <v>801067</v>
      </c>
      <c r="S37" s="741">
        <v>112152</v>
      </c>
      <c r="T37" s="741">
        <v>6474</v>
      </c>
      <c r="U37" s="741">
        <v>284</v>
      </c>
      <c r="V37" s="741">
        <f t="shared" si="11"/>
        <v>1607450</v>
      </c>
      <c r="W37" s="741">
        <f t="shared" si="12"/>
        <v>122851</v>
      </c>
      <c r="X37" s="741">
        <f t="shared" si="13"/>
        <v>1730301</v>
      </c>
      <c r="Y37" s="741">
        <v>1538</v>
      </c>
      <c r="Z37" s="741">
        <f t="shared" si="14"/>
        <v>118</v>
      </c>
      <c r="AA37" s="749">
        <f t="shared" si="15"/>
        <v>1731957</v>
      </c>
    </row>
    <row r="38" spans="1:27">
      <c r="A38" s="742">
        <f t="shared" si="16"/>
        <v>2018</v>
      </c>
      <c r="B38" s="742">
        <f t="shared" si="17"/>
        <v>9</v>
      </c>
      <c r="C38" s="746">
        <f t="shared" si="5"/>
        <v>43344</v>
      </c>
      <c r="D38" s="739"/>
      <c r="E38" s="748">
        <v>680182</v>
      </c>
      <c r="F38" s="741">
        <v>750455</v>
      </c>
      <c r="G38" s="741">
        <v>104591</v>
      </c>
      <c r="H38" s="741">
        <v>6316</v>
      </c>
      <c r="I38" s="741">
        <v>324</v>
      </c>
      <c r="J38" s="741">
        <f t="shared" si="6"/>
        <v>1541868</v>
      </c>
      <c r="K38" s="741">
        <f t="shared" si="7"/>
        <v>117839</v>
      </c>
      <c r="L38" s="741">
        <f t="shared" si="8"/>
        <v>1659707</v>
      </c>
      <c r="M38" s="741">
        <v>1338</v>
      </c>
      <c r="N38" s="741">
        <f t="shared" si="9"/>
        <v>102</v>
      </c>
      <c r="O38" s="747">
        <f t="shared" si="10"/>
        <v>1661147</v>
      </c>
      <c r="Q38" s="748">
        <v>685046</v>
      </c>
      <c r="R38" s="741">
        <v>756628</v>
      </c>
      <c r="S38" s="741">
        <v>105256</v>
      </c>
      <c r="T38" s="741">
        <v>6316</v>
      </c>
      <c r="U38" s="741">
        <v>324</v>
      </c>
      <c r="V38" s="741">
        <f t="shared" si="11"/>
        <v>1553570</v>
      </c>
      <c r="W38" s="741">
        <f t="shared" si="12"/>
        <v>118734</v>
      </c>
      <c r="X38" s="741">
        <f t="shared" si="13"/>
        <v>1672304</v>
      </c>
      <c r="Y38" s="741">
        <v>1338</v>
      </c>
      <c r="Z38" s="741">
        <f t="shared" si="14"/>
        <v>102</v>
      </c>
      <c r="AA38" s="749">
        <f t="shared" si="15"/>
        <v>1673744</v>
      </c>
    </row>
    <row r="39" spans="1:27">
      <c r="A39" s="742">
        <f t="shared" si="16"/>
        <v>2018</v>
      </c>
      <c r="B39" s="742">
        <f t="shared" si="17"/>
        <v>10</v>
      </c>
      <c r="C39" s="746">
        <f t="shared" si="5"/>
        <v>43374</v>
      </c>
      <c r="D39" s="739"/>
      <c r="E39" s="748">
        <v>833727</v>
      </c>
      <c r="F39" s="741">
        <v>772382</v>
      </c>
      <c r="G39" s="741">
        <v>108713</v>
      </c>
      <c r="H39" s="741">
        <v>6574</v>
      </c>
      <c r="I39" s="741">
        <v>483</v>
      </c>
      <c r="J39" s="741">
        <f t="shared" si="6"/>
        <v>1721879</v>
      </c>
      <c r="K39" s="741">
        <f t="shared" si="7"/>
        <v>131597</v>
      </c>
      <c r="L39" s="741">
        <f t="shared" si="8"/>
        <v>1853476</v>
      </c>
      <c r="M39" s="741">
        <v>1718</v>
      </c>
      <c r="N39" s="741">
        <f t="shared" si="9"/>
        <v>131</v>
      </c>
      <c r="O39" s="747">
        <f t="shared" si="10"/>
        <v>1855325</v>
      </c>
      <c r="Q39" s="748">
        <v>841052</v>
      </c>
      <c r="R39" s="741">
        <v>779898</v>
      </c>
      <c r="S39" s="741">
        <v>109509</v>
      </c>
      <c r="T39" s="741">
        <v>6574</v>
      </c>
      <c r="U39" s="741">
        <v>483</v>
      </c>
      <c r="V39" s="741">
        <f t="shared" si="11"/>
        <v>1737516</v>
      </c>
      <c r="W39" s="741">
        <f t="shared" si="12"/>
        <v>132792</v>
      </c>
      <c r="X39" s="741">
        <f t="shared" si="13"/>
        <v>1870308</v>
      </c>
      <c r="Y39" s="741">
        <v>1718</v>
      </c>
      <c r="Z39" s="741">
        <f t="shared" si="14"/>
        <v>131</v>
      </c>
      <c r="AA39" s="749">
        <f t="shared" si="15"/>
        <v>1872157</v>
      </c>
    </row>
    <row r="40" spans="1:27">
      <c r="A40" s="742">
        <f t="shared" si="16"/>
        <v>2018</v>
      </c>
      <c r="B40" s="742">
        <f t="shared" si="17"/>
        <v>11</v>
      </c>
      <c r="C40" s="746">
        <f t="shared" si="5"/>
        <v>43405</v>
      </c>
      <c r="D40" s="739"/>
      <c r="E40" s="748">
        <v>1026625</v>
      </c>
      <c r="F40" s="741">
        <v>800557</v>
      </c>
      <c r="G40" s="741">
        <v>103598</v>
      </c>
      <c r="H40" s="741">
        <v>6971</v>
      </c>
      <c r="I40" s="741">
        <v>697</v>
      </c>
      <c r="J40" s="741">
        <f t="shared" si="6"/>
        <v>1938448</v>
      </c>
      <c r="K40" s="741">
        <f t="shared" si="7"/>
        <v>148148</v>
      </c>
      <c r="L40" s="741">
        <f t="shared" si="8"/>
        <v>2086596</v>
      </c>
      <c r="M40" s="741">
        <v>1710</v>
      </c>
      <c r="N40" s="741">
        <f t="shared" si="9"/>
        <v>131</v>
      </c>
      <c r="O40" s="747">
        <f t="shared" si="10"/>
        <v>2088437</v>
      </c>
      <c r="Q40" s="748">
        <v>1036861</v>
      </c>
      <c r="R40" s="741">
        <v>809213</v>
      </c>
      <c r="S40" s="741">
        <v>104497</v>
      </c>
      <c r="T40" s="741">
        <v>6971</v>
      </c>
      <c r="U40" s="741">
        <v>697</v>
      </c>
      <c r="V40" s="741">
        <f t="shared" si="11"/>
        <v>1958239</v>
      </c>
      <c r="W40" s="741">
        <f t="shared" si="12"/>
        <v>149661</v>
      </c>
      <c r="X40" s="741">
        <f t="shared" si="13"/>
        <v>2107900</v>
      </c>
      <c r="Y40" s="741">
        <v>1710</v>
      </c>
      <c r="Z40" s="741">
        <f t="shared" si="14"/>
        <v>131</v>
      </c>
      <c r="AA40" s="749">
        <f t="shared" si="15"/>
        <v>2109741</v>
      </c>
    </row>
    <row r="41" spans="1:27">
      <c r="A41" s="742">
        <f t="shared" si="16"/>
        <v>2018</v>
      </c>
      <c r="B41" s="742">
        <f t="shared" si="17"/>
        <v>12</v>
      </c>
      <c r="C41" s="746">
        <f t="shared" si="5"/>
        <v>43435</v>
      </c>
      <c r="D41" s="739"/>
      <c r="E41" s="748">
        <v>1300977</v>
      </c>
      <c r="F41" s="741">
        <v>866058</v>
      </c>
      <c r="G41" s="741">
        <v>102414</v>
      </c>
      <c r="H41" s="741">
        <v>6844</v>
      </c>
      <c r="I41" s="741">
        <v>1016</v>
      </c>
      <c r="J41" s="741">
        <f t="shared" si="6"/>
        <v>2277309</v>
      </c>
      <c r="K41" s="741">
        <f t="shared" si="7"/>
        <v>174046</v>
      </c>
      <c r="L41" s="741">
        <f t="shared" si="8"/>
        <v>2451355</v>
      </c>
      <c r="M41" s="741">
        <v>1596</v>
      </c>
      <c r="N41" s="741">
        <f t="shared" si="9"/>
        <v>122</v>
      </c>
      <c r="O41" s="747">
        <f t="shared" si="10"/>
        <v>2453073</v>
      </c>
      <c r="Q41" s="748">
        <v>1314789</v>
      </c>
      <c r="R41" s="741">
        <v>900796</v>
      </c>
      <c r="S41" s="741">
        <v>103468</v>
      </c>
      <c r="T41" s="741">
        <v>6844</v>
      </c>
      <c r="U41" s="741">
        <v>1016</v>
      </c>
      <c r="V41" s="741">
        <f t="shared" si="11"/>
        <v>2326913</v>
      </c>
      <c r="W41" s="741">
        <f t="shared" si="12"/>
        <v>177837</v>
      </c>
      <c r="X41" s="741">
        <f t="shared" si="13"/>
        <v>2504750</v>
      </c>
      <c r="Y41" s="741">
        <v>1596</v>
      </c>
      <c r="Z41" s="741">
        <f t="shared" si="14"/>
        <v>122</v>
      </c>
      <c r="AA41" s="749">
        <f t="shared" si="15"/>
        <v>2506468</v>
      </c>
    </row>
    <row r="42" spans="1:27">
      <c r="A42" s="742">
        <f t="shared" si="16"/>
        <v>2019</v>
      </c>
      <c r="B42" s="742">
        <f t="shared" si="17"/>
        <v>1</v>
      </c>
      <c r="C42" s="746">
        <f t="shared" si="5"/>
        <v>43466</v>
      </c>
      <c r="D42" s="739"/>
      <c r="E42" s="748">
        <v>1259288</v>
      </c>
      <c r="F42" s="741">
        <v>840538</v>
      </c>
      <c r="G42" s="741">
        <v>115042</v>
      </c>
      <c r="H42" s="741">
        <v>6704</v>
      </c>
      <c r="I42" s="741">
        <v>883</v>
      </c>
      <c r="J42" s="741">
        <f t="shared" si="6"/>
        <v>2222455</v>
      </c>
      <c r="K42" s="741">
        <f t="shared" si="7"/>
        <v>169854</v>
      </c>
      <c r="L42" s="741">
        <f t="shared" si="8"/>
        <v>2392309</v>
      </c>
      <c r="M42" s="741">
        <v>2180</v>
      </c>
      <c r="N42" s="741">
        <f t="shared" si="9"/>
        <v>167</v>
      </c>
      <c r="O42" s="747">
        <f t="shared" si="10"/>
        <v>2394656</v>
      </c>
      <c r="Q42" s="748">
        <v>1273359</v>
      </c>
      <c r="R42" s="741">
        <v>894222</v>
      </c>
      <c r="S42" s="741">
        <v>116223</v>
      </c>
      <c r="T42" s="741">
        <v>6704</v>
      </c>
      <c r="U42" s="741">
        <v>883</v>
      </c>
      <c r="V42" s="741">
        <f t="shared" si="11"/>
        <v>2291391</v>
      </c>
      <c r="W42" s="741">
        <f t="shared" si="12"/>
        <v>175122</v>
      </c>
      <c r="X42" s="741">
        <f t="shared" si="13"/>
        <v>2466513</v>
      </c>
      <c r="Y42" s="741">
        <v>2180</v>
      </c>
      <c r="Z42" s="741">
        <f t="shared" si="14"/>
        <v>167</v>
      </c>
      <c r="AA42" s="749">
        <f t="shared" si="15"/>
        <v>2468860</v>
      </c>
    </row>
    <row r="43" spans="1:27">
      <c r="A43" s="742">
        <f t="shared" si="16"/>
        <v>2019</v>
      </c>
      <c r="B43" s="742">
        <f t="shared" si="17"/>
        <v>2</v>
      </c>
      <c r="C43" s="746">
        <f t="shared" si="5"/>
        <v>43497</v>
      </c>
      <c r="D43" s="739"/>
      <c r="E43" s="748">
        <v>1049964</v>
      </c>
      <c r="F43" s="741">
        <v>757240</v>
      </c>
      <c r="G43" s="741">
        <v>98109</v>
      </c>
      <c r="H43" s="741">
        <v>6176</v>
      </c>
      <c r="I43" s="741">
        <v>816</v>
      </c>
      <c r="J43" s="741">
        <f t="shared" si="6"/>
        <v>1912305</v>
      </c>
      <c r="K43" s="741">
        <f t="shared" si="7"/>
        <v>146150</v>
      </c>
      <c r="L43" s="741">
        <f t="shared" si="8"/>
        <v>2058455</v>
      </c>
      <c r="M43" s="741">
        <v>2294</v>
      </c>
      <c r="N43" s="741">
        <f t="shared" si="9"/>
        <v>175</v>
      </c>
      <c r="O43" s="747">
        <f t="shared" si="10"/>
        <v>2060924</v>
      </c>
      <c r="Q43" s="748">
        <v>1062186</v>
      </c>
      <c r="R43" s="741">
        <v>804999</v>
      </c>
      <c r="S43" s="741">
        <v>99177</v>
      </c>
      <c r="T43" s="741">
        <v>6176</v>
      </c>
      <c r="U43" s="741">
        <v>816</v>
      </c>
      <c r="V43" s="741">
        <f t="shared" si="11"/>
        <v>1973354</v>
      </c>
      <c r="W43" s="741">
        <f t="shared" si="12"/>
        <v>150816</v>
      </c>
      <c r="X43" s="741">
        <f t="shared" si="13"/>
        <v>2124170</v>
      </c>
      <c r="Y43" s="741">
        <v>2294</v>
      </c>
      <c r="Z43" s="741">
        <f t="shared" si="14"/>
        <v>175</v>
      </c>
      <c r="AA43" s="749">
        <f t="shared" si="15"/>
        <v>2126639</v>
      </c>
    </row>
    <row r="44" spans="1:27">
      <c r="A44" s="742">
        <f t="shared" si="16"/>
        <v>2019</v>
      </c>
      <c r="B44" s="742">
        <f t="shared" si="17"/>
        <v>3</v>
      </c>
      <c r="C44" s="746">
        <f t="shared" si="5"/>
        <v>43525</v>
      </c>
      <c r="D44" s="739"/>
      <c r="E44" s="748">
        <v>1045413</v>
      </c>
      <c r="F44" s="741">
        <v>804397</v>
      </c>
      <c r="G44" s="741">
        <v>109918</v>
      </c>
      <c r="H44" s="741">
        <v>6850</v>
      </c>
      <c r="I44" s="741">
        <v>814</v>
      </c>
      <c r="J44" s="741">
        <f t="shared" si="6"/>
        <v>1967392</v>
      </c>
      <c r="K44" s="741">
        <f t="shared" si="7"/>
        <v>150360</v>
      </c>
      <c r="L44" s="741">
        <f t="shared" si="8"/>
        <v>2117752</v>
      </c>
      <c r="M44" s="741">
        <v>2205</v>
      </c>
      <c r="N44" s="741">
        <f t="shared" si="9"/>
        <v>169</v>
      </c>
      <c r="O44" s="747">
        <f t="shared" si="10"/>
        <v>2120126</v>
      </c>
      <c r="Q44" s="748">
        <v>1058377</v>
      </c>
      <c r="R44" s="741">
        <v>857508</v>
      </c>
      <c r="S44" s="741">
        <v>111205</v>
      </c>
      <c r="T44" s="741">
        <v>6850</v>
      </c>
      <c r="U44" s="741">
        <v>814</v>
      </c>
      <c r="V44" s="741">
        <f t="shared" si="11"/>
        <v>2034754</v>
      </c>
      <c r="W44" s="741">
        <f t="shared" si="12"/>
        <v>155509</v>
      </c>
      <c r="X44" s="741">
        <f t="shared" si="13"/>
        <v>2190263</v>
      </c>
      <c r="Y44" s="741">
        <v>2205</v>
      </c>
      <c r="Z44" s="741">
        <f t="shared" si="14"/>
        <v>169</v>
      </c>
      <c r="AA44" s="749">
        <f t="shared" si="15"/>
        <v>2192637</v>
      </c>
    </row>
    <row r="45" spans="1:27">
      <c r="A45" s="742">
        <f t="shared" si="16"/>
        <v>2019</v>
      </c>
      <c r="B45" s="742">
        <f t="shared" si="17"/>
        <v>4</v>
      </c>
      <c r="C45" s="746">
        <f t="shared" si="5"/>
        <v>43556</v>
      </c>
      <c r="D45" s="739"/>
      <c r="E45" s="748">
        <v>862305</v>
      </c>
      <c r="F45" s="741">
        <v>743373</v>
      </c>
      <c r="G45" s="741">
        <v>101031</v>
      </c>
      <c r="H45" s="741">
        <v>6116</v>
      </c>
      <c r="I45" s="741">
        <v>591</v>
      </c>
      <c r="J45" s="741">
        <f t="shared" si="6"/>
        <v>1713416</v>
      </c>
      <c r="K45" s="741">
        <f t="shared" si="7"/>
        <v>130950</v>
      </c>
      <c r="L45" s="741">
        <f t="shared" si="8"/>
        <v>1844366</v>
      </c>
      <c r="M45" s="741">
        <v>2046</v>
      </c>
      <c r="N45" s="741">
        <f t="shared" si="9"/>
        <v>156</v>
      </c>
      <c r="O45" s="747">
        <f t="shared" si="10"/>
        <v>1846568</v>
      </c>
      <c r="Q45" s="748">
        <v>874145</v>
      </c>
      <c r="R45" s="741">
        <v>795131</v>
      </c>
      <c r="S45" s="741">
        <v>102303</v>
      </c>
      <c r="T45" s="741">
        <v>6116</v>
      </c>
      <c r="U45" s="741">
        <v>591</v>
      </c>
      <c r="V45" s="741">
        <f t="shared" si="11"/>
        <v>1778286</v>
      </c>
      <c r="W45" s="741">
        <f t="shared" si="12"/>
        <v>135908</v>
      </c>
      <c r="X45" s="741">
        <f t="shared" si="13"/>
        <v>1914194</v>
      </c>
      <c r="Y45" s="741">
        <v>2046</v>
      </c>
      <c r="Z45" s="741">
        <f t="shared" si="14"/>
        <v>156</v>
      </c>
      <c r="AA45" s="749">
        <f t="shared" si="15"/>
        <v>1916396</v>
      </c>
    </row>
    <row r="46" spans="1:27">
      <c r="A46" s="742">
        <f t="shared" si="16"/>
        <v>2019</v>
      </c>
      <c r="B46" s="742">
        <f t="shared" si="17"/>
        <v>5</v>
      </c>
      <c r="C46" s="746">
        <f t="shared" si="5"/>
        <v>43586</v>
      </c>
      <c r="D46" s="739"/>
      <c r="E46" s="748">
        <v>739742</v>
      </c>
      <c r="F46" s="741">
        <v>737413</v>
      </c>
      <c r="G46" s="741">
        <v>105147</v>
      </c>
      <c r="H46" s="741">
        <v>6480</v>
      </c>
      <c r="I46" s="741">
        <v>457</v>
      </c>
      <c r="J46" s="741">
        <f t="shared" si="6"/>
        <v>1589239</v>
      </c>
      <c r="K46" s="741">
        <f t="shared" si="7"/>
        <v>121460</v>
      </c>
      <c r="L46" s="741">
        <f t="shared" si="8"/>
        <v>1710699</v>
      </c>
      <c r="M46" s="741">
        <v>2037</v>
      </c>
      <c r="N46" s="741">
        <f t="shared" si="9"/>
        <v>156</v>
      </c>
      <c r="O46" s="747">
        <f t="shared" si="10"/>
        <v>1712892</v>
      </c>
      <c r="Q46" s="748">
        <v>751222</v>
      </c>
      <c r="R46" s="741">
        <v>791020</v>
      </c>
      <c r="S46" s="741">
        <v>106552</v>
      </c>
      <c r="T46" s="741">
        <v>6480</v>
      </c>
      <c r="U46" s="741">
        <v>457</v>
      </c>
      <c r="V46" s="741">
        <f t="shared" si="11"/>
        <v>1655731</v>
      </c>
      <c r="W46" s="741">
        <f t="shared" si="12"/>
        <v>126541</v>
      </c>
      <c r="X46" s="741">
        <f t="shared" si="13"/>
        <v>1782272</v>
      </c>
      <c r="Y46" s="741">
        <v>2037</v>
      </c>
      <c r="Z46" s="741">
        <f t="shared" si="14"/>
        <v>156</v>
      </c>
      <c r="AA46" s="749">
        <f t="shared" si="15"/>
        <v>1784465</v>
      </c>
    </row>
    <row r="47" spans="1:27">
      <c r="A47" s="742">
        <f t="shared" si="16"/>
        <v>2019</v>
      </c>
      <c r="B47" s="742">
        <f t="shared" si="17"/>
        <v>6</v>
      </c>
      <c r="C47" s="746">
        <f t="shared" si="5"/>
        <v>43617</v>
      </c>
      <c r="D47" s="739"/>
      <c r="E47" s="748">
        <v>680386</v>
      </c>
      <c r="F47" s="741">
        <v>732235</v>
      </c>
      <c r="G47" s="741">
        <v>105858</v>
      </c>
      <c r="H47" s="741">
        <v>6492</v>
      </c>
      <c r="I47" s="741">
        <v>356</v>
      </c>
      <c r="J47" s="741">
        <f t="shared" si="6"/>
        <v>1525327</v>
      </c>
      <c r="K47" s="741">
        <f t="shared" si="7"/>
        <v>116575</v>
      </c>
      <c r="L47" s="741">
        <f t="shared" si="8"/>
        <v>1641902</v>
      </c>
      <c r="M47" s="741">
        <v>1680</v>
      </c>
      <c r="N47" s="741">
        <f t="shared" si="9"/>
        <v>128</v>
      </c>
      <c r="O47" s="747">
        <f t="shared" si="10"/>
        <v>1643710</v>
      </c>
      <c r="Q47" s="748">
        <v>692342</v>
      </c>
      <c r="R47" s="741">
        <v>787265</v>
      </c>
      <c r="S47" s="741">
        <v>107339</v>
      </c>
      <c r="T47" s="741">
        <v>6492</v>
      </c>
      <c r="U47" s="741">
        <v>356</v>
      </c>
      <c r="V47" s="741">
        <f t="shared" si="11"/>
        <v>1593794</v>
      </c>
      <c r="W47" s="741">
        <f t="shared" si="12"/>
        <v>121808</v>
      </c>
      <c r="X47" s="741">
        <f t="shared" si="13"/>
        <v>1715602</v>
      </c>
      <c r="Y47" s="741">
        <v>1680</v>
      </c>
      <c r="Z47" s="741">
        <f t="shared" si="14"/>
        <v>128</v>
      </c>
      <c r="AA47" s="749">
        <f t="shared" si="15"/>
        <v>1717410</v>
      </c>
    </row>
    <row r="48" spans="1:27">
      <c r="A48" s="742">
        <f t="shared" si="16"/>
        <v>2019</v>
      </c>
      <c r="B48" s="742">
        <f t="shared" si="17"/>
        <v>7</v>
      </c>
      <c r="C48" s="746">
        <f t="shared" si="5"/>
        <v>43647</v>
      </c>
      <c r="D48" s="739"/>
      <c r="E48" s="748">
        <v>681210</v>
      </c>
      <c r="F48" s="741">
        <v>774319</v>
      </c>
      <c r="G48" s="741">
        <v>108488</v>
      </c>
      <c r="H48" s="741">
        <v>6254</v>
      </c>
      <c r="I48" s="741">
        <v>314</v>
      </c>
      <c r="J48" s="741">
        <f t="shared" si="6"/>
        <v>1570585</v>
      </c>
      <c r="K48" s="741">
        <f t="shared" si="7"/>
        <v>120034</v>
      </c>
      <c r="L48" s="741">
        <f t="shared" si="8"/>
        <v>1690619</v>
      </c>
      <c r="M48" s="741">
        <v>2694</v>
      </c>
      <c r="N48" s="741">
        <f t="shared" si="9"/>
        <v>206</v>
      </c>
      <c r="O48" s="747">
        <f t="shared" si="10"/>
        <v>1693519</v>
      </c>
      <c r="Q48" s="748">
        <v>694725</v>
      </c>
      <c r="R48" s="741">
        <v>833405</v>
      </c>
      <c r="S48" s="741">
        <v>110098</v>
      </c>
      <c r="T48" s="741">
        <v>6254</v>
      </c>
      <c r="U48" s="741">
        <v>314</v>
      </c>
      <c r="V48" s="741">
        <f t="shared" si="11"/>
        <v>1644796</v>
      </c>
      <c r="W48" s="741">
        <f t="shared" si="12"/>
        <v>125706</v>
      </c>
      <c r="X48" s="741">
        <f t="shared" si="13"/>
        <v>1770502</v>
      </c>
      <c r="Y48" s="741">
        <v>2694</v>
      </c>
      <c r="Z48" s="741">
        <f t="shared" si="14"/>
        <v>206</v>
      </c>
      <c r="AA48" s="749">
        <f t="shared" si="15"/>
        <v>1773402</v>
      </c>
    </row>
    <row r="49" spans="1:27">
      <c r="A49" s="742">
        <f t="shared" si="16"/>
        <v>2019</v>
      </c>
      <c r="B49" s="742">
        <f t="shared" si="17"/>
        <v>8</v>
      </c>
      <c r="C49" s="746">
        <f t="shared" si="5"/>
        <v>43678</v>
      </c>
      <c r="D49" s="739"/>
      <c r="E49" s="748">
        <v>664685</v>
      </c>
      <c r="F49" s="741">
        <v>793984</v>
      </c>
      <c r="G49" s="741">
        <v>111717</v>
      </c>
      <c r="H49" s="741">
        <v>6455</v>
      </c>
      <c r="I49" s="741">
        <v>285</v>
      </c>
      <c r="J49" s="741">
        <f t="shared" si="6"/>
        <v>1577126</v>
      </c>
      <c r="K49" s="741">
        <f t="shared" si="7"/>
        <v>120534</v>
      </c>
      <c r="L49" s="741">
        <f t="shared" si="8"/>
        <v>1697660</v>
      </c>
      <c r="M49" s="741">
        <v>1538</v>
      </c>
      <c r="N49" s="741">
        <f t="shared" si="9"/>
        <v>118</v>
      </c>
      <c r="O49" s="747">
        <f t="shared" si="10"/>
        <v>1699316</v>
      </c>
      <c r="Q49" s="748">
        <v>679182</v>
      </c>
      <c r="R49" s="741">
        <v>854964</v>
      </c>
      <c r="S49" s="741">
        <v>113477</v>
      </c>
      <c r="T49" s="741">
        <v>6455</v>
      </c>
      <c r="U49" s="741">
        <v>285</v>
      </c>
      <c r="V49" s="741">
        <f t="shared" si="11"/>
        <v>1654363</v>
      </c>
      <c r="W49" s="741">
        <f t="shared" si="12"/>
        <v>126437</v>
      </c>
      <c r="X49" s="741">
        <f t="shared" si="13"/>
        <v>1780800</v>
      </c>
      <c r="Y49" s="741">
        <v>1538</v>
      </c>
      <c r="Z49" s="741">
        <f t="shared" si="14"/>
        <v>118</v>
      </c>
      <c r="AA49" s="749">
        <f t="shared" si="15"/>
        <v>1782456</v>
      </c>
    </row>
    <row r="50" spans="1:27">
      <c r="A50" s="742">
        <f t="shared" si="16"/>
        <v>2019</v>
      </c>
      <c r="B50" s="742">
        <f t="shared" si="17"/>
        <v>9</v>
      </c>
      <c r="C50" s="746">
        <f t="shared" si="5"/>
        <v>43709</v>
      </c>
      <c r="D50" s="739"/>
      <c r="E50" s="748">
        <v>667588</v>
      </c>
      <c r="F50" s="741">
        <v>748461</v>
      </c>
      <c r="G50" s="741">
        <v>103337</v>
      </c>
      <c r="H50" s="741">
        <v>6301</v>
      </c>
      <c r="I50" s="741">
        <v>324</v>
      </c>
      <c r="J50" s="741">
        <f t="shared" si="6"/>
        <v>1526011</v>
      </c>
      <c r="K50" s="741">
        <f t="shared" si="7"/>
        <v>116627</v>
      </c>
      <c r="L50" s="741">
        <f t="shared" si="8"/>
        <v>1642638</v>
      </c>
      <c r="M50" s="741">
        <v>1338</v>
      </c>
      <c r="N50" s="741">
        <f t="shared" si="9"/>
        <v>102</v>
      </c>
      <c r="O50" s="747">
        <f t="shared" si="10"/>
        <v>1644078</v>
      </c>
      <c r="Q50" s="748">
        <v>683104</v>
      </c>
      <c r="R50" s="741">
        <v>806573</v>
      </c>
      <c r="S50" s="741">
        <v>105083</v>
      </c>
      <c r="T50" s="741">
        <v>6301</v>
      </c>
      <c r="U50" s="741">
        <v>324</v>
      </c>
      <c r="V50" s="741">
        <f t="shared" si="11"/>
        <v>1601385</v>
      </c>
      <c r="W50" s="741">
        <f t="shared" si="12"/>
        <v>122388</v>
      </c>
      <c r="X50" s="741">
        <f t="shared" si="13"/>
        <v>1723773</v>
      </c>
      <c r="Y50" s="741">
        <v>1338</v>
      </c>
      <c r="Z50" s="741">
        <f t="shared" si="14"/>
        <v>102</v>
      </c>
      <c r="AA50" s="749">
        <f t="shared" si="15"/>
        <v>1725213</v>
      </c>
    </row>
    <row r="51" spans="1:27">
      <c r="A51" s="742">
        <f t="shared" si="16"/>
        <v>2019</v>
      </c>
      <c r="B51" s="742">
        <f t="shared" si="17"/>
        <v>10</v>
      </c>
      <c r="C51" s="746">
        <f t="shared" si="5"/>
        <v>43739</v>
      </c>
      <c r="D51" s="739"/>
      <c r="E51" s="748">
        <v>832842</v>
      </c>
      <c r="F51" s="741">
        <v>769816</v>
      </c>
      <c r="G51" s="741">
        <v>106890</v>
      </c>
      <c r="H51" s="741">
        <v>6570</v>
      </c>
      <c r="I51" s="741">
        <v>483</v>
      </c>
      <c r="J51" s="741">
        <f t="shared" si="6"/>
        <v>1716601</v>
      </c>
      <c r="K51" s="741">
        <f t="shared" si="7"/>
        <v>131193</v>
      </c>
      <c r="L51" s="741">
        <f t="shared" si="8"/>
        <v>1847794</v>
      </c>
      <c r="M51" s="741">
        <v>1718</v>
      </c>
      <c r="N51" s="741">
        <f t="shared" si="9"/>
        <v>131</v>
      </c>
      <c r="O51" s="747">
        <f t="shared" si="10"/>
        <v>1849643</v>
      </c>
      <c r="Q51" s="748">
        <v>852705</v>
      </c>
      <c r="R51" s="741">
        <v>829926</v>
      </c>
      <c r="S51" s="741">
        <v>108739</v>
      </c>
      <c r="T51" s="741">
        <v>6570</v>
      </c>
      <c r="U51" s="741">
        <v>483</v>
      </c>
      <c r="V51" s="741">
        <f t="shared" si="11"/>
        <v>1798423</v>
      </c>
      <c r="W51" s="741">
        <f t="shared" si="12"/>
        <v>137447</v>
      </c>
      <c r="X51" s="741">
        <f t="shared" si="13"/>
        <v>1935870</v>
      </c>
      <c r="Y51" s="741">
        <v>1718</v>
      </c>
      <c r="Z51" s="741">
        <f t="shared" si="14"/>
        <v>131</v>
      </c>
      <c r="AA51" s="749">
        <f t="shared" si="15"/>
        <v>1937719</v>
      </c>
    </row>
    <row r="52" spans="1:27">
      <c r="A52" s="742">
        <f t="shared" si="16"/>
        <v>2019</v>
      </c>
      <c r="B52" s="742">
        <f t="shared" si="17"/>
        <v>11</v>
      </c>
      <c r="C52" s="746">
        <f t="shared" si="5"/>
        <v>43770</v>
      </c>
      <c r="D52" s="739"/>
      <c r="E52" s="748">
        <v>1028038</v>
      </c>
      <c r="F52" s="741">
        <v>800225</v>
      </c>
      <c r="G52" s="741">
        <v>99195</v>
      </c>
      <c r="H52" s="741">
        <v>6978</v>
      </c>
      <c r="I52" s="741">
        <v>697</v>
      </c>
      <c r="J52" s="741">
        <f t="shared" si="6"/>
        <v>1935133</v>
      </c>
      <c r="K52" s="741">
        <f t="shared" si="7"/>
        <v>147895</v>
      </c>
      <c r="L52" s="741">
        <f t="shared" si="8"/>
        <v>2083028</v>
      </c>
      <c r="M52" s="741">
        <v>1710</v>
      </c>
      <c r="N52" s="741">
        <f t="shared" si="9"/>
        <v>131</v>
      </c>
      <c r="O52" s="747">
        <f t="shared" si="10"/>
        <v>2084869</v>
      </c>
      <c r="Q52" s="748">
        <v>1052514</v>
      </c>
      <c r="R52" s="741">
        <v>861181</v>
      </c>
      <c r="S52" s="741">
        <v>101067</v>
      </c>
      <c r="T52" s="741">
        <v>6978</v>
      </c>
      <c r="U52" s="741">
        <v>697</v>
      </c>
      <c r="V52" s="741">
        <f t="shared" si="11"/>
        <v>2022437</v>
      </c>
      <c r="W52" s="741">
        <f t="shared" si="12"/>
        <v>154567</v>
      </c>
      <c r="X52" s="741">
        <f t="shared" si="13"/>
        <v>2177004</v>
      </c>
      <c r="Y52" s="741">
        <v>1710</v>
      </c>
      <c r="Z52" s="741">
        <f t="shared" si="14"/>
        <v>131</v>
      </c>
      <c r="AA52" s="749">
        <f t="shared" si="15"/>
        <v>2178845</v>
      </c>
    </row>
    <row r="53" spans="1:27">
      <c r="A53" s="742">
        <f t="shared" si="16"/>
        <v>2019</v>
      </c>
      <c r="B53" s="742">
        <f t="shared" si="17"/>
        <v>12</v>
      </c>
      <c r="C53" s="746">
        <f t="shared" si="5"/>
        <v>43800</v>
      </c>
      <c r="D53" s="739"/>
      <c r="E53" s="748">
        <v>1299084</v>
      </c>
      <c r="F53" s="741">
        <v>876079</v>
      </c>
      <c r="G53" s="741">
        <v>98796</v>
      </c>
      <c r="H53" s="741">
        <v>6853</v>
      </c>
      <c r="I53" s="741">
        <v>1016</v>
      </c>
      <c r="J53" s="741">
        <f t="shared" si="6"/>
        <v>2281828</v>
      </c>
      <c r="K53" s="741">
        <f t="shared" si="7"/>
        <v>174392</v>
      </c>
      <c r="L53" s="741">
        <f t="shared" si="8"/>
        <v>2456220</v>
      </c>
      <c r="M53" s="741">
        <v>1596</v>
      </c>
      <c r="N53" s="741">
        <f t="shared" si="9"/>
        <v>122</v>
      </c>
      <c r="O53" s="747">
        <f t="shared" si="10"/>
        <v>2457938</v>
      </c>
      <c r="Q53" s="748">
        <v>1329840</v>
      </c>
      <c r="R53" s="741">
        <v>943000</v>
      </c>
      <c r="S53" s="741">
        <v>100877</v>
      </c>
      <c r="T53" s="741">
        <v>6853</v>
      </c>
      <c r="U53" s="741">
        <v>1016</v>
      </c>
      <c r="V53" s="741">
        <f t="shared" si="11"/>
        <v>2381586</v>
      </c>
      <c r="W53" s="741">
        <f t="shared" si="12"/>
        <v>182016</v>
      </c>
      <c r="X53" s="741">
        <f t="shared" si="13"/>
        <v>2563602</v>
      </c>
      <c r="Y53" s="741">
        <v>1596</v>
      </c>
      <c r="Z53" s="741">
        <f t="shared" si="14"/>
        <v>122</v>
      </c>
      <c r="AA53" s="749">
        <f t="shared" si="15"/>
        <v>2565320</v>
      </c>
    </row>
    <row r="54" spans="1:27">
      <c r="A54" s="742">
        <f t="shared" si="16"/>
        <v>2020</v>
      </c>
      <c r="B54" s="742">
        <f t="shared" si="17"/>
        <v>1</v>
      </c>
      <c r="C54" s="746">
        <f t="shared" si="5"/>
        <v>43831</v>
      </c>
      <c r="D54" s="739"/>
      <c r="E54" s="748">
        <v>1258459</v>
      </c>
      <c r="F54" s="741">
        <v>858490</v>
      </c>
      <c r="G54" s="741">
        <v>111660</v>
      </c>
      <c r="H54" s="741">
        <v>6711</v>
      </c>
      <c r="I54" s="741">
        <v>883</v>
      </c>
      <c r="J54" s="741">
        <f t="shared" si="6"/>
        <v>2236203</v>
      </c>
      <c r="K54" s="741">
        <f t="shared" si="7"/>
        <v>170905</v>
      </c>
      <c r="L54" s="741">
        <f t="shared" si="8"/>
        <v>2407108</v>
      </c>
      <c r="M54" s="741">
        <v>2243</v>
      </c>
      <c r="N54" s="741">
        <f t="shared" si="9"/>
        <v>171</v>
      </c>
      <c r="O54" s="747">
        <f t="shared" si="10"/>
        <v>2409522</v>
      </c>
      <c r="Q54" s="748">
        <v>1289038</v>
      </c>
      <c r="R54" s="741">
        <v>924466</v>
      </c>
      <c r="S54" s="741">
        <v>113991</v>
      </c>
      <c r="T54" s="741">
        <v>6711</v>
      </c>
      <c r="U54" s="741">
        <v>883</v>
      </c>
      <c r="V54" s="741">
        <f t="shared" si="11"/>
        <v>2335089</v>
      </c>
      <c r="W54" s="741">
        <f t="shared" si="12"/>
        <v>178462</v>
      </c>
      <c r="X54" s="741">
        <f t="shared" si="13"/>
        <v>2513551</v>
      </c>
      <c r="Y54" s="741">
        <v>2243</v>
      </c>
      <c r="Z54" s="741">
        <f t="shared" si="14"/>
        <v>171</v>
      </c>
      <c r="AA54" s="749">
        <f t="shared" si="15"/>
        <v>2515965</v>
      </c>
    </row>
    <row r="55" spans="1:27">
      <c r="A55" s="742">
        <f t="shared" si="16"/>
        <v>2020</v>
      </c>
      <c r="B55" s="742">
        <f t="shared" si="17"/>
        <v>2</v>
      </c>
      <c r="C55" s="746">
        <f t="shared" si="5"/>
        <v>43862</v>
      </c>
      <c r="D55" s="739"/>
      <c r="E55" s="748">
        <v>1089253</v>
      </c>
      <c r="F55" s="741">
        <v>801310</v>
      </c>
      <c r="G55" s="741">
        <v>99906</v>
      </c>
      <c r="H55" s="741">
        <v>6353</v>
      </c>
      <c r="I55" s="741">
        <v>835</v>
      </c>
      <c r="J55" s="741">
        <f t="shared" si="6"/>
        <v>1997657</v>
      </c>
      <c r="K55" s="741">
        <f t="shared" si="7"/>
        <v>152673</v>
      </c>
      <c r="L55" s="741">
        <f t="shared" si="8"/>
        <v>2150330</v>
      </c>
      <c r="M55" s="741">
        <v>2439</v>
      </c>
      <c r="N55" s="741">
        <f t="shared" si="9"/>
        <v>186</v>
      </c>
      <c r="O55" s="747">
        <f t="shared" si="10"/>
        <v>2152955</v>
      </c>
      <c r="Q55" s="748">
        <v>1095270</v>
      </c>
      <c r="R55" s="741">
        <v>846505</v>
      </c>
      <c r="S55" s="741">
        <v>99294</v>
      </c>
      <c r="T55" s="741">
        <v>6353</v>
      </c>
      <c r="U55" s="741">
        <v>835</v>
      </c>
      <c r="V55" s="741">
        <f t="shared" si="11"/>
        <v>2048257</v>
      </c>
      <c r="W55" s="741">
        <f t="shared" si="12"/>
        <v>156541</v>
      </c>
      <c r="X55" s="741">
        <f t="shared" si="13"/>
        <v>2204798</v>
      </c>
      <c r="Y55" s="741">
        <v>2439</v>
      </c>
      <c r="Z55" s="741">
        <f t="shared" si="14"/>
        <v>186</v>
      </c>
      <c r="AA55" s="749">
        <f t="shared" si="15"/>
        <v>2207423</v>
      </c>
    </row>
    <row r="56" spans="1:27">
      <c r="A56" s="742">
        <f t="shared" si="16"/>
        <v>2020</v>
      </c>
      <c r="B56" s="742">
        <f t="shared" si="17"/>
        <v>3</v>
      </c>
      <c r="C56" s="746">
        <f t="shared" si="5"/>
        <v>43891</v>
      </c>
      <c r="D56" s="739"/>
      <c r="E56" s="748">
        <v>1040985</v>
      </c>
      <c r="F56" s="741">
        <v>819233</v>
      </c>
      <c r="G56" s="741">
        <v>103683</v>
      </c>
      <c r="H56" s="741">
        <v>6876</v>
      </c>
      <c r="I56" s="741">
        <v>825</v>
      </c>
      <c r="J56" s="741">
        <f t="shared" si="6"/>
        <v>1971602</v>
      </c>
      <c r="K56" s="741">
        <f t="shared" si="7"/>
        <v>150682</v>
      </c>
      <c r="L56" s="741">
        <f t="shared" si="8"/>
        <v>2122284</v>
      </c>
      <c r="M56" s="741">
        <v>2263</v>
      </c>
      <c r="N56" s="741">
        <f t="shared" si="9"/>
        <v>173</v>
      </c>
      <c r="O56" s="747">
        <f t="shared" si="10"/>
        <v>2124720</v>
      </c>
      <c r="Q56" s="748">
        <v>1090035</v>
      </c>
      <c r="R56" s="741">
        <v>901390</v>
      </c>
      <c r="S56" s="741">
        <v>109022</v>
      </c>
      <c r="T56" s="741">
        <v>6876</v>
      </c>
      <c r="U56" s="741">
        <v>825</v>
      </c>
      <c r="V56" s="741">
        <f t="shared" si="11"/>
        <v>2108148</v>
      </c>
      <c r="W56" s="741">
        <f t="shared" si="12"/>
        <v>161118</v>
      </c>
      <c r="X56" s="741">
        <f t="shared" si="13"/>
        <v>2269266</v>
      </c>
      <c r="Y56" s="741">
        <v>2263</v>
      </c>
      <c r="Z56" s="741">
        <f t="shared" si="14"/>
        <v>173</v>
      </c>
      <c r="AA56" s="749">
        <f t="shared" si="15"/>
        <v>2271702</v>
      </c>
    </row>
    <row r="57" spans="1:27">
      <c r="A57" s="742">
        <f t="shared" si="16"/>
        <v>2020</v>
      </c>
      <c r="B57" s="742">
        <f t="shared" si="17"/>
        <v>4</v>
      </c>
      <c r="C57" s="746">
        <f t="shared" si="5"/>
        <v>43922</v>
      </c>
      <c r="D57" s="739"/>
      <c r="E57" s="748">
        <v>858224</v>
      </c>
      <c r="F57" s="741">
        <v>755402</v>
      </c>
      <c r="G57" s="741">
        <v>96530</v>
      </c>
      <c r="H57" s="741">
        <v>6088</v>
      </c>
      <c r="I57" s="741">
        <v>591</v>
      </c>
      <c r="J57" s="741">
        <f t="shared" si="6"/>
        <v>1716835</v>
      </c>
      <c r="K57" s="741">
        <f t="shared" si="7"/>
        <v>131211</v>
      </c>
      <c r="L57" s="741">
        <f t="shared" si="8"/>
        <v>1848046</v>
      </c>
      <c r="M57" s="741">
        <v>2101</v>
      </c>
      <c r="N57" s="741">
        <f t="shared" si="9"/>
        <v>161</v>
      </c>
      <c r="O57" s="747">
        <f t="shared" si="10"/>
        <v>1850308</v>
      </c>
      <c r="Q57" s="748">
        <v>884856</v>
      </c>
      <c r="R57" s="741">
        <v>822232</v>
      </c>
      <c r="S57" s="741">
        <v>99126</v>
      </c>
      <c r="T57" s="741">
        <v>6088</v>
      </c>
      <c r="U57" s="741">
        <v>591</v>
      </c>
      <c r="V57" s="741">
        <f t="shared" si="11"/>
        <v>1812893</v>
      </c>
      <c r="W57" s="741">
        <f t="shared" si="12"/>
        <v>138553</v>
      </c>
      <c r="X57" s="741">
        <f t="shared" si="13"/>
        <v>1951446</v>
      </c>
      <c r="Y57" s="741">
        <v>2101</v>
      </c>
      <c r="Z57" s="741">
        <f t="shared" si="14"/>
        <v>161</v>
      </c>
      <c r="AA57" s="749">
        <f t="shared" si="15"/>
        <v>1953708</v>
      </c>
    </row>
    <row r="58" spans="1:27">
      <c r="A58" s="757">
        <f t="shared" si="16"/>
        <v>2020</v>
      </c>
      <c r="B58" s="757">
        <f t="shared" si="17"/>
        <v>5</v>
      </c>
      <c r="C58" s="756">
        <f t="shared" si="5"/>
        <v>43952</v>
      </c>
      <c r="D58" s="755"/>
      <c r="E58" s="754">
        <v>734493</v>
      </c>
      <c r="F58" s="752">
        <v>748353</v>
      </c>
      <c r="G58" s="752">
        <v>100123</v>
      </c>
      <c r="H58" s="752">
        <v>6442</v>
      </c>
      <c r="I58" s="752">
        <v>458</v>
      </c>
      <c r="J58" s="753">
        <f t="shared" si="6"/>
        <v>1589869</v>
      </c>
      <c r="K58" s="752">
        <f t="shared" si="7"/>
        <v>121508</v>
      </c>
      <c r="L58" s="752">
        <f t="shared" si="8"/>
        <v>1711377</v>
      </c>
      <c r="M58" s="752">
        <v>2097</v>
      </c>
      <c r="N58" s="752">
        <f t="shared" si="9"/>
        <v>160</v>
      </c>
      <c r="O58" s="751">
        <f t="shared" si="10"/>
        <v>1713634</v>
      </c>
      <c r="Q58" s="748">
        <v>760584</v>
      </c>
      <c r="R58" s="741">
        <v>817954</v>
      </c>
      <c r="S58" s="741">
        <v>103017</v>
      </c>
      <c r="T58" s="741">
        <v>6442</v>
      </c>
      <c r="U58" s="741">
        <v>458</v>
      </c>
      <c r="V58" s="741">
        <f t="shared" si="11"/>
        <v>1688455</v>
      </c>
      <c r="W58" s="741">
        <f t="shared" si="12"/>
        <v>129042</v>
      </c>
      <c r="X58" s="741">
        <f t="shared" si="13"/>
        <v>1817497</v>
      </c>
      <c r="Y58" s="741">
        <v>2097</v>
      </c>
      <c r="Z58" s="741">
        <f t="shared" si="14"/>
        <v>160</v>
      </c>
      <c r="AA58" s="749">
        <f t="shared" si="15"/>
        <v>1819754</v>
      </c>
    </row>
    <row r="59" spans="1:27">
      <c r="A59" s="757">
        <f t="shared" si="16"/>
        <v>2020</v>
      </c>
      <c r="B59" s="757">
        <f t="shared" si="17"/>
        <v>6</v>
      </c>
      <c r="C59" s="756">
        <f t="shared" si="5"/>
        <v>43983</v>
      </c>
      <c r="D59" s="755"/>
      <c r="E59" s="754">
        <v>673965</v>
      </c>
      <c r="F59" s="752">
        <v>742061</v>
      </c>
      <c r="G59" s="752">
        <v>100393</v>
      </c>
      <c r="H59" s="752">
        <v>6446</v>
      </c>
      <c r="I59" s="752">
        <v>356</v>
      </c>
      <c r="J59" s="753">
        <f t="shared" si="6"/>
        <v>1523221</v>
      </c>
      <c r="K59" s="752">
        <f t="shared" si="7"/>
        <v>116414</v>
      </c>
      <c r="L59" s="752">
        <f t="shared" si="8"/>
        <v>1639635</v>
      </c>
      <c r="M59" s="752">
        <v>1727</v>
      </c>
      <c r="N59" s="752">
        <f t="shared" si="9"/>
        <v>132</v>
      </c>
      <c r="O59" s="751">
        <f t="shared" si="10"/>
        <v>1641494</v>
      </c>
      <c r="Q59" s="748">
        <v>701126</v>
      </c>
      <c r="R59" s="741">
        <v>813946</v>
      </c>
      <c r="S59" s="741">
        <v>103477</v>
      </c>
      <c r="T59" s="741">
        <v>6446</v>
      </c>
      <c r="U59" s="741">
        <v>356</v>
      </c>
      <c r="V59" s="741">
        <f t="shared" si="11"/>
        <v>1625351</v>
      </c>
      <c r="W59" s="741">
        <f t="shared" si="12"/>
        <v>124220</v>
      </c>
      <c r="X59" s="741">
        <f t="shared" si="13"/>
        <v>1749571</v>
      </c>
      <c r="Y59" s="741">
        <v>1727</v>
      </c>
      <c r="Z59" s="741">
        <f t="shared" si="14"/>
        <v>132</v>
      </c>
      <c r="AA59" s="749">
        <f t="shared" si="15"/>
        <v>1751430</v>
      </c>
    </row>
    <row r="60" spans="1:27">
      <c r="A60" s="757">
        <f t="shared" si="16"/>
        <v>2020</v>
      </c>
      <c r="B60" s="757">
        <f t="shared" si="17"/>
        <v>7</v>
      </c>
      <c r="C60" s="756">
        <f t="shared" si="5"/>
        <v>44013</v>
      </c>
      <c r="D60" s="755"/>
      <c r="E60" s="754">
        <v>673060</v>
      </c>
      <c r="F60" s="752">
        <v>783656</v>
      </c>
      <c r="G60" s="752">
        <v>102485</v>
      </c>
      <c r="H60" s="752">
        <v>6200</v>
      </c>
      <c r="I60" s="752">
        <v>314</v>
      </c>
      <c r="J60" s="753">
        <f t="shared" si="6"/>
        <v>1565715</v>
      </c>
      <c r="K60" s="752">
        <f t="shared" si="7"/>
        <v>119662</v>
      </c>
      <c r="L60" s="752">
        <f t="shared" si="8"/>
        <v>1685377</v>
      </c>
      <c r="M60" s="752">
        <v>2779</v>
      </c>
      <c r="N60" s="752">
        <f t="shared" si="9"/>
        <v>212</v>
      </c>
      <c r="O60" s="751">
        <f t="shared" si="10"/>
        <v>1688368</v>
      </c>
      <c r="Q60" s="748">
        <v>703723</v>
      </c>
      <c r="R60" s="741">
        <v>861726</v>
      </c>
      <c r="S60" s="741">
        <v>105867</v>
      </c>
      <c r="T60" s="741">
        <v>6200</v>
      </c>
      <c r="U60" s="741">
        <v>314</v>
      </c>
      <c r="V60" s="741">
        <f t="shared" si="11"/>
        <v>1677830</v>
      </c>
      <c r="W60" s="741">
        <f t="shared" si="12"/>
        <v>128230</v>
      </c>
      <c r="X60" s="741">
        <f t="shared" si="13"/>
        <v>1806060</v>
      </c>
      <c r="Y60" s="741">
        <v>2779</v>
      </c>
      <c r="Z60" s="741">
        <f t="shared" si="14"/>
        <v>212</v>
      </c>
      <c r="AA60" s="749">
        <f t="shared" si="15"/>
        <v>1809051</v>
      </c>
    </row>
    <row r="61" spans="1:27">
      <c r="A61" s="757">
        <f t="shared" si="16"/>
        <v>2020</v>
      </c>
      <c r="B61" s="757">
        <f t="shared" si="17"/>
        <v>8</v>
      </c>
      <c r="C61" s="756">
        <f t="shared" si="5"/>
        <v>44044</v>
      </c>
      <c r="D61" s="755"/>
      <c r="E61" s="754">
        <v>655414</v>
      </c>
      <c r="F61" s="752">
        <v>802582</v>
      </c>
      <c r="G61" s="752">
        <v>105124</v>
      </c>
      <c r="H61" s="752">
        <v>6392</v>
      </c>
      <c r="I61" s="752">
        <v>285</v>
      </c>
      <c r="J61" s="753">
        <f t="shared" si="6"/>
        <v>1569797</v>
      </c>
      <c r="K61" s="752">
        <f t="shared" si="7"/>
        <v>119974</v>
      </c>
      <c r="L61" s="752">
        <f t="shared" si="8"/>
        <v>1689771</v>
      </c>
      <c r="M61" s="752">
        <v>1579</v>
      </c>
      <c r="N61" s="752">
        <f t="shared" si="9"/>
        <v>121</v>
      </c>
      <c r="O61" s="751">
        <f t="shared" si="10"/>
        <v>1691471</v>
      </c>
      <c r="Q61" s="748">
        <v>688090</v>
      </c>
      <c r="R61" s="741">
        <v>884245</v>
      </c>
      <c r="S61" s="741">
        <v>108851</v>
      </c>
      <c r="T61" s="741">
        <v>6392</v>
      </c>
      <c r="U61" s="741">
        <v>285</v>
      </c>
      <c r="V61" s="741">
        <f t="shared" si="11"/>
        <v>1687863</v>
      </c>
      <c r="W61" s="741">
        <f t="shared" si="12"/>
        <v>128997</v>
      </c>
      <c r="X61" s="741">
        <f t="shared" si="13"/>
        <v>1816860</v>
      </c>
      <c r="Y61" s="741">
        <v>1579</v>
      </c>
      <c r="Z61" s="741">
        <f t="shared" si="14"/>
        <v>121</v>
      </c>
      <c r="AA61" s="749">
        <f t="shared" si="15"/>
        <v>1818560</v>
      </c>
    </row>
    <row r="62" spans="1:27">
      <c r="A62" s="757">
        <f t="shared" si="16"/>
        <v>2020</v>
      </c>
      <c r="B62" s="757">
        <f t="shared" si="17"/>
        <v>9</v>
      </c>
      <c r="C62" s="756">
        <f t="shared" si="5"/>
        <v>44075</v>
      </c>
      <c r="D62" s="755"/>
      <c r="E62" s="754">
        <v>657761</v>
      </c>
      <c r="F62" s="752">
        <v>755537</v>
      </c>
      <c r="G62" s="752">
        <v>96503</v>
      </c>
      <c r="H62" s="752">
        <v>6231</v>
      </c>
      <c r="I62" s="752">
        <v>324</v>
      </c>
      <c r="J62" s="753">
        <f t="shared" si="6"/>
        <v>1516356</v>
      </c>
      <c r="K62" s="752">
        <f t="shared" si="7"/>
        <v>115889</v>
      </c>
      <c r="L62" s="752">
        <f t="shared" si="8"/>
        <v>1632245</v>
      </c>
      <c r="M62" s="752">
        <v>1377</v>
      </c>
      <c r="N62" s="752">
        <f t="shared" si="9"/>
        <v>105</v>
      </c>
      <c r="O62" s="751">
        <f t="shared" si="10"/>
        <v>1633727</v>
      </c>
      <c r="Q62" s="748">
        <v>692078</v>
      </c>
      <c r="R62" s="741">
        <v>834970</v>
      </c>
      <c r="S62" s="741">
        <v>100254</v>
      </c>
      <c r="T62" s="741">
        <v>6231</v>
      </c>
      <c r="U62" s="741">
        <v>324</v>
      </c>
      <c r="V62" s="741">
        <f t="shared" si="11"/>
        <v>1633857</v>
      </c>
      <c r="W62" s="741">
        <f t="shared" si="12"/>
        <v>124870</v>
      </c>
      <c r="X62" s="741">
        <f t="shared" si="13"/>
        <v>1758727</v>
      </c>
      <c r="Y62" s="741">
        <v>1377</v>
      </c>
      <c r="Z62" s="741">
        <f t="shared" si="14"/>
        <v>105</v>
      </c>
      <c r="AA62" s="749">
        <f t="shared" si="15"/>
        <v>1760209</v>
      </c>
    </row>
    <row r="63" spans="1:27">
      <c r="A63" s="757">
        <f t="shared" si="16"/>
        <v>2020</v>
      </c>
      <c r="B63" s="757">
        <f t="shared" si="17"/>
        <v>10</v>
      </c>
      <c r="C63" s="756">
        <f t="shared" si="5"/>
        <v>44105</v>
      </c>
      <c r="D63" s="755"/>
      <c r="E63" s="754">
        <v>821679</v>
      </c>
      <c r="F63" s="752">
        <v>775237</v>
      </c>
      <c r="G63" s="752">
        <v>99282</v>
      </c>
      <c r="H63" s="752">
        <v>6495</v>
      </c>
      <c r="I63" s="752">
        <v>483</v>
      </c>
      <c r="J63" s="753">
        <f t="shared" si="6"/>
        <v>1703176</v>
      </c>
      <c r="K63" s="752">
        <f t="shared" si="7"/>
        <v>130167</v>
      </c>
      <c r="L63" s="752">
        <f t="shared" si="8"/>
        <v>1833343</v>
      </c>
      <c r="M63" s="752">
        <v>1767</v>
      </c>
      <c r="N63" s="752">
        <f t="shared" si="9"/>
        <v>135</v>
      </c>
      <c r="O63" s="751">
        <f t="shared" si="10"/>
        <v>1835245</v>
      </c>
      <c r="Q63" s="748">
        <v>863522</v>
      </c>
      <c r="R63" s="741">
        <v>858942</v>
      </c>
      <c r="S63" s="741">
        <v>103321</v>
      </c>
      <c r="T63" s="741">
        <v>6495</v>
      </c>
      <c r="U63" s="741">
        <v>483</v>
      </c>
      <c r="V63" s="741">
        <f t="shared" si="11"/>
        <v>1832763</v>
      </c>
      <c r="W63" s="741">
        <f t="shared" si="12"/>
        <v>140071</v>
      </c>
      <c r="X63" s="741">
        <f t="shared" si="13"/>
        <v>1972834</v>
      </c>
      <c r="Y63" s="741">
        <v>1767</v>
      </c>
      <c r="Z63" s="741">
        <f t="shared" si="14"/>
        <v>135</v>
      </c>
      <c r="AA63" s="749">
        <f t="shared" si="15"/>
        <v>1974736</v>
      </c>
    </row>
    <row r="64" spans="1:27">
      <c r="A64" s="757">
        <f t="shared" si="16"/>
        <v>2020</v>
      </c>
      <c r="B64" s="757">
        <f t="shared" si="17"/>
        <v>11</v>
      </c>
      <c r="C64" s="756">
        <f t="shared" si="5"/>
        <v>44136</v>
      </c>
      <c r="D64" s="755"/>
      <c r="E64" s="754">
        <v>1017069</v>
      </c>
      <c r="F64" s="752">
        <v>805069</v>
      </c>
      <c r="G64" s="752">
        <v>91482</v>
      </c>
      <c r="H64" s="752">
        <v>6902</v>
      </c>
      <c r="I64" s="752">
        <v>697</v>
      </c>
      <c r="J64" s="753">
        <f t="shared" si="6"/>
        <v>1921219</v>
      </c>
      <c r="K64" s="752">
        <f t="shared" si="7"/>
        <v>146832</v>
      </c>
      <c r="L64" s="752">
        <f t="shared" si="8"/>
        <v>2068051</v>
      </c>
      <c r="M64" s="752">
        <v>1763</v>
      </c>
      <c r="N64" s="752">
        <f t="shared" si="9"/>
        <v>135</v>
      </c>
      <c r="O64" s="751">
        <f t="shared" si="10"/>
        <v>2069949</v>
      </c>
      <c r="Q64" s="748">
        <v>1065574</v>
      </c>
      <c r="R64" s="741">
        <v>890896</v>
      </c>
      <c r="S64" s="741">
        <v>95610</v>
      </c>
      <c r="T64" s="741">
        <v>6902</v>
      </c>
      <c r="U64" s="741">
        <v>697</v>
      </c>
      <c r="V64" s="741">
        <f t="shared" si="11"/>
        <v>2059679</v>
      </c>
      <c r="W64" s="741">
        <f t="shared" si="12"/>
        <v>157414</v>
      </c>
      <c r="X64" s="741">
        <f t="shared" si="13"/>
        <v>2217093</v>
      </c>
      <c r="Y64" s="741">
        <v>1763</v>
      </c>
      <c r="Z64" s="741">
        <f t="shared" si="14"/>
        <v>135</v>
      </c>
      <c r="AA64" s="749">
        <f t="shared" si="15"/>
        <v>2218991</v>
      </c>
    </row>
    <row r="65" spans="1:28">
      <c r="A65" s="757">
        <f t="shared" si="16"/>
        <v>2020</v>
      </c>
      <c r="B65" s="757">
        <f t="shared" si="17"/>
        <v>12</v>
      </c>
      <c r="C65" s="756">
        <f t="shared" si="5"/>
        <v>44166</v>
      </c>
      <c r="D65" s="755"/>
      <c r="E65" s="754">
        <v>1287512</v>
      </c>
      <c r="F65" s="752">
        <v>891512</v>
      </c>
      <c r="G65" s="752">
        <v>90848</v>
      </c>
      <c r="H65" s="752">
        <v>6772</v>
      </c>
      <c r="I65" s="752">
        <v>1016</v>
      </c>
      <c r="J65" s="753">
        <f t="shared" si="6"/>
        <v>2277660</v>
      </c>
      <c r="K65" s="752">
        <f t="shared" si="7"/>
        <v>174073</v>
      </c>
      <c r="L65" s="752">
        <f t="shared" si="8"/>
        <v>2451733</v>
      </c>
      <c r="M65" s="752">
        <v>1649</v>
      </c>
      <c r="N65" s="752">
        <f t="shared" si="9"/>
        <v>126</v>
      </c>
      <c r="O65" s="751">
        <f t="shared" si="10"/>
        <v>2453508</v>
      </c>
      <c r="Q65" s="748">
        <v>1346147</v>
      </c>
      <c r="R65" s="741">
        <v>985964</v>
      </c>
      <c r="S65" s="741">
        <v>95369</v>
      </c>
      <c r="T65" s="741">
        <v>6772</v>
      </c>
      <c r="U65" s="741">
        <v>1016</v>
      </c>
      <c r="V65" s="741">
        <f t="shared" si="11"/>
        <v>2435268</v>
      </c>
      <c r="W65" s="741">
        <f t="shared" si="12"/>
        <v>186118</v>
      </c>
      <c r="X65" s="741">
        <f t="shared" si="13"/>
        <v>2621386</v>
      </c>
      <c r="Y65" s="741">
        <v>1649</v>
      </c>
      <c r="Z65" s="741">
        <f t="shared" si="14"/>
        <v>126</v>
      </c>
      <c r="AA65" s="749">
        <f t="shared" si="15"/>
        <v>2623161</v>
      </c>
    </row>
    <row r="66" spans="1:28">
      <c r="A66" s="757">
        <f t="shared" si="16"/>
        <v>2021</v>
      </c>
      <c r="B66" s="757">
        <f t="shared" si="17"/>
        <v>1</v>
      </c>
      <c r="C66" s="756">
        <f t="shared" si="5"/>
        <v>44197</v>
      </c>
      <c r="D66" s="755"/>
      <c r="E66" s="754">
        <v>1246836</v>
      </c>
      <c r="F66" s="752">
        <v>878962</v>
      </c>
      <c r="G66" s="752">
        <v>103408</v>
      </c>
      <c r="H66" s="752">
        <v>6623</v>
      </c>
      <c r="I66" s="752">
        <v>883</v>
      </c>
      <c r="J66" s="753">
        <f t="shared" si="6"/>
        <v>2236712</v>
      </c>
      <c r="K66" s="752">
        <f t="shared" si="7"/>
        <v>170944</v>
      </c>
      <c r="L66" s="752">
        <f t="shared" si="8"/>
        <v>2407656</v>
      </c>
      <c r="M66" s="752">
        <v>2243</v>
      </c>
      <c r="N66" s="752">
        <f t="shared" si="9"/>
        <v>171</v>
      </c>
      <c r="O66" s="751">
        <f t="shared" si="10"/>
        <v>2410070</v>
      </c>
      <c r="Q66" s="748">
        <v>1304205</v>
      </c>
      <c r="R66" s="741">
        <v>971723</v>
      </c>
      <c r="S66" s="741">
        <v>108327</v>
      </c>
      <c r="T66" s="741">
        <v>6623</v>
      </c>
      <c r="U66" s="741">
        <v>883</v>
      </c>
      <c r="V66" s="741">
        <f t="shared" si="11"/>
        <v>2391761</v>
      </c>
      <c r="W66" s="741">
        <f t="shared" si="12"/>
        <v>182793</v>
      </c>
      <c r="X66" s="741">
        <f t="shared" si="13"/>
        <v>2574554</v>
      </c>
      <c r="Y66" s="741">
        <v>2243</v>
      </c>
      <c r="Z66" s="741">
        <f t="shared" si="14"/>
        <v>171</v>
      </c>
      <c r="AA66" s="749">
        <f t="shared" si="15"/>
        <v>2576968</v>
      </c>
    </row>
    <row r="67" spans="1:28">
      <c r="A67" s="757">
        <f t="shared" si="16"/>
        <v>2021</v>
      </c>
      <c r="B67" s="757">
        <f t="shared" si="17"/>
        <v>2</v>
      </c>
      <c r="C67" s="756">
        <f t="shared" si="5"/>
        <v>44228</v>
      </c>
      <c r="D67" s="755"/>
      <c r="E67" s="754">
        <v>1037632</v>
      </c>
      <c r="F67" s="752">
        <v>787064</v>
      </c>
      <c r="G67" s="752">
        <v>87572</v>
      </c>
      <c r="H67" s="752">
        <v>6084</v>
      </c>
      <c r="I67" s="752">
        <v>817</v>
      </c>
      <c r="J67" s="753">
        <f t="shared" si="6"/>
        <v>1919169</v>
      </c>
      <c r="K67" s="752">
        <f t="shared" si="7"/>
        <v>146675</v>
      </c>
      <c r="L67" s="752">
        <f t="shared" si="8"/>
        <v>2065844</v>
      </c>
      <c r="M67" s="752">
        <v>2355</v>
      </c>
      <c r="N67" s="752">
        <f t="shared" si="9"/>
        <v>180</v>
      </c>
      <c r="O67" s="751">
        <f t="shared" si="10"/>
        <v>2068379</v>
      </c>
      <c r="Q67" s="748">
        <v>1087205</v>
      </c>
      <c r="R67" s="741">
        <v>870965</v>
      </c>
      <c r="S67" s="741">
        <v>91925</v>
      </c>
      <c r="T67" s="741">
        <v>6084</v>
      </c>
      <c r="U67" s="741">
        <v>817</v>
      </c>
      <c r="V67" s="741">
        <f t="shared" si="11"/>
        <v>2056996</v>
      </c>
      <c r="W67" s="741">
        <f t="shared" si="12"/>
        <v>157209</v>
      </c>
      <c r="X67" s="741">
        <f t="shared" si="13"/>
        <v>2214205</v>
      </c>
      <c r="Y67" s="741">
        <v>2355</v>
      </c>
      <c r="Z67" s="741">
        <f t="shared" si="14"/>
        <v>180</v>
      </c>
      <c r="AA67" s="749">
        <f t="shared" si="15"/>
        <v>2216740</v>
      </c>
    </row>
    <row r="68" spans="1:28">
      <c r="A68" s="757">
        <f t="shared" si="16"/>
        <v>2021</v>
      </c>
      <c r="B68" s="757">
        <f t="shared" si="17"/>
        <v>3</v>
      </c>
      <c r="C68" s="756">
        <f t="shared" si="5"/>
        <v>44256</v>
      </c>
      <c r="D68" s="755"/>
      <c r="E68" s="754">
        <v>1028963</v>
      </c>
      <c r="F68" s="752">
        <v>829378</v>
      </c>
      <c r="G68" s="752">
        <v>97765</v>
      </c>
      <c r="H68" s="752">
        <v>6719</v>
      </c>
      <c r="I68" s="752">
        <v>814</v>
      </c>
      <c r="J68" s="753">
        <f t="shared" si="6"/>
        <v>1963639</v>
      </c>
      <c r="K68" s="752">
        <f t="shared" si="7"/>
        <v>150074</v>
      </c>
      <c r="L68" s="752">
        <f t="shared" si="8"/>
        <v>2113713</v>
      </c>
      <c r="M68" s="752">
        <v>2263</v>
      </c>
      <c r="N68" s="752">
        <f t="shared" si="9"/>
        <v>173</v>
      </c>
      <c r="O68" s="751">
        <f t="shared" si="10"/>
        <v>2116149</v>
      </c>
      <c r="Q68" s="748">
        <v>1082383</v>
      </c>
      <c r="R68" s="741">
        <v>924122</v>
      </c>
      <c r="S68" s="741">
        <v>102917</v>
      </c>
      <c r="T68" s="741">
        <v>6719</v>
      </c>
      <c r="U68" s="741">
        <v>814</v>
      </c>
      <c r="V68" s="741">
        <f t="shared" si="11"/>
        <v>2116955</v>
      </c>
      <c r="W68" s="741">
        <f t="shared" si="12"/>
        <v>161791</v>
      </c>
      <c r="X68" s="741">
        <f t="shared" si="13"/>
        <v>2278746</v>
      </c>
      <c r="Y68" s="741">
        <v>2263</v>
      </c>
      <c r="Z68" s="741">
        <f t="shared" si="14"/>
        <v>173</v>
      </c>
      <c r="AA68" s="749">
        <f t="shared" si="15"/>
        <v>2281182</v>
      </c>
    </row>
    <row r="69" spans="1:28">
      <c r="A69" s="757">
        <f t="shared" si="16"/>
        <v>2021</v>
      </c>
      <c r="B69" s="757">
        <f t="shared" si="17"/>
        <v>4</v>
      </c>
      <c r="C69" s="756">
        <f t="shared" si="5"/>
        <v>44287</v>
      </c>
      <c r="D69" s="755"/>
      <c r="E69" s="754">
        <v>842778</v>
      </c>
      <c r="F69" s="752">
        <v>759898</v>
      </c>
      <c r="G69" s="752">
        <v>89330</v>
      </c>
      <c r="H69" s="752">
        <v>5985</v>
      </c>
      <c r="I69" s="752">
        <v>592</v>
      </c>
      <c r="J69" s="753">
        <f t="shared" si="6"/>
        <v>1698583</v>
      </c>
      <c r="K69" s="752">
        <f t="shared" si="7"/>
        <v>129816</v>
      </c>
      <c r="L69" s="752">
        <f t="shared" si="8"/>
        <v>1828399</v>
      </c>
      <c r="M69" s="752">
        <v>2101</v>
      </c>
      <c r="N69" s="752">
        <f t="shared" si="9"/>
        <v>161</v>
      </c>
      <c r="O69" s="751">
        <f t="shared" si="10"/>
        <v>1830661</v>
      </c>
      <c r="P69" s="750">
        <f>SUM(O58:O69)</f>
        <v>23152655</v>
      </c>
      <c r="Q69" s="748">
        <v>892682</v>
      </c>
      <c r="R69" s="741">
        <v>852893</v>
      </c>
      <c r="S69" s="741">
        <v>94331</v>
      </c>
      <c r="T69" s="741">
        <v>5985</v>
      </c>
      <c r="U69" s="741">
        <v>592</v>
      </c>
      <c r="V69" s="741">
        <f t="shared" si="11"/>
        <v>1846483</v>
      </c>
      <c r="W69" s="741">
        <f t="shared" si="12"/>
        <v>141120</v>
      </c>
      <c r="X69" s="741">
        <f t="shared" si="13"/>
        <v>1987603</v>
      </c>
      <c r="Y69" s="741">
        <v>2101</v>
      </c>
      <c r="Z69" s="741">
        <f t="shared" si="14"/>
        <v>161</v>
      </c>
      <c r="AA69" s="749">
        <f t="shared" si="15"/>
        <v>1989865</v>
      </c>
      <c r="AB69" s="739" t="s">
        <v>908</v>
      </c>
    </row>
    <row r="70" spans="1:28">
      <c r="A70" s="742">
        <f t="shared" si="16"/>
        <v>2021</v>
      </c>
      <c r="B70" s="742">
        <f t="shared" si="17"/>
        <v>5</v>
      </c>
      <c r="C70" s="746">
        <f t="shared" si="5"/>
        <v>44317</v>
      </c>
      <c r="D70" s="739"/>
      <c r="E70" s="748">
        <v>717942</v>
      </c>
      <c r="F70" s="741">
        <v>749699</v>
      </c>
      <c r="G70" s="741">
        <v>92892</v>
      </c>
      <c r="H70" s="741">
        <v>6331</v>
      </c>
      <c r="I70" s="741">
        <v>458</v>
      </c>
      <c r="J70" s="741">
        <f t="shared" si="6"/>
        <v>1567322</v>
      </c>
      <c r="K70" s="741">
        <f t="shared" si="7"/>
        <v>119785</v>
      </c>
      <c r="L70" s="741">
        <f t="shared" si="8"/>
        <v>1687107</v>
      </c>
      <c r="M70" s="741">
        <v>2097</v>
      </c>
      <c r="N70" s="741">
        <f t="shared" si="9"/>
        <v>160</v>
      </c>
      <c r="O70" s="747">
        <f t="shared" si="10"/>
        <v>1689364</v>
      </c>
      <c r="P70" s="750">
        <f>SUM(J58:J69)</f>
        <v>21485116</v>
      </c>
      <c r="Q70" s="748">
        <v>765904</v>
      </c>
      <c r="R70" s="741">
        <v>845058</v>
      </c>
      <c r="S70" s="741">
        <v>98300</v>
      </c>
      <c r="T70" s="741">
        <v>6331</v>
      </c>
      <c r="U70" s="741">
        <v>458</v>
      </c>
      <c r="V70" s="741">
        <f t="shared" si="11"/>
        <v>1716051</v>
      </c>
      <c r="W70" s="741">
        <f t="shared" si="12"/>
        <v>131151</v>
      </c>
      <c r="X70" s="741">
        <f t="shared" si="13"/>
        <v>1847202</v>
      </c>
      <c r="Y70" s="741">
        <v>2097</v>
      </c>
      <c r="Z70" s="741">
        <f t="shared" si="14"/>
        <v>160</v>
      </c>
      <c r="AA70" s="749">
        <f t="shared" si="15"/>
        <v>1849459</v>
      </c>
      <c r="AB70" s="739" t="s">
        <v>907</v>
      </c>
    </row>
    <row r="71" spans="1:28">
      <c r="A71" s="742">
        <f t="shared" si="16"/>
        <v>2021</v>
      </c>
      <c r="B71" s="742">
        <f t="shared" si="17"/>
        <v>6</v>
      </c>
      <c r="C71" s="746">
        <f t="shared" si="5"/>
        <v>44348</v>
      </c>
      <c r="D71" s="739"/>
      <c r="E71" s="748">
        <v>656166</v>
      </c>
      <c r="F71" s="741">
        <v>740833</v>
      </c>
      <c r="G71" s="741">
        <v>93367</v>
      </c>
      <c r="H71" s="741">
        <v>6336</v>
      </c>
      <c r="I71" s="741">
        <v>356</v>
      </c>
      <c r="J71" s="741">
        <f t="shared" si="6"/>
        <v>1497058</v>
      </c>
      <c r="K71" s="741">
        <f t="shared" si="7"/>
        <v>114415</v>
      </c>
      <c r="L71" s="741">
        <f t="shared" si="8"/>
        <v>1611473</v>
      </c>
      <c r="M71" s="741">
        <v>1727</v>
      </c>
      <c r="N71" s="741">
        <f t="shared" si="9"/>
        <v>132</v>
      </c>
      <c r="O71" s="747">
        <f t="shared" si="10"/>
        <v>1613332</v>
      </c>
      <c r="Q71" s="748">
        <v>704629</v>
      </c>
      <c r="R71" s="741">
        <v>837923</v>
      </c>
      <c r="S71" s="741">
        <v>98955</v>
      </c>
      <c r="T71" s="741">
        <v>6336</v>
      </c>
      <c r="U71" s="741">
        <v>356</v>
      </c>
      <c r="V71" s="741">
        <f t="shared" si="11"/>
        <v>1648199</v>
      </c>
      <c r="W71" s="741">
        <f t="shared" si="12"/>
        <v>125966</v>
      </c>
      <c r="X71" s="741">
        <f t="shared" si="13"/>
        <v>1774165</v>
      </c>
      <c r="Y71" s="741">
        <v>1727</v>
      </c>
      <c r="Z71" s="741">
        <f t="shared" si="14"/>
        <v>132</v>
      </c>
      <c r="AA71" s="749">
        <f t="shared" si="15"/>
        <v>1776024</v>
      </c>
    </row>
    <row r="72" spans="1:28">
      <c r="A72" s="742">
        <f t="shared" si="16"/>
        <v>2021</v>
      </c>
      <c r="B72" s="742">
        <f t="shared" si="17"/>
        <v>7</v>
      </c>
      <c r="C72" s="746">
        <f t="shared" si="5"/>
        <v>44378</v>
      </c>
      <c r="D72" s="739"/>
      <c r="E72" s="748">
        <v>652672</v>
      </c>
      <c r="F72" s="741">
        <v>779943</v>
      </c>
      <c r="G72" s="741">
        <v>95563</v>
      </c>
      <c r="H72" s="741">
        <v>6093</v>
      </c>
      <c r="I72" s="741">
        <v>315</v>
      </c>
      <c r="J72" s="741">
        <f t="shared" si="6"/>
        <v>1534586</v>
      </c>
      <c r="K72" s="741">
        <f t="shared" si="7"/>
        <v>117283</v>
      </c>
      <c r="L72" s="741">
        <f t="shared" si="8"/>
        <v>1651869</v>
      </c>
      <c r="M72" s="741">
        <v>2779</v>
      </c>
      <c r="N72" s="741">
        <f t="shared" si="9"/>
        <v>212</v>
      </c>
      <c r="O72" s="747">
        <f t="shared" si="10"/>
        <v>1654860</v>
      </c>
      <c r="Q72" s="748">
        <v>705787</v>
      </c>
      <c r="R72" s="741">
        <v>884425</v>
      </c>
      <c r="S72" s="741">
        <v>101502</v>
      </c>
      <c r="T72" s="741">
        <v>6093</v>
      </c>
      <c r="U72" s="741">
        <v>315</v>
      </c>
      <c r="V72" s="741">
        <f t="shared" si="11"/>
        <v>1698122</v>
      </c>
      <c r="W72" s="741">
        <f t="shared" si="12"/>
        <v>129781</v>
      </c>
      <c r="X72" s="741">
        <f t="shared" si="13"/>
        <v>1827903</v>
      </c>
      <c r="Y72" s="741">
        <v>2779</v>
      </c>
      <c r="Z72" s="741">
        <f t="shared" si="14"/>
        <v>212</v>
      </c>
      <c r="AA72" s="749">
        <f t="shared" si="15"/>
        <v>1830894</v>
      </c>
    </row>
    <row r="73" spans="1:28">
      <c r="A73" s="742">
        <f t="shared" si="16"/>
        <v>2021</v>
      </c>
      <c r="B73" s="742">
        <f t="shared" si="17"/>
        <v>8</v>
      </c>
      <c r="C73" s="746">
        <f t="shared" si="5"/>
        <v>44409</v>
      </c>
      <c r="D73" s="739"/>
      <c r="E73" s="748">
        <v>634081</v>
      </c>
      <c r="F73" s="741">
        <v>797484</v>
      </c>
      <c r="G73" s="741">
        <v>98300</v>
      </c>
      <c r="H73" s="741">
        <v>6281</v>
      </c>
      <c r="I73" s="741">
        <v>285</v>
      </c>
      <c r="J73" s="741">
        <f t="shared" si="6"/>
        <v>1536431</v>
      </c>
      <c r="K73" s="741">
        <f t="shared" si="7"/>
        <v>117424</v>
      </c>
      <c r="L73" s="741">
        <f t="shared" si="8"/>
        <v>1653855</v>
      </c>
      <c r="M73" s="741">
        <v>1579</v>
      </c>
      <c r="N73" s="741">
        <f t="shared" si="9"/>
        <v>121</v>
      </c>
      <c r="O73" s="747">
        <f t="shared" si="10"/>
        <v>1655555</v>
      </c>
      <c r="Q73" s="748">
        <v>688925</v>
      </c>
      <c r="R73" s="741">
        <v>905890</v>
      </c>
      <c r="S73" s="741">
        <v>104640</v>
      </c>
      <c r="T73" s="741">
        <v>6281</v>
      </c>
      <c r="U73" s="741">
        <v>285</v>
      </c>
      <c r="V73" s="741">
        <f t="shared" si="11"/>
        <v>1706021</v>
      </c>
      <c r="W73" s="741">
        <f t="shared" si="12"/>
        <v>130385</v>
      </c>
      <c r="X73" s="741">
        <f t="shared" si="13"/>
        <v>1836406</v>
      </c>
      <c r="Y73" s="741">
        <v>1579</v>
      </c>
      <c r="Z73" s="741">
        <f t="shared" si="14"/>
        <v>121</v>
      </c>
      <c r="AA73" s="749">
        <f t="shared" si="15"/>
        <v>1838106</v>
      </c>
    </row>
    <row r="74" spans="1:28">
      <c r="A74" s="742">
        <f t="shared" si="16"/>
        <v>2021</v>
      </c>
      <c r="B74" s="742">
        <f t="shared" si="17"/>
        <v>9</v>
      </c>
      <c r="C74" s="746">
        <f t="shared" si="5"/>
        <v>44440</v>
      </c>
      <c r="D74" s="739"/>
      <c r="E74" s="748">
        <v>636592</v>
      </c>
      <c r="F74" s="741">
        <v>748092</v>
      </c>
      <c r="G74" s="741">
        <v>90235</v>
      </c>
      <c r="H74" s="741">
        <v>6124</v>
      </c>
      <c r="I74" s="741">
        <v>324</v>
      </c>
      <c r="J74" s="741">
        <f t="shared" si="6"/>
        <v>1481367</v>
      </c>
      <c r="K74" s="741">
        <f t="shared" si="7"/>
        <v>113215</v>
      </c>
      <c r="L74" s="741">
        <f t="shared" si="8"/>
        <v>1594582</v>
      </c>
      <c r="M74" s="741">
        <v>1377</v>
      </c>
      <c r="N74" s="741">
        <f t="shared" si="9"/>
        <v>105</v>
      </c>
      <c r="O74" s="747">
        <f t="shared" si="10"/>
        <v>1596064</v>
      </c>
      <c r="Q74" s="748">
        <v>692176</v>
      </c>
      <c r="R74" s="741">
        <v>853177</v>
      </c>
      <c r="S74" s="741">
        <v>96435</v>
      </c>
      <c r="T74" s="741">
        <v>6124</v>
      </c>
      <c r="U74" s="741">
        <v>324</v>
      </c>
      <c r="V74" s="741">
        <f t="shared" si="11"/>
        <v>1648236</v>
      </c>
      <c r="W74" s="741">
        <f t="shared" si="12"/>
        <v>125969</v>
      </c>
      <c r="X74" s="741">
        <f t="shared" si="13"/>
        <v>1774205</v>
      </c>
      <c r="Y74" s="741">
        <v>1377</v>
      </c>
      <c r="Z74" s="741">
        <f t="shared" si="14"/>
        <v>105</v>
      </c>
      <c r="AA74" s="749">
        <f t="shared" si="15"/>
        <v>1775687</v>
      </c>
    </row>
    <row r="75" spans="1:28">
      <c r="A75" s="742">
        <f t="shared" si="16"/>
        <v>2021</v>
      </c>
      <c r="B75" s="742">
        <f t="shared" si="17"/>
        <v>10</v>
      </c>
      <c r="C75" s="746">
        <f t="shared" si="5"/>
        <v>44470</v>
      </c>
      <c r="D75" s="739"/>
      <c r="E75" s="748">
        <v>799387</v>
      </c>
      <c r="F75" s="741">
        <v>765767</v>
      </c>
      <c r="G75" s="741">
        <v>93203</v>
      </c>
      <c r="H75" s="741">
        <v>6390</v>
      </c>
      <c r="I75" s="741">
        <v>483</v>
      </c>
      <c r="J75" s="741">
        <f t="shared" si="6"/>
        <v>1665230</v>
      </c>
      <c r="K75" s="741">
        <f t="shared" si="7"/>
        <v>127267</v>
      </c>
      <c r="L75" s="741">
        <f t="shared" si="8"/>
        <v>1792497</v>
      </c>
      <c r="M75" s="741">
        <v>1767</v>
      </c>
      <c r="N75" s="741">
        <f t="shared" si="9"/>
        <v>135</v>
      </c>
      <c r="O75" s="747">
        <f t="shared" si="10"/>
        <v>1794399</v>
      </c>
      <c r="Q75" s="748">
        <v>864413</v>
      </c>
      <c r="R75" s="741">
        <v>876005</v>
      </c>
      <c r="S75" s="741">
        <v>99715</v>
      </c>
      <c r="T75" s="741">
        <v>6390</v>
      </c>
      <c r="U75" s="741">
        <v>483</v>
      </c>
      <c r="V75" s="741">
        <f t="shared" si="11"/>
        <v>1847006</v>
      </c>
      <c r="W75" s="741">
        <f t="shared" si="12"/>
        <v>141160</v>
      </c>
      <c r="X75" s="741">
        <f t="shared" si="13"/>
        <v>1988166</v>
      </c>
      <c r="Y75" s="741">
        <v>1767</v>
      </c>
      <c r="Z75" s="741">
        <f t="shared" si="14"/>
        <v>135</v>
      </c>
      <c r="AA75" s="749">
        <f t="shared" si="15"/>
        <v>1990068</v>
      </c>
    </row>
    <row r="76" spans="1:28">
      <c r="A76" s="742">
        <f t="shared" si="16"/>
        <v>2021</v>
      </c>
      <c r="B76" s="742">
        <f t="shared" si="17"/>
        <v>11</v>
      </c>
      <c r="C76" s="746">
        <f t="shared" si="5"/>
        <v>44501</v>
      </c>
      <c r="D76" s="739"/>
      <c r="E76" s="748">
        <v>996008</v>
      </c>
      <c r="F76" s="741">
        <v>795813</v>
      </c>
      <c r="G76" s="741">
        <v>85904</v>
      </c>
      <c r="H76" s="741">
        <v>6799</v>
      </c>
      <c r="I76" s="741">
        <v>698</v>
      </c>
      <c r="J76" s="741">
        <f t="shared" si="6"/>
        <v>1885222</v>
      </c>
      <c r="K76" s="741">
        <f t="shared" si="7"/>
        <v>144080</v>
      </c>
      <c r="L76" s="741">
        <f t="shared" si="8"/>
        <v>2029302</v>
      </c>
      <c r="M76" s="741">
        <v>1763</v>
      </c>
      <c r="N76" s="741">
        <f t="shared" si="9"/>
        <v>135</v>
      </c>
      <c r="O76" s="747">
        <f t="shared" si="10"/>
        <v>2031200</v>
      </c>
      <c r="Q76" s="748">
        <v>1068395</v>
      </c>
      <c r="R76" s="741">
        <v>907756</v>
      </c>
      <c r="S76" s="741">
        <v>92387</v>
      </c>
      <c r="T76" s="741">
        <v>6799</v>
      </c>
      <c r="U76" s="741">
        <v>698</v>
      </c>
      <c r="V76" s="741">
        <f t="shared" si="11"/>
        <v>2076035</v>
      </c>
      <c r="W76" s="741">
        <f t="shared" si="12"/>
        <v>158664</v>
      </c>
      <c r="X76" s="741">
        <f t="shared" si="13"/>
        <v>2234699</v>
      </c>
      <c r="Y76" s="741">
        <v>1763</v>
      </c>
      <c r="Z76" s="741">
        <f t="shared" si="14"/>
        <v>135</v>
      </c>
      <c r="AA76" s="749">
        <f t="shared" si="15"/>
        <v>2236597</v>
      </c>
    </row>
    <row r="77" spans="1:28">
      <c r="A77" s="742">
        <f t="shared" si="16"/>
        <v>2021</v>
      </c>
      <c r="B77" s="742">
        <f t="shared" si="17"/>
        <v>12</v>
      </c>
      <c r="C77" s="746">
        <f t="shared" si="5"/>
        <v>44531</v>
      </c>
      <c r="D77" s="739"/>
      <c r="E77" s="748">
        <v>1265922</v>
      </c>
      <c r="F77" s="741">
        <v>867605</v>
      </c>
      <c r="G77" s="741">
        <v>85309</v>
      </c>
      <c r="H77" s="741">
        <v>6674</v>
      </c>
      <c r="I77" s="741">
        <v>1016</v>
      </c>
      <c r="J77" s="741">
        <f t="shared" si="6"/>
        <v>2226526</v>
      </c>
      <c r="K77" s="741">
        <f t="shared" si="7"/>
        <v>170165</v>
      </c>
      <c r="L77" s="741">
        <f t="shared" si="8"/>
        <v>2396691</v>
      </c>
      <c r="M77" s="741">
        <v>1649</v>
      </c>
      <c r="N77" s="741">
        <f t="shared" si="9"/>
        <v>126</v>
      </c>
      <c r="O77" s="747">
        <f t="shared" si="10"/>
        <v>2398466</v>
      </c>
      <c r="Q77" s="748">
        <v>1351062</v>
      </c>
      <c r="R77" s="741">
        <v>989328</v>
      </c>
      <c r="S77" s="741">
        <v>92267</v>
      </c>
      <c r="T77" s="741">
        <v>6674</v>
      </c>
      <c r="U77" s="741">
        <v>1016</v>
      </c>
      <c r="V77" s="741">
        <f t="shared" si="11"/>
        <v>2440347</v>
      </c>
      <c r="W77" s="741">
        <f t="shared" si="12"/>
        <v>186507</v>
      </c>
      <c r="X77" s="741">
        <f t="shared" si="13"/>
        <v>2626854</v>
      </c>
      <c r="Y77" s="741">
        <v>1649</v>
      </c>
      <c r="Z77" s="741">
        <f t="shared" si="14"/>
        <v>126</v>
      </c>
      <c r="AA77" s="749">
        <f t="shared" si="15"/>
        <v>2628629</v>
      </c>
    </row>
    <row r="78" spans="1:28">
      <c r="A78" s="742">
        <f t="shared" si="16"/>
        <v>2022</v>
      </c>
      <c r="B78" s="742">
        <f t="shared" si="17"/>
        <v>1</v>
      </c>
      <c r="C78" s="746">
        <f t="shared" si="5"/>
        <v>44562</v>
      </c>
      <c r="D78" s="739"/>
      <c r="E78" s="748">
        <v>1227254</v>
      </c>
      <c r="F78" s="741">
        <v>845604</v>
      </c>
      <c r="G78" s="741">
        <v>97812</v>
      </c>
      <c r="H78" s="741">
        <v>6526</v>
      </c>
      <c r="I78" s="741">
        <v>883</v>
      </c>
      <c r="J78" s="741">
        <f t="shared" si="6"/>
        <v>2178079</v>
      </c>
      <c r="K78" s="741">
        <f t="shared" si="7"/>
        <v>166462</v>
      </c>
      <c r="L78" s="741">
        <f t="shared" si="8"/>
        <v>2344541</v>
      </c>
      <c r="M78" s="741">
        <v>2243</v>
      </c>
      <c r="N78" s="741">
        <f t="shared" si="9"/>
        <v>171</v>
      </c>
      <c r="O78" s="747">
        <f t="shared" si="10"/>
        <v>2346955</v>
      </c>
      <c r="Q78" s="748">
        <v>1309159</v>
      </c>
      <c r="R78" s="741">
        <v>963628</v>
      </c>
      <c r="S78" s="741">
        <v>105293</v>
      </c>
      <c r="T78" s="741">
        <v>6526</v>
      </c>
      <c r="U78" s="741">
        <v>883</v>
      </c>
      <c r="V78" s="741">
        <f t="shared" si="11"/>
        <v>2385489</v>
      </c>
      <c r="W78" s="741">
        <f t="shared" si="12"/>
        <v>182314</v>
      </c>
      <c r="X78" s="741">
        <f t="shared" si="13"/>
        <v>2567803</v>
      </c>
      <c r="Y78" s="741">
        <v>2243</v>
      </c>
      <c r="Z78" s="741">
        <f t="shared" si="14"/>
        <v>171</v>
      </c>
      <c r="AA78" s="749">
        <f t="shared" si="15"/>
        <v>2570217</v>
      </c>
    </row>
    <row r="79" spans="1:28">
      <c r="A79" s="742">
        <f t="shared" si="16"/>
        <v>2022</v>
      </c>
      <c r="B79" s="742">
        <f t="shared" si="17"/>
        <v>2</v>
      </c>
      <c r="C79" s="746">
        <f t="shared" si="5"/>
        <v>44593</v>
      </c>
      <c r="D79" s="739"/>
      <c r="E79" s="748">
        <v>1020832</v>
      </c>
      <c r="F79" s="741">
        <v>756772</v>
      </c>
      <c r="G79" s="741">
        <v>82867</v>
      </c>
      <c r="H79" s="741">
        <v>5990</v>
      </c>
      <c r="I79" s="741">
        <v>817</v>
      </c>
      <c r="J79" s="741">
        <f t="shared" si="6"/>
        <v>1867278</v>
      </c>
      <c r="K79" s="741">
        <f t="shared" si="7"/>
        <v>142709</v>
      </c>
      <c r="L79" s="741">
        <f t="shared" si="8"/>
        <v>2009987</v>
      </c>
      <c r="M79" s="741">
        <v>2355</v>
      </c>
      <c r="N79" s="741">
        <f t="shared" si="9"/>
        <v>180</v>
      </c>
      <c r="O79" s="747">
        <f t="shared" si="10"/>
        <v>2012522</v>
      </c>
      <c r="Q79" s="748">
        <v>1090738</v>
      </c>
      <c r="R79" s="741">
        <v>862443</v>
      </c>
      <c r="S79" s="741">
        <v>89419</v>
      </c>
      <c r="T79" s="741">
        <v>5990</v>
      </c>
      <c r="U79" s="741">
        <v>817</v>
      </c>
      <c r="V79" s="741">
        <f t="shared" si="11"/>
        <v>2049407</v>
      </c>
      <c r="W79" s="741">
        <f t="shared" si="12"/>
        <v>156629</v>
      </c>
      <c r="X79" s="741">
        <f t="shared" si="13"/>
        <v>2206036</v>
      </c>
      <c r="Y79" s="741">
        <v>2355</v>
      </c>
      <c r="Z79" s="741">
        <f t="shared" si="14"/>
        <v>180</v>
      </c>
      <c r="AA79" s="749">
        <f t="shared" si="15"/>
        <v>2208571</v>
      </c>
    </row>
    <row r="80" spans="1:28">
      <c r="A80" s="742">
        <f t="shared" si="16"/>
        <v>2022</v>
      </c>
      <c r="B80" s="742">
        <f t="shared" si="17"/>
        <v>3</v>
      </c>
      <c r="C80" s="746">
        <f t="shared" si="5"/>
        <v>44621</v>
      </c>
      <c r="D80" s="739"/>
      <c r="E80" s="748">
        <v>1010112</v>
      </c>
      <c r="F80" s="741">
        <v>794659</v>
      </c>
      <c r="G80" s="741">
        <v>92618</v>
      </c>
      <c r="H80" s="741">
        <v>6606</v>
      </c>
      <c r="I80" s="741">
        <v>814</v>
      </c>
      <c r="J80" s="741">
        <f t="shared" si="6"/>
        <v>1904809</v>
      </c>
      <c r="K80" s="741">
        <f t="shared" si="7"/>
        <v>145577</v>
      </c>
      <c r="L80" s="741">
        <f t="shared" si="8"/>
        <v>2050386</v>
      </c>
      <c r="M80" s="741">
        <v>2263</v>
      </c>
      <c r="N80" s="741">
        <f t="shared" si="9"/>
        <v>173</v>
      </c>
      <c r="O80" s="747">
        <f t="shared" si="10"/>
        <v>2052822</v>
      </c>
      <c r="Q80" s="748">
        <v>1084959</v>
      </c>
      <c r="R80" s="741">
        <v>913172</v>
      </c>
      <c r="S80" s="741">
        <v>100304</v>
      </c>
      <c r="T80" s="741">
        <v>6606</v>
      </c>
      <c r="U80" s="741">
        <v>814</v>
      </c>
      <c r="V80" s="741">
        <f t="shared" si="11"/>
        <v>2105855</v>
      </c>
      <c r="W80" s="741">
        <f t="shared" si="12"/>
        <v>160943</v>
      </c>
      <c r="X80" s="741">
        <f t="shared" si="13"/>
        <v>2266798</v>
      </c>
      <c r="Y80" s="741">
        <v>2263</v>
      </c>
      <c r="Z80" s="741">
        <f t="shared" si="14"/>
        <v>173</v>
      </c>
      <c r="AA80" s="749">
        <f t="shared" si="15"/>
        <v>2269234</v>
      </c>
    </row>
    <row r="81" spans="1:27">
      <c r="A81" s="742">
        <f t="shared" si="16"/>
        <v>2022</v>
      </c>
      <c r="B81" s="742">
        <f t="shared" si="17"/>
        <v>4</v>
      </c>
      <c r="C81" s="746">
        <f t="shared" si="5"/>
        <v>44652</v>
      </c>
      <c r="D81" s="739"/>
      <c r="E81" s="748">
        <v>824392</v>
      </c>
      <c r="F81" s="741">
        <v>727052</v>
      </c>
      <c r="G81" s="741">
        <v>84698</v>
      </c>
      <c r="H81" s="741">
        <v>5881</v>
      </c>
      <c r="I81" s="741">
        <v>592</v>
      </c>
      <c r="J81" s="741">
        <f t="shared" si="6"/>
        <v>1642615</v>
      </c>
      <c r="K81" s="741">
        <f t="shared" si="7"/>
        <v>125539</v>
      </c>
      <c r="L81" s="741">
        <f t="shared" si="8"/>
        <v>1768154</v>
      </c>
      <c r="M81" s="741">
        <v>2101</v>
      </c>
      <c r="N81" s="741">
        <f t="shared" si="9"/>
        <v>161</v>
      </c>
      <c r="O81" s="747">
        <f t="shared" si="10"/>
        <v>1770416</v>
      </c>
      <c r="Q81" s="748">
        <v>893793</v>
      </c>
      <c r="R81" s="741">
        <v>842432</v>
      </c>
      <c r="S81" s="741">
        <v>92085</v>
      </c>
      <c r="T81" s="741">
        <v>5881</v>
      </c>
      <c r="U81" s="741">
        <v>592</v>
      </c>
      <c r="V81" s="741">
        <f t="shared" si="11"/>
        <v>1834783</v>
      </c>
      <c r="W81" s="741">
        <f t="shared" si="12"/>
        <v>140226</v>
      </c>
      <c r="X81" s="741">
        <f t="shared" si="13"/>
        <v>1975009</v>
      </c>
      <c r="Y81" s="741">
        <v>2101</v>
      </c>
      <c r="Z81" s="741">
        <f t="shared" si="14"/>
        <v>161</v>
      </c>
      <c r="AA81" s="749">
        <f t="shared" si="15"/>
        <v>1977271</v>
      </c>
    </row>
    <row r="82" spans="1:27">
      <c r="A82" s="742">
        <f t="shared" si="16"/>
        <v>2022</v>
      </c>
      <c r="B82" s="742">
        <f t="shared" si="17"/>
        <v>5</v>
      </c>
      <c r="C82" s="746">
        <f t="shared" si="5"/>
        <v>44682</v>
      </c>
      <c r="D82" s="739"/>
      <c r="E82" s="748">
        <v>700850</v>
      </c>
      <c r="F82" s="741">
        <v>719396</v>
      </c>
      <c r="G82" s="741">
        <v>88304</v>
      </c>
      <c r="H82" s="741">
        <v>6222</v>
      </c>
      <c r="I82" s="741">
        <v>458</v>
      </c>
      <c r="J82" s="741">
        <f t="shared" si="6"/>
        <v>1515230</v>
      </c>
      <c r="K82" s="741">
        <f t="shared" si="7"/>
        <v>115803</v>
      </c>
      <c r="L82" s="741">
        <f t="shared" si="8"/>
        <v>1631033</v>
      </c>
      <c r="M82" s="741">
        <v>2097</v>
      </c>
      <c r="N82" s="741">
        <f t="shared" si="9"/>
        <v>160</v>
      </c>
      <c r="O82" s="747">
        <f t="shared" si="10"/>
        <v>1633290</v>
      </c>
      <c r="Q82" s="748">
        <v>766447</v>
      </c>
      <c r="R82" s="741">
        <v>835928</v>
      </c>
      <c r="S82" s="741">
        <v>96208</v>
      </c>
      <c r="T82" s="741">
        <v>6222</v>
      </c>
      <c r="U82" s="741">
        <v>458</v>
      </c>
      <c r="V82" s="741">
        <f t="shared" si="11"/>
        <v>1705263</v>
      </c>
      <c r="W82" s="741">
        <f t="shared" si="12"/>
        <v>130327</v>
      </c>
      <c r="X82" s="741">
        <f t="shared" si="13"/>
        <v>1835590</v>
      </c>
      <c r="Y82" s="741">
        <v>2097</v>
      </c>
      <c r="Z82" s="741">
        <f t="shared" si="14"/>
        <v>160</v>
      </c>
      <c r="AA82" s="749">
        <f t="shared" si="15"/>
        <v>1837847</v>
      </c>
    </row>
    <row r="83" spans="1:27">
      <c r="A83" s="742">
        <f t="shared" si="16"/>
        <v>2022</v>
      </c>
      <c r="B83" s="742">
        <f t="shared" si="17"/>
        <v>6</v>
      </c>
      <c r="C83" s="746">
        <f t="shared" si="5"/>
        <v>44713</v>
      </c>
      <c r="D83" s="739"/>
      <c r="E83" s="748">
        <v>640339</v>
      </c>
      <c r="F83" s="741">
        <v>713546</v>
      </c>
      <c r="G83" s="741">
        <v>88981</v>
      </c>
      <c r="H83" s="741">
        <v>6228</v>
      </c>
      <c r="I83" s="741">
        <v>356</v>
      </c>
      <c r="J83" s="741">
        <f t="shared" si="6"/>
        <v>1449450</v>
      </c>
      <c r="K83" s="741">
        <f t="shared" si="7"/>
        <v>110776</v>
      </c>
      <c r="L83" s="741">
        <f t="shared" si="8"/>
        <v>1560226</v>
      </c>
      <c r="M83" s="741">
        <v>1727</v>
      </c>
      <c r="N83" s="741">
        <f t="shared" si="9"/>
        <v>132</v>
      </c>
      <c r="O83" s="747">
        <f t="shared" si="10"/>
        <v>1562085</v>
      </c>
      <c r="Q83" s="748">
        <v>705303</v>
      </c>
      <c r="R83" s="741">
        <v>830397</v>
      </c>
      <c r="S83" s="741">
        <v>97057</v>
      </c>
      <c r="T83" s="741">
        <v>6228</v>
      </c>
      <c r="U83" s="741">
        <v>356</v>
      </c>
      <c r="V83" s="741">
        <f t="shared" si="11"/>
        <v>1639341</v>
      </c>
      <c r="W83" s="741">
        <f t="shared" si="12"/>
        <v>125289</v>
      </c>
      <c r="X83" s="741">
        <f t="shared" si="13"/>
        <v>1764630</v>
      </c>
      <c r="Y83" s="741">
        <v>1727</v>
      </c>
      <c r="Z83" s="741">
        <f t="shared" si="14"/>
        <v>132</v>
      </c>
      <c r="AA83" s="749">
        <f t="shared" si="15"/>
        <v>1766489</v>
      </c>
    </row>
    <row r="84" spans="1:27">
      <c r="A84" s="742">
        <f t="shared" si="16"/>
        <v>2022</v>
      </c>
      <c r="B84" s="742">
        <f t="shared" si="17"/>
        <v>7</v>
      </c>
      <c r="C84" s="746">
        <f t="shared" si="5"/>
        <v>44743</v>
      </c>
      <c r="D84" s="739"/>
      <c r="E84" s="748">
        <v>637214</v>
      </c>
      <c r="F84" s="741">
        <v>754045</v>
      </c>
      <c r="G84" s="741">
        <v>91278</v>
      </c>
      <c r="H84" s="741">
        <v>5991</v>
      </c>
      <c r="I84" s="741">
        <v>315</v>
      </c>
      <c r="J84" s="741">
        <f t="shared" si="6"/>
        <v>1488843</v>
      </c>
      <c r="K84" s="741">
        <f t="shared" si="7"/>
        <v>113787</v>
      </c>
      <c r="L84" s="741">
        <f t="shared" si="8"/>
        <v>1602630</v>
      </c>
      <c r="M84" s="741">
        <v>2779</v>
      </c>
      <c r="N84" s="741">
        <f t="shared" si="9"/>
        <v>212</v>
      </c>
      <c r="O84" s="747">
        <f t="shared" si="10"/>
        <v>1605621</v>
      </c>
      <c r="Q84" s="748">
        <v>707038</v>
      </c>
      <c r="R84" s="741">
        <v>878184</v>
      </c>
      <c r="S84" s="741">
        <v>99759</v>
      </c>
      <c r="T84" s="741">
        <v>5991</v>
      </c>
      <c r="U84" s="741">
        <v>315</v>
      </c>
      <c r="V84" s="741">
        <f t="shared" si="11"/>
        <v>1691287</v>
      </c>
      <c r="W84" s="741">
        <f t="shared" si="12"/>
        <v>129259</v>
      </c>
      <c r="X84" s="741">
        <f t="shared" si="13"/>
        <v>1820546</v>
      </c>
      <c r="Y84" s="741">
        <v>2779</v>
      </c>
      <c r="Z84" s="741">
        <f t="shared" si="14"/>
        <v>212</v>
      </c>
      <c r="AA84" s="749">
        <f t="shared" si="15"/>
        <v>1823537</v>
      </c>
    </row>
    <row r="85" spans="1:27">
      <c r="A85" s="742">
        <f t="shared" si="16"/>
        <v>2022</v>
      </c>
      <c r="B85" s="742">
        <f t="shared" si="17"/>
        <v>8</v>
      </c>
      <c r="C85" s="746">
        <f t="shared" si="5"/>
        <v>44774</v>
      </c>
      <c r="D85" s="739"/>
      <c r="E85" s="748">
        <v>620571</v>
      </c>
      <c r="F85" s="741">
        <v>774895</v>
      </c>
      <c r="G85" s="741">
        <v>94103</v>
      </c>
      <c r="H85" s="741">
        <v>6179</v>
      </c>
      <c r="I85" s="741">
        <v>285</v>
      </c>
      <c r="J85" s="741">
        <f t="shared" si="6"/>
        <v>1496033</v>
      </c>
      <c r="K85" s="741">
        <f t="shared" si="7"/>
        <v>114336</v>
      </c>
      <c r="L85" s="741">
        <f t="shared" si="8"/>
        <v>1610369</v>
      </c>
      <c r="M85" s="741">
        <v>1579</v>
      </c>
      <c r="N85" s="741">
        <f t="shared" si="9"/>
        <v>121</v>
      </c>
      <c r="O85" s="747">
        <f t="shared" si="10"/>
        <v>1612069</v>
      </c>
      <c r="Q85" s="748">
        <v>691143</v>
      </c>
      <c r="R85" s="741">
        <v>902081</v>
      </c>
      <c r="S85" s="741">
        <v>103044</v>
      </c>
      <c r="T85" s="741">
        <v>6179</v>
      </c>
      <c r="U85" s="741">
        <v>285</v>
      </c>
      <c r="V85" s="741">
        <f t="shared" si="11"/>
        <v>1702732</v>
      </c>
      <c r="W85" s="741">
        <f t="shared" si="12"/>
        <v>130133</v>
      </c>
      <c r="X85" s="741">
        <f t="shared" si="13"/>
        <v>1832865</v>
      </c>
      <c r="Y85" s="741">
        <v>1579</v>
      </c>
      <c r="Z85" s="741">
        <f t="shared" si="14"/>
        <v>121</v>
      </c>
      <c r="AA85" s="749">
        <f t="shared" si="15"/>
        <v>1834565</v>
      </c>
    </row>
    <row r="86" spans="1:27">
      <c r="A86" s="742">
        <f t="shared" si="16"/>
        <v>2022</v>
      </c>
      <c r="B86" s="742">
        <f t="shared" si="17"/>
        <v>9</v>
      </c>
      <c r="C86" s="746">
        <f t="shared" si="5"/>
        <v>44805</v>
      </c>
      <c r="D86" s="739"/>
      <c r="E86" s="748">
        <v>625859</v>
      </c>
      <c r="F86" s="741">
        <v>729157</v>
      </c>
      <c r="G86" s="741">
        <v>86438</v>
      </c>
      <c r="H86" s="741">
        <v>6026</v>
      </c>
      <c r="I86" s="741">
        <v>324</v>
      </c>
      <c r="J86" s="741">
        <f t="shared" si="6"/>
        <v>1447804</v>
      </c>
      <c r="K86" s="741">
        <f t="shared" si="7"/>
        <v>110650</v>
      </c>
      <c r="L86" s="741">
        <f t="shared" si="8"/>
        <v>1558454</v>
      </c>
      <c r="M86" s="741">
        <v>1377</v>
      </c>
      <c r="N86" s="741">
        <f t="shared" si="9"/>
        <v>105</v>
      </c>
      <c r="O86" s="747">
        <f t="shared" si="10"/>
        <v>1559936</v>
      </c>
      <c r="Q86" s="748">
        <v>695721</v>
      </c>
      <c r="R86" s="741">
        <v>851074</v>
      </c>
      <c r="S86" s="741">
        <v>95079</v>
      </c>
      <c r="T86" s="741">
        <v>6026</v>
      </c>
      <c r="U86" s="741">
        <v>324</v>
      </c>
      <c r="V86" s="741">
        <f t="shared" si="11"/>
        <v>1648224</v>
      </c>
      <c r="W86" s="741">
        <f t="shared" si="12"/>
        <v>125968</v>
      </c>
      <c r="X86" s="741">
        <f t="shared" si="13"/>
        <v>1774192</v>
      </c>
      <c r="Y86" s="741">
        <v>1377</v>
      </c>
      <c r="Z86" s="741">
        <f t="shared" si="14"/>
        <v>105</v>
      </c>
      <c r="AA86" s="749">
        <f t="shared" si="15"/>
        <v>1775674</v>
      </c>
    </row>
    <row r="87" spans="1:27">
      <c r="A87" s="742">
        <f t="shared" si="16"/>
        <v>2022</v>
      </c>
      <c r="B87" s="742">
        <f t="shared" si="17"/>
        <v>10</v>
      </c>
      <c r="C87" s="746">
        <f t="shared" si="5"/>
        <v>44835</v>
      </c>
      <c r="D87" s="739"/>
      <c r="E87" s="748">
        <v>790935</v>
      </c>
      <c r="F87" s="741">
        <v>748889</v>
      </c>
      <c r="G87" s="741">
        <v>89488</v>
      </c>
      <c r="H87" s="741">
        <v>6298</v>
      </c>
      <c r="I87" s="741">
        <v>483</v>
      </c>
      <c r="J87" s="741">
        <f t="shared" si="6"/>
        <v>1636093</v>
      </c>
      <c r="K87" s="741">
        <f t="shared" si="7"/>
        <v>125040</v>
      </c>
      <c r="L87" s="741">
        <f t="shared" si="8"/>
        <v>1761133</v>
      </c>
      <c r="M87" s="741">
        <v>1767</v>
      </c>
      <c r="N87" s="741">
        <f t="shared" si="9"/>
        <v>135</v>
      </c>
      <c r="O87" s="747">
        <f t="shared" si="10"/>
        <v>1763035</v>
      </c>
      <c r="Q87" s="748">
        <v>870961</v>
      </c>
      <c r="R87" s="741">
        <v>875264</v>
      </c>
      <c r="S87" s="741">
        <v>98470</v>
      </c>
      <c r="T87" s="741">
        <v>6298</v>
      </c>
      <c r="U87" s="741">
        <v>483</v>
      </c>
      <c r="V87" s="741">
        <f t="shared" si="11"/>
        <v>1851476</v>
      </c>
      <c r="W87" s="741">
        <f t="shared" si="12"/>
        <v>141501</v>
      </c>
      <c r="X87" s="741">
        <f t="shared" si="13"/>
        <v>1992977</v>
      </c>
      <c r="Y87" s="741">
        <v>1767</v>
      </c>
      <c r="Z87" s="741">
        <f t="shared" si="14"/>
        <v>135</v>
      </c>
      <c r="AA87" s="749">
        <f t="shared" si="15"/>
        <v>1994879</v>
      </c>
    </row>
    <row r="88" spans="1:27">
      <c r="A88" s="742">
        <f t="shared" si="16"/>
        <v>2022</v>
      </c>
      <c r="B88" s="742">
        <f t="shared" si="17"/>
        <v>11</v>
      </c>
      <c r="C88" s="746">
        <f t="shared" si="5"/>
        <v>44866</v>
      </c>
      <c r="D88" s="739"/>
      <c r="E88" s="748">
        <v>991176</v>
      </c>
      <c r="F88" s="741">
        <v>782908</v>
      </c>
      <c r="G88" s="741">
        <v>82523</v>
      </c>
      <c r="H88" s="741">
        <v>6716</v>
      </c>
      <c r="I88" s="741">
        <v>698</v>
      </c>
      <c r="J88" s="741">
        <f t="shared" si="6"/>
        <v>1864021</v>
      </c>
      <c r="K88" s="741">
        <f t="shared" si="7"/>
        <v>142460</v>
      </c>
      <c r="L88" s="741">
        <f t="shared" si="8"/>
        <v>2006481</v>
      </c>
      <c r="M88" s="741">
        <v>1763</v>
      </c>
      <c r="N88" s="741">
        <f t="shared" si="9"/>
        <v>135</v>
      </c>
      <c r="O88" s="747">
        <f t="shared" si="10"/>
        <v>2008379</v>
      </c>
      <c r="Q88" s="748">
        <v>1078705</v>
      </c>
      <c r="R88" s="741">
        <v>909452</v>
      </c>
      <c r="S88" s="741">
        <v>91359</v>
      </c>
      <c r="T88" s="741">
        <v>6716</v>
      </c>
      <c r="U88" s="741">
        <v>698</v>
      </c>
      <c r="V88" s="741">
        <f t="shared" si="11"/>
        <v>2086930</v>
      </c>
      <c r="W88" s="741">
        <f t="shared" si="12"/>
        <v>159496</v>
      </c>
      <c r="X88" s="741">
        <f t="shared" si="13"/>
        <v>2246426</v>
      </c>
      <c r="Y88" s="741">
        <v>1763</v>
      </c>
      <c r="Z88" s="741">
        <f t="shared" si="14"/>
        <v>135</v>
      </c>
      <c r="AA88" s="749">
        <f t="shared" si="15"/>
        <v>2248324</v>
      </c>
    </row>
    <row r="89" spans="1:27">
      <c r="A89" s="742">
        <f t="shared" si="16"/>
        <v>2022</v>
      </c>
      <c r="B89" s="742">
        <f t="shared" si="17"/>
        <v>12</v>
      </c>
      <c r="C89" s="746">
        <f t="shared" si="5"/>
        <v>44896</v>
      </c>
      <c r="D89" s="739"/>
      <c r="E89" s="748">
        <v>1264072</v>
      </c>
      <c r="F89" s="741">
        <v>857786</v>
      </c>
      <c r="G89" s="741">
        <v>82005</v>
      </c>
      <c r="H89" s="741">
        <v>6598</v>
      </c>
      <c r="I89" s="741">
        <v>1016</v>
      </c>
      <c r="J89" s="741">
        <f t="shared" si="6"/>
        <v>2211477</v>
      </c>
      <c r="K89" s="741">
        <f t="shared" si="7"/>
        <v>169015</v>
      </c>
      <c r="L89" s="741">
        <f t="shared" si="8"/>
        <v>2380492</v>
      </c>
      <c r="M89" s="741">
        <v>1649</v>
      </c>
      <c r="N89" s="741">
        <f t="shared" si="9"/>
        <v>126</v>
      </c>
      <c r="O89" s="747">
        <f t="shared" si="10"/>
        <v>2382267</v>
      </c>
      <c r="Q89" s="748">
        <v>1365712</v>
      </c>
      <c r="R89" s="741">
        <v>993794</v>
      </c>
      <c r="S89" s="741">
        <v>91398</v>
      </c>
      <c r="T89" s="741">
        <v>6598</v>
      </c>
      <c r="U89" s="741">
        <v>1016</v>
      </c>
      <c r="V89" s="741">
        <f t="shared" si="11"/>
        <v>2458518</v>
      </c>
      <c r="W89" s="741">
        <f t="shared" si="12"/>
        <v>187895</v>
      </c>
      <c r="X89" s="741">
        <f t="shared" si="13"/>
        <v>2646413</v>
      </c>
      <c r="Y89" s="741">
        <v>1649</v>
      </c>
      <c r="Z89" s="741">
        <f t="shared" si="14"/>
        <v>126</v>
      </c>
      <c r="AA89" s="749">
        <f t="shared" si="15"/>
        <v>2648188</v>
      </c>
    </row>
    <row r="90" spans="1:27">
      <c r="A90" s="742">
        <f t="shared" si="16"/>
        <v>2023</v>
      </c>
      <c r="B90" s="742">
        <f t="shared" si="17"/>
        <v>1</v>
      </c>
      <c r="C90" s="746">
        <f t="shared" si="5"/>
        <v>44927</v>
      </c>
      <c r="D90" s="739"/>
      <c r="E90" s="748">
        <v>1227173</v>
      </c>
      <c r="F90" s="741">
        <v>839418</v>
      </c>
      <c r="G90" s="741">
        <v>94505</v>
      </c>
      <c r="H90" s="741">
        <v>6454</v>
      </c>
      <c r="I90" s="741">
        <v>883</v>
      </c>
      <c r="J90" s="741">
        <f t="shared" si="6"/>
        <v>2168433</v>
      </c>
      <c r="K90" s="741">
        <f t="shared" si="7"/>
        <v>165725</v>
      </c>
      <c r="L90" s="741">
        <f t="shared" si="8"/>
        <v>2334158</v>
      </c>
      <c r="M90" s="741">
        <v>2243</v>
      </c>
      <c r="N90" s="741">
        <f t="shared" si="9"/>
        <v>171</v>
      </c>
      <c r="O90" s="747">
        <f t="shared" si="10"/>
        <v>2336572</v>
      </c>
      <c r="Q90" s="748">
        <v>1324309</v>
      </c>
      <c r="R90" s="741">
        <v>970617</v>
      </c>
      <c r="S90" s="741">
        <v>104529</v>
      </c>
      <c r="T90" s="741">
        <v>6454</v>
      </c>
      <c r="U90" s="741">
        <v>883</v>
      </c>
      <c r="V90" s="741">
        <f t="shared" si="11"/>
        <v>2406792</v>
      </c>
      <c r="W90" s="741">
        <f t="shared" si="12"/>
        <v>183942</v>
      </c>
      <c r="X90" s="741">
        <f t="shared" si="13"/>
        <v>2590734</v>
      </c>
      <c r="Y90" s="741">
        <v>2243</v>
      </c>
      <c r="Z90" s="741">
        <f t="shared" si="14"/>
        <v>171</v>
      </c>
      <c r="AA90" s="749">
        <f t="shared" si="15"/>
        <v>2593148</v>
      </c>
    </row>
    <row r="91" spans="1:27">
      <c r="A91" s="742">
        <f t="shared" si="16"/>
        <v>2023</v>
      </c>
      <c r="B91" s="742">
        <f t="shared" si="17"/>
        <v>2</v>
      </c>
      <c r="C91" s="746">
        <f t="shared" si="5"/>
        <v>44958</v>
      </c>
      <c r="D91" s="739"/>
      <c r="E91" s="748">
        <v>1021515</v>
      </c>
      <c r="F91" s="741">
        <v>752518</v>
      </c>
      <c r="G91" s="741">
        <v>80198</v>
      </c>
      <c r="H91" s="741">
        <v>5924</v>
      </c>
      <c r="I91" s="741">
        <v>817</v>
      </c>
      <c r="J91" s="741">
        <f t="shared" si="6"/>
        <v>1860972</v>
      </c>
      <c r="K91" s="741">
        <f t="shared" si="7"/>
        <v>142227</v>
      </c>
      <c r="L91" s="741">
        <f t="shared" si="8"/>
        <v>2003199</v>
      </c>
      <c r="M91" s="741">
        <v>2355</v>
      </c>
      <c r="N91" s="741">
        <f t="shared" si="9"/>
        <v>180</v>
      </c>
      <c r="O91" s="747">
        <f t="shared" si="10"/>
        <v>2005734</v>
      </c>
      <c r="Q91" s="748">
        <v>1104029</v>
      </c>
      <c r="R91" s="741">
        <v>869803</v>
      </c>
      <c r="S91" s="741">
        <v>88927</v>
      </c>
      <c r="T91" s="741">
        <v>5924</v>
      </c>
      <c r="U91" s="741">
        <v>817</v>
      </c>
      <c r="V91" s="741">
        <f t="shared" si="11"/>
        <v>2069500</v>
      </c>
      <c r="W91" s="741">
        <f t="shared" si="12"/>
        <v>158164</v>
      </c>
      <c r="X91" s="741">
        <f t="shared" si="13"/>
        <v>2227664</v>
      </c>
      <c r="Y91" s="741">
        <v>2355</v>
      </c>
      <c r="Z91" s="741">
        <f t="shared" si="14"/>
        <v>180</v>
      </c>
      <c r="AA91" s="749">
        <f t="shared" si="15"/>
        <v>2230199</v>
      </c>
    </row>
    <row r="92" spans="1:27">
      <c r="A92" s="742">
        <f t="shared" si="16"/>
        <v>2023</v>
      </c>
      <c r="B92" s="742">
        <f t="shared" si="17"/>
        <v>3</v>
      </c>
      <c r="C92" s="746">
        <f t="shared" si="5"/>
        <v>44986</v>
      </c>
      <c r="D92" s="739"/>
      <c r="E92" s="748">
        <v>1010860</v>
      </c>
      <c r="F92" s="741">
        <v>790048</v>
      </c>
      <c r="G92" s="741">
        <v>89703</v>
      </c>
      <c r="H92" s="741">
        <v>6529</v>
      </c>
      <c r="I92" s="741">
        <v>814</v>
      </c>
      <c r="J92" s="741">
        <f t="shared" si="6"/>
        <v>1897954</v>
      </c>
      <c r="K92" s="741">
        <f t="shared" si="7"/>
        <v>145054</v>
      </c>
      <c r="L92" s="741">
        <f t="shared" si="8"/>
        <v>2043008</v>
      </c>
      <c r="M92" s="741">
        <v>2263</v>
      </c>
      <c r="N92" s="741">
        <f t="shared" si="9"/>
        <v>173</v>
      </c>
      <c r="O92" s="747">
        <f t="shared" si="10"/>
        <v>2045444</v>
      </c>
      <c r="Q92" s="748">
        <v>1098854</v>
      </c>
      <c r="R92" s="741">
        <v>921466</v>
      </c>
      <c r="S92" s="741">
        <v>99911</v>
      </c>
      <c r="T92" s="741">
        <v>6529</v>
      </c>
      <c r="U92" s="741">
        <v>814</v>
      </c>
      <c r="V92" s="741">
        <f t="shared" si="11"/>
        <v>2127574</v>
      </c>
      <c r="W92" s="741">
        <f t="shared" si="12"/>
        <v>162603</v>
      </c>
      <c r="X92" s="741">
        <f t="shared" si="13"/>
        <v>2290177</v>
      </c>
      <c r="Y92" s="741">
        <v>2263</v>
      </c>
      <c r="Z92" s="741">
        <f t="shared" si="14"/>
        <v>173</v>
      </c>
      <c r="AA92" s="749">
        <f t="shared" si="15"/>
        <v>2292613</v>
      </c>
    </row>
    <row r="93" spans="1:27">
      <c r="A93" s="742">
        <f t="shared" si="16"/>
        <v>2023</v>
      </c>
      <c r="B93" s="742">
        <f t="shared" si="17"/>
        <v>4</v>
      </c>
      <c r="C93" s="746">
        <f t="shared" si="5"/>
        <v>45017</v>
      </c>
      <c r="D93" s="739"/>
      <c r="E93" s="748">
        <v>824649</v>
      </c>
      <c r="F93" s="741">
        <v>723045</v>
      </c>
      <c r="G93" s="741">
        <v>82132</v>
      </c>
      <c r="H93" s="741">
        <v>5813</v>
      </c>
      <c r="I93" s="741">
        <v>592</v>
      </c>
      <c r="J93" s="741">
        <f t="shared" si="6"/>
        <v>1636231</v>
      </c>
      <c r="K93" s="741">
        <f t="shared" si="7"/>
        <v>125051</v>
      </c>
      <c r="L93" s="741">
        <f t="shared" si="8"/>
        <v>1761282</v>
      </c>
      <c r="M93" s="741">
        <v>2101</v>
      </c>
      <c r="N93" s="741">
        <f t="shared" si="9"/>
        <v>161</v>
      </c>
      <c r="O93" s="747">
        <f t="shared" si="10"/>
        <v>1763544</v>
      </c>
      <c r="Q93" s="748">
        <v>905940</v>
      </c>
      <c r="R93" s="741">
        <v>850889</v>
      </c>
      <c r="S93" s="741">
        <v>91897</v>
      </c>
      <c r="T93" s="741">
        <v>5813</v>
      </c>
      <c r="U93" s="741">
        <v>592</v>
      </c>
      <c r="V93" s="741">
        <f t="shared" si="11"/>
        <v>1855131</v>
      </c>
      <c r="W93" s="741">
        <f t="shared" si="12"/>
        <v>141781</v>
      </c>
      <c r="X93" s="741">
        <f t="shared" si="13"/>
        <v>1996912</v>
      </c>
      <c r="Y93" s="741">
        <v>2101</v>
      </c>
      <c r="Z93" s="741">
        <f t="shared" si="14"/>
        <v>161</v>
      </c>
      <c r="AA93" s="749">
        <f t="shared" si="15"/>
        <v>1999174</v>
      </c>
    </row>
    <row r="94" spans="1:27">
      <c r="A94" s="742">
        <f t="shared" si="16"/>
        <v>2023</v>
      </c>
      <c r="B94" s="742">
        <f t="shared" si="17"/>
        <v>5</v>
      </c>
      <c r="C94" s="746">
        <f t="shared" ref="C94:C157" si="18">DATE(A94,B94,1)</f>
        <v>45047</v>
      </c>
      <c r="D94" s="739"/>
      <c r="E94" s="748">
        <v>701068</v>
      </c>
      <c r="F94" s="741">
        <v>716431</v>
      </c>
      <c r="G94" s="741">
        <v>85766</v>
      </c>
      <c r="H94" s="741">
        <v>6153</v>
      </c>
      <c r="I94" s="741">
        <v>458</v>
      </c>
      <c r="J94" s="741">
        <f t="shared" ref="J94:J157" si="19">SUM(E94:I94)</f>
        <v>1509876</v>
      </c>
      <c r="K94" s="741">
        <f t="shared" ref="K94:K157" si="20">L94-J94</f>
        <v>115394</v>
      </c>
      <c r="L94" s="741">
        <f t="shared" ref="L94:L157" si="21">ROUND(J94/0.929, 0)</f>
        <v>1625270</v>
      </c>
      <c r="M94" s="741">
        <v>2097</v>
      </c>
      <c r="N94" s="741">
        <f t="shared" ref="N94:N157" si="22">ROUND(M94/0.929-M94, 0)</f>
        <v>160</v>
      </c>
      <c r="O94" s="747">
        <f t="shared" ref="O94:O157" si="23">SUM(L94:N94)</f>
        <v>1627527</v>
      </c>
      <c r="Q94" s="748">
        <v>777536</v>
      </c>
      <c r="R94" s="741">
        <v>845180</v>
      </c>
      <c r="S94" s="741">
        <v>96153</v>
      </c>
      <c r="T94" s="741">
        <v>6153</v>
      </c>
      <c r="U94" s="741">
        <v>458</v>
      </c>
      <c r="V94" s="741">
        <f t="shared" ref="V94:V157" si="24">SUM(Q94:U94)</f>
        <v>1725480</v>
      </c>
      <c r="W94" s="741">
        <f t="shared" ref="W94:W157" si="25">X94-V94</f>
        <v>131872</v>
      </c>
      <c r="X94" s="741">
        <f t="shared" ref="X94:X157" si="26">ROUND(V94/0.929, 0)</f>
        <v>1857352</v>
      </c>
      <c r="Y94" s="741">
        <v>2097</v>
      </c>
      <c r="Z94" s="741">
        <f t="shared" ref="Z94:Z157" si="27">N94</f>
        <v>160</v>
      </c>
      <c r="AA94" s="749">
        <f t="shared" ref="AA94:AA157" si="28">SUM(X94:Z94)</f>
        <v>1859609</v>
      </c>
    </row>
    <row r="95" spans="1:27">
      <c r="A95" s="742">
        <f t="shared" ref="A95:A158" si="29">IF(B95=1,A94+1,A94)</f>
        <v>2023</v>
      </c>
      <c r="B95" s="742">
        <f t="shared" ref="B95:B158" si="30">IF(B94=12,1,B94+1)</f>
        <v>6</v>
      </c>
      <c r="C95" s="746">
        <f t="shared" si="18"/>
        <v>45078</v>
      </c>
      <c r="D95" s="739"/>
      <c r="E95" s="748">
        <v>640517</v>
      </c>
      <c r="F95" s="741">
        <v>711310</v>
      </c>
      <c r="G95" s="741">
        <v>86607</v>
      </c>
      <c r="H95" s="741">
        <v>6162</v>
      </c>
      <c r="I95" s="741">
        <v>356</v>
      </c>
      <c r="J95" s="741">
        <f t="shared" si="19"/>
        <v>1444952</v>
      </c>
      <c r="K95" s="741">
        <f t="shared" si="20"/>
        <v>110432</v>
      </c>
      <c r="L95" s="741">
        <f t="shared" si="21"/>
        <v>1555384</v>
      </c>
      <c r="M95" s="741">
        <v>1727</v>
      </c>
      <c r="N95" s="741">
        <f t="shared" si="22"/>
        <v>132</v>
      </c>
      <c r="O95" s="747">
        <f t="shared" si="23"/>
        <v>1557243</v>
      </c>
      <c r="Q95" s="748">
        <v>716028</v>
      </c>
      <c r="R95" s="741">
        <v>840060</v>
      </c>
      <c r="S95" s="741">
        <v>97157</v>
      </c>
      <c r="T95" s="741">
        <v>6162</v>
      </c>
      <c r="U95" s="741">
        <v>356</v>
      </c>
      <c r="V95" s="741">
        <f t="shared" si="24"/>
        <v>1659763</v>
      </c>
      <c r="W95" s="741">
        <f t="shared" si="25"/>
        <v>126849</v>
      </c>
      <c r="X95" s="741">
        <f t="shared" si="26"/>
        <v>1786612</v>
      </c>
      <c r="Y95" s="741">
        <v>1727</v>
      </c>
      <c r="Z95" s="741">
        <f t="shared" si="27"/>
        <v>132</v>
      </c>
      <c r="AA95" s="749">
        <f t="shared" si="28"/>
        <v>1788471</v>
      </c>
    </row>
    <row r="96" spans="1:27">
      <c r="A96" s="742">
        <f t="shared" si="29"/>
        <v>2023</v>
      </c>
      <c r="B96" s="742">
        <f t="shared" si="30"/>
        <v>7</v>
      </c>
      <c r="C96" s="746">
        <f t="shared" si="18"/>
        <v>45108</v>
      </c>
      <c r="D96" s="739"/>
      <c r="E96" s="748">
        <v>637204</v>
      </c>
      <c r="F96" s="741">
        <v>752110</v>
      </c>
      <c r="G96" s="741">
        <v>89001</v>
      </c>
      <c r="H96" s="741">
        <v>5928</v>
      </c>
      <c r="I96" s="741">
        <v>315</v>
      </c>
      <c r="J96" s="741">
        <f t="shared" si="19"/>
        <v>1484558</v>
      </c>
      <c r="K96" s="741">
        <f t="shared" si="20"/>
        <v>113459</v>
      </c>
      <c r="L96" s="741">
        <f t="shared" si="21"/>
        <v>1598017</v>
      </c>
      <c r="M96" s="741">
        <v>2779</v>
      </c>
      <c r="N96" s="741">
        <f t="shared" si="22"/>
        <v>212</v>
      </c>
      <c r="O96" s="747">
        <f t="shared" si="23"/>
        <v>1601008</v>
      </c>
      <c r="Q96" s="748">
        <v>718287</v>
      </c>
      <c r="R96" s="741">
        <v>888716</v>
      </c>
      <c r="S96" s="741">
        <v>100006</v>
      </c>
      <c r="T96" s="741">
        <v>5928</v>
      </c>
      <c r="U96" s="741">
        <v>315</v>
      </c>
      <c r="V96" s="741">
        <f t="shared" si="24"/>
        <v>1713252</v>
      </c>
      <c r="W96" s="741">
        <f t="shared" si="25"/>
        <v>130937</v>
      </c>
      <c r="X96" s="741">
        <f t="shared" si="26"/>
        <v>1844189</v>
      </c>
      <c r="Y96" s="741">
        <v>2779</v>
      </c>
      <c r="Z96" s="741">
        <f t="shared" si="27"/>
        <v>212</v>
      </c>
      <c r="AA96" s="749">
        <f t="shared" si="28"/>
        <v>1847180</v>
      </c>
    </row>
    <row r="97" spans="1:27">
      <c r="A97" s="742">
        <f t="shared" si="29"/>
        <v>2023</v>
      </c>
      <c r="B97" s="742">
        <f t="shared" si="30"/>
        <v>8</v>
      </c>
      <c r="C97" s="746">
        <f t="shared" si="18"/>
        <v>45139</v>
      </c>
      <c r="D97" s="739"/>
      <c r="E97" s="748">
        <v>620921</v>
      </c>
      <c r="F97" s="741">
        <v>773949</v>
      </c>
      <c r="G97" s="741">
        <v>91922</v>
      </c>
      <c r="H97" s="741">
        <v>6115</v>
      </c>
      <c r="I97" s="741">
        <v>285</v>
      </c>
      <c r="J97" s="741">
        <f t="shared" si="19"/>
        <v>1493192</v>
      </c>
      <c r="K97" s="741">
        <f t="shared" si="20"/>
        <v>114119</v>
      </c>
      <c r="L97" s="741">
        <f t="shared" si="21"/>
        <v>1607311</v>
      </c>
      <c r="M97" s="741">
        <v>1579</v>
      </c>
      <c r="N97" s="741">
        <f t="shared" si="22"/>
        <v>121</v>
      </c>
      <c r="O97" s="747">
        <f t="shared" si="23"/>
        <v>1609011</v>
      </c>
      <c r="Q97" s="748">
        <v>702647</v>
      </c>
      <c r="R97" s="741">
        <v>913764</v>
      </c>
      <c r="S97" s="741">
        <v>103442</v>
      </c>
      <c r="T97" s="741">
        <v>6115</v>
      </c>
      <c r="U97" s="741">
        <v>285</v>
      </c>
      <c r="V97" s="741">
        <f t="shared" si="24"/>
        <v>1726253</v>
      </c>
      <c r="W97" s="741">
        <f t="shared" si="25"/>
        <v>131931</v>
      </c>
      <c r="X97" s="741">
        <f t="shared" si="26"/>
        <v>1858184</v>
      </c>
      <c r="Y97" s="741">
        <v>1579</v>
      </c>
      <c r="Z97" s="741">
        <f t="shared" si="27"/>
        <v>121</v>
      </c>
      <c r="AA97" s="749">
        <f t="shared" si="28"/>
        <v>1859884</v>
      </c>
    </row>
    <row r="98" spans="1:27">
      <c r="A98" s="742">
        <f t="shared" si="29"/>
        <v>2023</v>
      </c>
      <c r="B98" s="742">
        <f t="shared" si="30"/>
        <v>9</v>
      </c>
      <c r="C98" s="746">
        <f t="shared" si="18"/>
        <v>45170</v>
      </c>
      <c r="D98" s="739"/>
      <c r="E98" s="748">
        <v>627038</v>
      </c>
      <c r="F98" s="741">
        <v>728661</v>
      </c>
      <c r="G98" s="741">
        <v>84613</v>
      </c>
      <c r="H98" s="741">
        <v>5964</v>
      </c>
      <c r="I98" s="741">
        <v>324</v>
      </c>
      <c r="J98" s="741">
        <f t="shared" si="19"/>
        <v>1446600</v>
      </c>
      <c r="K98" s="741">
        <f t="shared" si="20"/>
        <v>110558</v>
      </c>
      <c r="L98" s="741">
        <f t="shared" si="21"/>
        <v>1557158</v>
      </c>
      <c r="M98" s="741">
        <v>1377</v>
      </c>
      <c r="N98" s="741">
        <f t="shared" si="22"/>
        <v>105</v>
      </c>
      <c r="O98" s="747">
        <f t="shared" si="23"/>
        <v>1558640</v>
      </c>
      <c r="Q98" s="748">
        <v>707619</v>
      </c>
      <c r="R98" s="741">
        <v>862648</v>
      </c>
      <c r="S98" s="741">
        <v>95669</v>
      </c>
      <c r="T98" s="741">
        <v>5964</v>
      </c>
      <c r="U98" s="741">
        <v>324</v>
      </c>
      <c r="V98" s="741">
        <f t="shared" si="24"/>
        <v>1672224</v>
      </c>
      <c r="W98" s="741">
        <f t="shared" si="25"/>
        <v>127802</v>
      </c>
      <c r="X98" s="741">
        <f t="shared" si="26"/>
        <v>1800026</v>
      </c>
      <c r="Y98" s="741">
        <v>1377</v>
      </c>
      <c r="Z98" s="741">
        <f t="shared" si="27"/>
        <v>105</v>
      </c>
      <c r="AA98" s="749">
        <f t="shared" si="28"/>
        <v>1801508</v>
      </c>
    </row>
    <row r="99" spans="1:27">
      <c r="A99" s="742">
        <f t="shared" si="29"/>
        <v>2023</v>
      </c>
      <c r="B99" s="742">
        <f t="shared" si="30"/>
        <v>10</v>
      </c>
      <c r="C99" s="746">
        <f t="shared" si="18"/>
        <v>45200</v>
      </c>
      <c r="D99" s="739"/>
      <c r="E99" s="748">
        <v>793300</v>
      </c>
      <c r="F99" s="741">
        <v>748781</v>
      </c>
      <c r="G99" s="741">
        <v>87823</v>
      </c>
      <c r="H99" s="741">
        <v>6239</v>
      </c>
      <c r="I99" s="741">
        <v>483</v>
      </c>
      <c r="J99" s="741">
        <f t="shared" si="19"/>
        <v>1636626</v>
      </c>
      <c r="K99" s="741">
        <f t="shared" si="20"/>
        <v>125081</v>
      </c>
      <c r="L99" s="741">
        <f t="shared" si="21"/>
        <v>1761707</v>
      </c>
      <c r="M99" s="741">
        <v>1767</v>
      </c>
      <c r="N99" s="741">
        <f t="shared" si="22"/>
        <v>135</v>
      </c>
      <c r="O99" s="747">
        <f t="shared" si="23"/>
        <v>1763609</v>
      </c>
      <c r="Q99" s="748">
        <v>885532</v>
      </c>
      <c r="R99" s="741">
        <v>887591</v>
      </c>
      <c r="S99" s="741">
        <v>99242</v>
      </c>
      <c r="T99" s="741">
        <v>6239</v>
      </c>
      <c r="U99" s="741">
        <v>483</v>
      </c>
      <c r="V99" s="741">
        <f t="shared" si="24"/>
        <v>1879087</v>
      </c>
      <c r="W99" s="741">
        <f t="shared" si="25"/>
        <v>143612</v>
      </c>
      <c r="X99" s="741">
        <f t="shared" si="26"/>
        <v>2022699</v>
      </c>
      <c r="Y99" s="741">
        <v>1767</v>
      </c>
      <c r="Z99" s="741">
        <f t="shared" si="27"/>
        <v>135</v>
      </c>
      <c r="AA99" s="749">
        <f t="shared" si="28"/>
        <v>2024601</v>
      </c>
    </row>
    <row r="100" spans="1:27">
      <c r="A100" s="742">
        <f t="shared" si="29"/>
        <v>2023</v>
      </c>
      <c r="B100" s="742">
        <f t="shared" si="30"/>
        <v>11</v>
      </c>
      <c r="C100" s="746">
        <f t="shared" si="18"/>
        <v>45231</v>
      </c>
      <c r="D100" s="739"/>
      <c r="E100" s="748">
        <v>995032</v>
      </c>
      <c r="F100" s="741">
        <v>784197</v>
      </c>
      <c r="G100" s="741">
        <v>81123</v>
      </c>
      <c r="H100" s="741">
        <v>6661</v>
      </c>
      <c r="I100" s="741">
        <v>698</v>
      </c>
      <c r="J100" s="741">
        <f t="shared" si="19"/>
        <v>1867711</v>
      </c>
      <c r="K100" s="741">
        <f t="shared" si="20"/>
        <v>142742</v>
      </c>
      <c r="L100" s="741">
        <f t="shared" si="21"/>
        <v>2010453</v>
      </c>
      <c r="M100" s="741">
        <v>1763</v>
      </c>
      <c r="N100" s="741">
        <f t="shared" si="22"/>
        <v>135</v>
      </c>
      <c r="O100" s="747">
        <f t="shared" si="23"/>
        <v>2012351</v>
      </c>
      <c r="Q100" s="748">
        <v>1096007</v>
      </c>
      <c r="R100" s="741">
        <v>923000</v>
      </c>
      <c r="S100" s="741">
        <v>92277</v>
      </c>
      <c r="T100" s="741">
        <v>6661</v>
      </c>
      <c r="U100" s="741">
        <v>698</v>
      </c>
      <c r="V100" s="741">
        <f t="shared" si="24"/>
        <v>2118643</v>
      </c>
      <c r="W100" s="741">
        <f t="shared" si="25"/>
        <v>161920</v>
      </c>
      <c r="X100" s="741">
        <f t="shared" si="26"/>
        <v>2280563</v>
      </c>
      <c r="Y100" s="741">
        <v>1763</v>
      </c>
      <c r="Z100" s="741">
        <f t="shared" si="27"/>
        <v>135</v>
      </c>
      <c r="AA100" s="749">
        <f t="shared" si="28"/>
        <v>2282461</v>
      </c>
    </row>
    <row r="101" spans="1:27">
      <c r="A101" s="742">
        <f t="shared" si="29"/>
        <v>2023</v>
      </c>
      <c r="B101" s="742">
        <f t="shared" si="30"/>
        <v>12</v>
      </c>
      <c r="C101" s="746">
        <f t="shared" si="18"/>
        <v>45261</v>
      </c>
      <c r="D101" s="739"/>
      <c r="E101" s="748">
        <v>1269941</v>
      </c>
      <c r="F101" s="741">
        <v>859577</v>
      </c>
      <c r="G101" s="741">
        <v>80679</v>
      </c>
      <c r="H101" s="741">
        <v>6545</v>
      </c>
      <c r="I101" s="741">
        <v>1016</v>
      </c>
      <c r="J101" s="741">
        <f t="shared" si="19"/>
        <v>2217758</v>
      </c>
      <c r="K101" s="741">
        <f t="shared" si="20"/>
        <v>169495</v>
      </c>
      <c r="L101" s="741">
        <f t="shared" si="21"/>
        <v>2387253</v>
      </c>
      <c r="M101" s="741">
        <v>1649</v>
      </c>
      <c r="N101" s="741">
        <f t="shared" si="22"/>
        <v>126</v>
      </c>
      <c r="O101" s="747">
        <f t="shared" si="23"/>
        <v>2389028</v>
      </c>
      <c r="Q101" s="748">
        <v>1387082</v>
      </c>
      <c r="R101" s="741">
        <v>1008453</v>
      </c>
      <c r="S101" s="741">
        <v>92465</v>
      </c>
      <c r="T101" s="741">
        <v>6545</v>
      </c>
      <c r="U101" s="741">
        <v>1016</v>
      </c>
      <c r="V101" s="741">
        <f t="shared" si="24"/>
        <v>2495561</v>
      </c>
      <c r="W101" s="741">
        <f t="shared" si="25"/>
        <v>190726</v>
      </c>
      <c r="X101" s="741">
        <f t="shared" si="26"/>
        <v>2686287</v>
      </c>
      <c r="Y101" s="741">
        <v>1649</v>
      </c>
      <c r="Z101" s="741">
        <f t="shared" si="27"/>
        <v>126</v>
      </c>
      <c r="AA101" s="749">
        <f t="shared" si="28"/>
        <v>2688062</v>
      </c>
    </row>
    <row r="102" spans="1:27">
      <c r="A102" s="742">
        <f t="shared" si="29"/>
        <v>2024</v>
      </c>
      <c r="B102" s="742">
        <f t="shared" si="30"/>
        <v>1</v>
      </c>
      <c r="C102" s="746">
        <f t="shared" si="18"/>
        <v>45292</v>
      </c>
      <c r="D102" s="739"/>
      <c r="E102" s="748">
        <v>1233520</v>
      </c>
      <c r="F102" s="741">
        <v>840822</v>
      </c>
      <c r="G102" s="741">
        <v>93156</v>
      </c>
      <c r="H102" s="741">
        <v>6398</v>
      </c>
      <c r="I102" s="741">
        <v>883</v>
      </c>
      <c r="J102" s="741">
        <f t="shared" si="19"/>
        <v>2174779</v>
      </c>
      <c r="K102" s="741">
        <f t="shared" si="20"/>
        <v>166210</v>
      </c>
      <c r="L102" s="741">
        <f t="shared" si="21"/>
        <v>2340989</v>
      </c>
      <c r="M102" s="741">
        <v>2243</v>
      </c>
      <c r="N102" s="741">
        <f t="shared" si="22"/>
        <v>171</v>
      </c>
      <c r="O102" s="747">
        <f t="shared" si="23"/>
        <v>2343403</v>
      </c>
      <c r="Q102" s="748">
        <v>1345231</v>
      </c>
      <c r="R102" s="741">
        <v>984186</v>
      </c>
      <c r="S102" s="741">
        <v>105673</v>
      </c>
      <c r="T102" s="741">
        <v>6398</v>
      </c>
      <c r="U102" s="741">
        <v>883</v>
      </c>
      <c r="V102" s="741">
        <f t="shared" si="24"/>
        <v>2442371</v>
      </c>
      <c r="W102" s="741">
        <f t="shared" si="25"/>
        <v>186661</v>
      </c>
      <c r="X102" s="741">
        <f t="shared" si="26"/>
        <v>2629032</v>
      </c>
      <c r="Y102" s="741">
        <v>2243</v>
      </c>
      <c r="Z102" s="741">
        <f t="shared" si="27"/>
        <v>171</v>
      </c>
      <c r="AA102" s="749">
        <f t="shared" si="28"/>
        <v>2631446</v>
      </c>
    </row>
    <row r="103" spans="1:27">
      <c r="A103" s="742">
        <f t="shared" si="29"/>
        <v>2024</v>
      </c>
      <c r="B103" s="742">
        <f t="shared" si="30"/>
        <v>2</v>
      </c>
      <c r="C103" s="746">
        <f t="shared" si="18"/>
        <v>45323</v>
      </c>
      <c r="D103" s="739"/>
      <c r="E103" s="748">
        <v>1068354</v>
      </c>
      <c r="F103" s="741">
        <v>782761</v>
      </c>
      <c r="G103" s="741">
        <v>83985</v>
      </c>
      <c r="H103" s="741">
        <v>6040</v>
      </c>
      <c r="I103" s="741">
        <v>835</v>
      </c>
      <c r="J103" s="741">
        <f t="shared" si="19"/>
        <v>1941975</v>
      </c>
      <c r="K103" s="741">
        <f t="shared" si="20"/>
        <v>148418</v>
      </c>
      <c r="L103" s="741">
        <f t="shared" si="21"/>
        <v>2090393</v>
      </c>
      <c r="M103" s="741">
        <v>2439</v>
      </c>
      <c r="N103" s="741">
        <f t="shared" si="22"/>
        <v>186</v>
      </c>
      <c r="O103" s="747">
        <f t="shared" si="23"/>
        <v>2093018</v>
      </c>
      <c r="Q103" s="748">
        <v>1142864</v>
      </c>
      <c r="R103" s="741">
        <v>896720</v>
      </c>
      <c r="S103" s="741">
        <v>92532</v>
      </c>
      <c r="T103" s="741">
        <v>6040</v>
      </c>
      <c r="U103" s="741">
        <v>835</v>
      </c>
      <c r="V103" s="741">
        <f t="shared" si="24"/>
        <v>2138991</v>
      </c>
      <c r="W103" s="741">
        <f t="shared" si="25"/>
        <v>163475</v>
      </c>
      <c r="X103" s="741">
        <f t="shared" si="26"/>
        <v>2302466</v>
      </c>
      <c r="Y103" s="741">
        <v>2439</v>
      </c>
      <c r="Z103" s="741">
        <f t="shared" si="27"/>
        <v>186</v>
      </c>
      <c r="AA103" s="749">
        <f t="shared" si="28"/>
        <v>2305091</v>
      </c>
    </row>
    <row r="104" spans="1:27">
      <c r="A104" s="742">
        <f t="shared" si="29"/>
        <v>2024</v>
      </c>
      <c r="B104" s="742">
        <f t="shared" si="30"/>
        <v>3</v>
      </c>
      <c r="C104" s="746">
        <f t="shared" si="18"/>
        <v>45352</v>
      </c>
      <c r="D104" s="739"/>
      <c r="E104" s="748">
        <v>1016035</v>
      </c>
      <c r="F104" s="741">
        <v>791004</v>
      </c>
      <c r="G104" s="741">
        <v>87165</v>
      </c>
      <c r="H104" s="741">
        <v>6500</v>
      </c>
      <c r="I104" s="741">
        <v>825</v>
      </c>
      <c r="J104" s="741">
        <f t="shared" si="19"/>
        <v>1901529</v>
      </c>
      <c r="K104" s="741">
        <f t="shared" si="20"/>
        <v>145327</v>
      </c>
      <c r="L104" s="741">
        <f t="shared" si="21"/>
        <v>2046856</v>
      </c>
      <c r="M104" s="741">
        <v>2263</v>
      </c>
      <c r="N104" s="741">
        <f t="shared" si="22"/>
        <v>173</v>
      </c>
      <c r="O104" s="747">
        <f t="shared" si="23"/>
        <v>2049292</v>
      </c>
      <c r="Q104" s="748">
        <v>1136805</v>
      </c>
      <c r="R104" s="741">
        <v>948641</v>
      </c>
      <c r="S104" s="741">
        <v>102135</v>
      </c>
      <c r="T104" s="741">
        <v>6500</v>
      </c>
      <c r="U104" s="741">
        <v>825</v>
      </c>
      <c r="V104" s="741">
        <f t="shared" si="24"/>
        <v>2194906</v>
      </c>
      <c r="W104" s="741">
        <f t="shared" si="25"/>
        <v>167748</v>
      </c>
      <c r="X104" s="741">
        <f t="shared" si="26"/>
        <v>2362654</v>
      </c>
      <c r="Y104" s="741">
        <v>2263</v>
      </c>
      <c r="Z104" s="741">
        <f t="shared" si="27"/>
        <v>173</v>
      </c>
      <c r="AA104" s="749">
        <f t="shared" si="28"/>
        <v>2365090</v>
      </c>
    </row>
    <row r="105" spans="1:27">
      <c r="A105" s="742">
        <f t="shared" si="29"/>
        <v>2024</v>
      </c>
      <c r="B105" s="742">
        <f t="shared" si="30"/>
        <v>4</v>
      </c>
      <c r="C105" s="746">
        <f t="shared" si="18"/>
        <v>45383</v>
      </c>
      <c r="D105" s="739"/>
      <c r="E105" s="748">
        <v>829339</v>
      </c>
      <c r="F105" s="741">
        <v>721082</v>
      </c>
      <c r="G105" s="741">
        <v>81297</v>
      </c>
      <c r="H105" s="741">
        <v>5745</v>
      </c>
      <c r="I105" s="741">
        <v>592</v>
      </c>
      <c r="J105" s="741">
        <f t="shared" si="19"/>
        <v>1638055</v>
      </c>
      <c r="K105" s="741">
        <f t="shared" si="20"/>
        <v>125190</v>
      </c>
      <c r="L105" s="741">
        <f t="shared" si="21"/>
        <v>1763245</v>
      </c>
      <c r="M105" s="741">
        <v>2101</v>
      </c>
      <c r="N105" s="741">
        <f t="shared" si="22"/>
        <v>161</v>
      </c>
      <c r="O105" s="747">
        <f t="shared" si="23"/>
        <v>1765507</v>
      </c>
      <c r="Q105" s="748">
        <v>921836</v>
      </c>
      <c r="R105" s="741">
        <v>860361</v>
      </c>
      <c r="S105" s="741">
        <v>93362</v>
      </c>
      <c r="T105" s="741">
        <v>5745</v>
      </c>
      <c r="U105" s="741">
        <v>592</v>
      </c>
      <c r="V105" s="741">
        <f t="shared" si="24"/>
        <v>1881896</v>
      </c>
      <c r="W105" s="741">
        <f t="shared" si="25"/>
        <v>143826</v>
      </c>
      <c r="X105" s="741">
        <f t="shared" si="26"/>
        <v>2025722</v>
      </c>
      <c r="Y105" s="741">
        <v>2101</v>
      </c>
      <c r="Z105" s="741">
        <f t="shared" si="27"/>
        <v>161</v>
      </c>
      <c r="AA105" s="749">
        <f t="shared" si="28"/>
        <v>2027984</v>
      </c>
    </row>
    <row r="106" spans="1:27">
      <c r="A106" s="742">
        <f t="shared" si="29"/>
        <v>2024</v>
      </c>
      <c r="B106" s="742">
        <f t="shared" si="30"/>
        <v>5</v>
      </c>
      <c r="C106" s="746">
        <f t="shared" si="18"/>
        <v>45413</v>
      </c>
      <c r="D106" s="739"/>
      <c r="E106" s="748">
        <v>705187</v>
      </c>
      <c r="F106" s="741">
        <v>714474</v>
      </c>
      <c r="G106" s="741">
        <v>84947</v>
      </c>
      <c r="H106" s="741">
        <v>6080</v>
      </c>
      <c r="I106" s="741">
        <v>458</v>
      </c>
      <c r="J106" s="741">
        <f t="shared" si="19"/>
        <v>1511146</v>
      </c>
      <c r="K106" s="741">
        <f t="shared" si="20"/>
        <v>115491</v>
      </c>
      <c r="L106" s="741">
        <f t="shared" si="21"/>
        <v>1626637</v>
      </c>
      <c r="M106" s="741">
        <v>2097</v>
      </c>
      <c r="N106" s="741">
        <f t="shared" si="22"/>
        <v>160</v>
      </c>
      <c r="O106" s="747">
        <f t="shared" si="23"/>
        <v>1628894</v>
      </c>
      <c r="Q106" s="748">
        <v>791781</v>
      </c>
      <c r="R106" s="741">
        <v>854282</v>
      </c>
      <c r="S106" s="741">
        <v>97727</v>
      </c>
      <c r="T106" s="741">
        <v>6080</v>
      </c>
      <c r="U106" s="741">
        <v>458</v>
      </c>
      <c r="V106" s="741">
        <f t="shared" si="24"/>
        <v>1750328</v>
      </c>
      <c r="W106" s="741">
        <f t="shared" si="25"/>
        <v>133771</v>
      </c>
      <c r="X106" s="741">
        <f t="shared" si="26"/>
        <v>1884099</v>
      </c>
      <c r="Y106" s="741">
        <v>2097</v>
      </c>
      <c r="Z106" s="741">
        <f t="shared" si="27"/>
        <v>160</v>
      </c>
      <c r="AA106" s="749">
        <f t="shared" si="28"/>
        <v>1886356</v>
      </c>
    </row>
    <row r="107" spans="1:27">
      <c r="A107" s="742">
        <f t="shared" si="29"/>
        <v>2024</v>
      </c>
      <c r="B107" s="742">
        <f t="shared" si="30"/>
        <v>6</v>
      </c>
      <c r="C107" s="746">
        <f t="shared" si="18"/>
        <v>45444</v>
      </c>
      <c r="D107" s="739"/>
      <c r="E107" s="748">
        <v>644101</v>
      </c>
      <c r="F107" s="741">
        <v>709329</v>
      </c>
      <c r="G107" s="741">
        <v>85920</v>
      </c>
      <c r="H107" s="741">
        <v>6087</v>
      </c>
      <c r="I107" s="741">
        <v>356</v>
      </c>
      <c r="J107" s="741">
        <f t="shared" si="19"/>
        <v>1445793</v>
      </c>
      <c r="K107" s="741">
        <f t="shared" si="20"/>
        <v>110497</v>
      </c>
      <c r="L107" s="741">
        <f t="shared" si="21"/>
        <v>1556290</v>
      </c>
      <c r="M107" s="741">
        <v>1727</v>
      </c>
      <c r="N107" s="741">
        <f t="shared" si="22"/>
        <v>132</v>
      </c>
      <c r="O107" s="747">
        <f t="shared" si="23"/>
        <v>1558149</v>
      </c>
      <c r="Q107" s="748">
        <v>729443</v>
      </c>
      <c r="R107" s="741">
        <v>848806</v>
      </c>
      <c r="S107" s="741">
        <v>98842</v>
      </c>
      <c r="T107" s="741">
        <v>6087</v>
      </c>
      <c r="U107" s="741">
        <v>356</v>
      </c>
      <c r="V107" s="741">
        <f t="shared" si="24"/>
        <v>1683534</v>
      </c>
      <c r="W107" s="741">
        <f t="shared" si="25"/>
        <v>128666</v>
      </c>
      <c r="X107" s="741">
        <f t="shared" si="26"/>
        <v>1812200</v>
      </c>
      <c r="Y107" s="741">
        <v>1727</v>
      </c>
      <c r="Z107" s="741">
        <f t="shared" si="27"/>
        <v>132</v>
      </c>
      <c r="AA107" s="749">
        <f t="shared" si="28"/>
        <v>1814059</v>
      </c>
    </row>
    <row r="108" spans="1:27">
      <c r="A108" s="742">
        <f t="shared" si="29"/>
        <v>2024</v>
      </c>
      <c r="B108" s="742">
        <f t="shared" si="30"/>
        <v>7</v>
      </c>
      <c r="C108" s="746">
        <f t="shared" si="18"/>
        <v>45474</v>
      </c>
      <c r="D108" s="739"/>
      <c r="E108" s="748">
        <v>640307</v>
      </c>
      <c r="F108" s="741">
        <v>749950</v>
      </c>
      <c r="G108" s="741">
        <v>88396</v>
      </c>
      <c r="H108" s="741">
        <v>5855</v>
      </c>
      <c r="I108" s="741">
        <v>315</v>
      </c>
      <c r="J108" s="741">
        <f t="shared" si="19"/>
        <v>1484823</v>
      </c>
      <c r="K108" s="741">
        <f t="shared" si="20"/>
        <v>113479</v>
      </c>
      <c r="L108" s="741">
        <f t="shared" si="21"/>
        <v>1598302</v>
      </c>
      <c r="M108" s="741">
        <v>2779</v>
      </c>
      <c r="N108" s="741">
        <f t="shared" si="22"/>
        <v>212</v>
      </c>
      <c r="O108" s="747">
        <f t="shared" si="23"/>
        <v>1601293</v>
      </c>
      <c r="Q108" s="748">
        <v>731924</v>
      </c>
      <c r="R108" s="741">
        <v>897747</v>
      </c>
      <c r="S108" s="741">
        <v>101807</v>
      </c>
      <c r="T108" s="741">
        <v>5855</v>
      </c>
      <c r="U108" s="741">
        <v>315</v>
      </c>
      <c r="V108" s="741">
        <f t="shared" si="24"/>
        <v>1737648</v>
      </c>
      <c r="W108" s="741">
        <f t="shared" si="25"/>
        <v>132802</v>
      </c>
      <c r="X108" s="741">
        <f t="shared" si="26"/>
        <v>1870450</v>
      </c>
      <c r="Y108" s="741">
        <v>2779</v>
      </c>
      <c r="Z108" s="741">
        <f t="shared" si="27"/>
        <v>212</v>
      </c>
      <c r="AA108" s="749">
        <f t="shared" si="28"/>
        <v>1873441</v>
      </c>
    </row>
    <row r="109" spans="1:27">
      <c r="A109" s="742">
        <f t="shared" si="29"/>
        <v>2024</v>
      </c>
      <c r="B109" s="742">
        <f t="shared" si="30"/>
        <v>8</v>
      </c>
      <c r="C109" s="746">
        <f t="shared" si="18"/>
        <v>45505</v>
      </c>
      <c r="D109" s="739"/>
      <c r="E109" s="748">
        <v>623957</v>
      </c>
      <c r="F109" s="741">
        <v>772291</v>
      </c>
      <c r="G109" s="741">
        <v>91398</v>
      </c>
      <c r="H109" s="741">
        <v>6039</v>
      </c>
      <c r="I109" s="741">
        <v>285</v>
      </c>
      <c r="J109" s="741">
        <f t="shared" si="19"/>
        <v>1493970</v>
      </c>
      <c r="K109" s="741">
        <f t="shared" si="20"/>
        <v>114179</v>
      </c>
      <c r="L109" s="741">
        <f t="shared" si="21"/>
        <v>1608149</v>
      </c>
      <c r="M109" s="741">
        <v>1579</v>
      </c>
      <c r="N109" s="741">
        <f t="shared" si="22"/>
        <v>121</v>
      </c>
      <c r="O109" s="747">
        <f t="shared" si="23"/>
        <v>1609849</v>
      </c>
      <c r="Q109" s="748">
        <v>716126</v>
      </c>
      <c r="R109" s="741">
        <v>923394</v>
      </c>
      <c r="S109" s="741">
        <v>105359</v>
      </c>
      <c r="T109" s="741">
        <v>6039</v>
      </c>
      <c r="U109" s="741">
        <v>285</v>
      </c>
      <c r="V109" s="741">
        <f t="shared" si="24"/>
        <v>1751203</v>
      </c>
      <c r="W109" s="741">
        <f t="shared" si="25"/>
        <v>133838</v>
      </c>
      <c r="X109" s="741">
        <f t="shared" si="26"/>
        <v>1885041</v>
      </c>
      <c r="Y109" s="741">
        <v>1579</v>
      </c>
      <c r="Z109" s="741">
        <f t="shared" si="27"/>
        <v>121</v>
      </c>
      <c r="AA109" s="749">
        <f t="shared" si="28"/>
        <v>1886741</v>
      </c>
    </row>
    <row r="110" spans="1:27">
      <c r="A110" s="742">
        <f t="shared" si="29"/>
        <v>2024</v>
      </c>
      <c r="B110" s="742">
        <f t="shared" si="30"/>
        <v>9</v>
      </c>
      <c r="C110" s="746">
        <f t="shared" si="18"/>
        <v>45536</v>
      </c>
      <c r="D110" s="739"/>
      <c r="E110" s="748">
        <v>630505</v>
      </c>
      <c r="F110" s="741">
        <v>727071</v>
      </c>
      <c r="G110" s="741">
        <v>84373</v>
      </c>
      <c r="H110" s="741">
        <v>5890</v>
      </c>
      <c r="I110" s="741">
        <v>324</v>
      </c>
      <c r="J110" s="741">
        <f t="shared" si="19"/>
        <v>1448163</v>
      </c>
      <c r="K110" s="741">
        <f t="shared" si="20"/>
        <v>110678</v>
      </c>
      <c r="L110" s="741">
        <f t="shared" si="21"/>
        <v>1558841</v>
      </c>
      <c r="M110" s="741">
        <v>1377</v>
      </c>
      <c r="N110" s="741">
        <f t="shared" si="22"/>
        <v>105</v>
      </c>
      <c r="O110" s="747">
        <f t="shared" si="23"/>
        <v>1560323</v>
      </c>
      <c r="Q110" s="748">
        <v>721115</v>
      </c>
      <c r="R110" s="741">
        <v>871776</v>
      </c>
      <c r="S110" s="741">
        <v>97695</v>
      </c>
      <c r="T110" s="741">
        <v>5890</v>
      </c>
      <c r="U110" s="741">
        <v>324</v>
      </c>
      <c r="V110" s="741">
        <f t="shared" si="24"/>
        <v>1696800</v>
      </c>
      <c r="W110" s="741">
        <f t="shared" si="25"/>
        <v>129680</v>
      </c>
      <c r="X110" s="741">
        <f t="shared" si="26"/>
        <v>1826480</v>
      </c>
      <c r="Y110" s="741">
        <v>1377</v>
      </c>
      <c r="Z110" s="741">
        <f t="shared" si="27"/>
        <v>105</v>
      </c>
      <c r="AA110" s="749">
        <f t="shared" si="28"/>
        <v>1827962</v>
      </c>
    </row>
    <row r="111" spans="1:27">
      <c r="A111" s="742">
        <f t="shared" si="29"/>
        <v>2024</v>
      </c>
      <c r="B111" s="742">
        <f t="shared" si="30"/>
        <v>10</v>
      </c>
      <c r="C111" s="746">
        <f t="shared" si="18"/>
        <v>45566</v>
      </c>
      <c r="D111" s="739"/>
      <c r="E111" s="748">
        <v>797764</v>
      </c>
      <c r="F111" s="741">
        <v>746883</v>
      </c>
      <c r="G111" s="741">
        <v>87650</v>
      </c>
      <c r="H111" s="741">
        <v>6167</v>
      </c>
      <c r="I111" s="741">
        <v>483</v>
      </c>
      <c r="J111" s="741">
        <f t="shared" si="19"/>
        <v>1638947</v>
      </c>
      <c r="K111" s="741">
        <f t="shared" si="20"/>
        <v>125259</v>
      </c>
      <c r="L111" s="741">
        <f t="shared" si="21"/>
        <v>1764206</v>
      </c>
      <c r="M111" s="741">
        <v>1767</v>
      </c>
      <c r="N111" s="741">
        <f t="shared" si="22"/>
        <v>135</v>
      </c>
      <c r="O111" s="747">
        <f t="shared" si="23"/>
        <v>1766108</v>
      </c>
      <c r="Q111" s="748">
        <v>901497</v>
      </c>
      <c r="R111" s="741">
        <v>896656</v>
      </c>
      <c r="S111" s="741">
        <v>101334</v>
      </c>
      <c r="T111" s="741">
        <v>6167</v>
      </c>
      <c r="U111" s="741">
        <v>483</v>
      </c>
      <c r="V111" s="741">
        <f t="shared" si="24"/>
        <v>1906137</v>
      </c>
      <c r="W111" s="741">
        <f t="shared" si="25"/>
        <v>145679</v>
      </c>
      <c r="X111" s="741">
        <f t="shared" si="26"/>
        <v>2051816</v>
      </c>
      <c r="Y111" s="741">
        <v>1767</v>
      </c>
      <c r="Z111" s="741">
        <f t="shared" si="27"/>
        <v>135</v>
      </c>
      <c r="AA111" s="749">
        <f t="shared" si="28"/>
        <v>2053718</v>
      </c>
    </row>
    <row r="112" spans="1:27">
      <c r="A112" s="742">
        <f t="shared" si="29"/>
        <v>2024</v>
      </c>
      <c r="B112" s="742">
        <f t="shared" si="30"/>
        <v>11</v>
      </c>
      <c r="C112" s="746">
        <f t="shared" si="18"/>
        <v>45597</v>
      </c>
      <c r="D112" s="739"/>
      <c r="E112" s="748">
        <v>1000669</v>
      </c>
      <c r="F112" s="741">
        <v>782963</v>
      </c>
      <c r="G112" s="741">
        <v>81193</v>
      </c>
      <c r="H112" s="741">
        <v>6593</v>
      </c>
      <c r="I112" s="741">
        <v>698</v>
      </c>
      <c r="J112" s="741">
        <f t="shared" si="19"/>
        <v>1872116</v>
      </c>
      <c r="K112" s="741">
        <f t="shared" si="20"/>
        <v>143079</v>
      </c>
      <c r="L112" s="741">
        <f t="shared" si="21"/>
        <v>2015195</v>
      </c>
      <c r="M112" s="741">
        <v>1763</v>
      </c>
      <c r="N112" s="741">
        <f t="shared" si="22"/>
        <v>135</v>
      </c>
      <c r="O112" s="747">
        <f t="shared" si="23"/>
        <v>2017093</v>
      </c>
      <c r="Q112" s="748">
        <v>1114463</v>
      </c>
      <c r="R112" s="741">
        <v>932505</v>
      </c>
      <c r="S112" s="741">
        <v>94481</v>
      </c>
      <c r="T112" s="741">
        <v>6593</v>
      </c>
      <c r="U112" s="741">
        <v>698</v>
      </c>
      <c r="V112" s="741">
        <f t="shared" si="24"/>
        <v>2148740</v>
      </c>
      <c r="W112" s="741">
        <f t="shared" si="25"/>
        <v>164220</v>
      </c>
      <c r="X112" s="741">
        <f t="shared" si="26"/>
        <v>2312960</v>
      </c>
      <c r="Y112" s="741">
        <v>1763</v>
      </c>
      <c r="Z112" s="741">
        <f t="shared" si="27"/>
        <v>135</v>
      </c>
      <c r="AA112" s="749">
        <f t="shared" si="28"/>
        <v>2314858</v>
      </c>
    </row>
    <row r="113" spans="1:27">
      <c r="A113" s="742">
        <f t="shared" si="29"/>
        <v>2024</v>
      </c>
      <c r="B113" s="742">
        <f t="shared" si="30"/>
        <v>12</v>
      </c>
      <c r="C113" s="746">
        <f t="shared" si="18"/>
        <v>45627</v>
      </c>
      <c r="D113" s="739"/>
      <c r="E113" s="748">
        <v>1277564</v>
      </c>
      <c r="F113" s="741">
        <v>859203</v>
      </c>
      <c r="G113" s="741">
        <v>80460</v>
      </c>
      <c r="H113" s="741">
        <v>6480</v>
      </c>
      <c r="I113" s="741">
        <v>1016</v>
      </c>
      <c r="J113" s="741">
        <f t="shared" si="19"/>
        <v>2224723</v>
      </c>
      <c r="K113" s="741">
        <f t="shared" si="20"/>
        <v>170027</v>
      </c>
      <c r="L113" s="741">
        <f t="shared" si="21"/>
        <v>2394750</v>
      </c>
      <c r="M113" s="741">
        <v>1649</v>
      </c>
      <c r="N113" s="741">
        <f t="shared" si="22"/>
        <v>126</v>
      </c>
      <c r="O113" s="747">
        <f t="shared" si="23"/>
        <v>2396525</v>
      </c>
      <c r="Q113" s="748">
        <v>1409573</v>
      </c>
      <c r="R113" s="741">
        <v>1019305</v>
      </c>
      <c r="S113" s="741">
        <v>94439</v>
      </c>
      <c r="T113" s="741">
        <v>6480</v>
      </c>
      <c r="U113" s="741">
        <v>1016</v>
      </c>
      <c r="V113" s="741">
        <f t="shared" si="24"/>
        <v>2530813</v>
      </c>
      <c r="W113" s="741">
        <f t="shared" si="25"/>
        <v>193421</v>
      </c>
      <c r="X113" s="741">
        <f t="shared" si="26"/>
        <v>2724234</v>
      </c>
      <c r="Y113" s="741">
        <v>1649</v>
      </c>
      <c r="Z113" s="741">
        <f t="shared" si="27"/>
        <v>126</v>
      </c>
      <c r="AA113" s="749">
        <f t="shared" si="28"/>
        <v>2726009</v>
      </c>
    </row>
    <row r="114" spans="1:27">
      <c r="A114" s="742">
        <f t="shared" si="29"/>
        <v>2025</v>
      </c>
      <c r="B114" s="742">
        <f t="shared" si="30"/>
        <v>1</v>
      </c>
      <c r="C114" s="746">
        <f t="shared" si="18"/>
        <v>45658</v>
      </c>
      <c r="D114" s="739"/>
      <c r="E114" s="748">
        <v>1241087</v>
      </c>
      <c r="F114" s="741">
        <v>841033</v>
      </c>
      <c r="G114" s="741">
        <v>92253</v>
      </c>
      <c r="H114" s="741">
        <v>6333</v>
      </c>
      <c r="I114" s="741">
        <v>883</v>
      </c>
      <c r="J114" s="741">
        <f t="shared" si="19"/>
        <v>2181589</v>
      </c>
      <c r="K114" s="741">
        <f t="shared" si="20"/>
        <v>166731</v>
      </c>
      <c r="L114" s="741">
        <f t="shared" si="21"/>
        <v>2348320</v>
      </c>
      <c r="M114" s="741">
        <v>2243</v>
      </c>
      <c r="N114" s="741">
        <f t="shared" si="22"/>
        <v>171</v>
      </c>
      <c r="O114" s="747">
        <f t="shared" si="23"/>
        <v>2350734</v>
      </c>
      <c r="Q114" s="748">
        <v>1367043</v>
      </c>
      <c r="R114" s="741">
        <v>995333</v>
      </c>
      <c r="S114" s="741">
        <v>107068</v>
      </c>
      <c r="T114" s="741">
        <v>6333</v>
      </c>
      <c r="U114" s="741">
        <v>883</v>
      </c>
      <c r="V114" s="741">
        <f t="shared" si="24"/>
        <v>2476660</v>
      </c>
      <c r="W114" s="741">
        <f t="shared" si="25"/>
        <v>189282</v>
      </c>
      <c r="X114" s="741">
        <f t="shared" si="26"/>
        <v>2665942</v>
      </c>
      <c r="Y114" s="741">
        <v>2243</v>
      </c>
      <c r="Z114" s="741">
        <f t="shared" si="27"/>
        <v>171</v>
      </c>
      <c r="AA114" s="749">
        <f t="shared" si="28"/>
        <v>2668356</v>
      </c>
    </row>
    <row r="115" spans="1:27">
      <c r="A115" s="742">
        <f t="shared" si="29"/>
        <v>2025</v>
      </c>
      <c r="B115" s="742">
        <f t="shared" si="30"/>
        <v>2</v>
      </c>
      <c r="C115" s="746">
        <f t="shared" si="18"/>
        <v>45689</v>
      </c>
      <c r="D115" s="739"/>
      <c r="E115" s="748">
        <v>1033740</v>
      </c>
      <c r="F115" s="741">
        <v>753111</v>
      </c>
      <c r="G115" s="741">
        <v>78178</v>
      </c>
      <c r="H115" s="741">
        <v>5803</v>
      </c>
      <c r="I115" s="741">
        <v>817</v>
      </c>
      <c r="J115" s="741">
        <f t="shared" si="19"/>
        <v>1871649</v>
      </c>
      <c r="K115" s="741">
        <f t="shared" si="20"/>
        <v>143043</v>
      </c>
      <c r="L115" s="741">
        <f t="shared" si="21"/>
        <v>2014692</v>
      </c>
      <c r="M115" s="741">
        <v>2355</v>
      </c>
      <c r="N115" s="741">
        <f t="shared" si="22"/>
        <v>180</v>
      </c>
      <c r="O115" s="747">
        <f t="shared" si="23"/>
        <v>2017227</v>
      </c>
      <c r="Q115" s="748">
        <v>1140501</v>
      </c>
      <c r="R115" s="741">
        <v>891330</v>
      </c>
      <c r="S115" s="741">
        <v>90999</v>
      </c>
      <c r="T115" s="741">
        <v>5803</v>
      </c>
      <c r="U115" s="741">
        <v>817</v>
      </c>
      <c r="V115" s="741">
        <f t="shared" si="24"/>
        <v>2129450</v>
      </c>
      <c r="W115" s="741">
        <f t="shared" si="25"/>
        <v>162746</v>
      </c>
      <c r="X115" s="741">
        <f t="shared" si="26"/>
        <v>2292196</v>
      </c>
      <c r="Y115" s="741">
        <v>2355</v>
      </c>
      <c r="Z115" s="741">
        <f t="shared" si="27"/>
        <v>180</v>
      </c>
      <c r="AA115" s="749">
        <f t="shared" si="28"/>
        <v>2294731</v>
      </c>
    </row>
    <row r="116" spans="1:27">
      <c r="A116" s="742">
        <f t="shared" si="29"/>
        <v>2025</v>
      </c>
      <c r="B116" s="742">
        <f t="shared" si="30"/>
        <v>3</v>
      </c>
      <c r="C116" s="746">
        <f t="shared" si="18"/>
        <v>45717</v>
      </c>
      <c r="D116" s="739"/>
      <c r="E116" s="748">
        <v>1023363</v>
      </c>
      <c r="F116" s="741">
        <v>788803</v>
      </c>
      <c r="G116" s="741">
        <v>86995</v>
      </c>
      <c r="H116" s="741">
        <v>6378</v>
      </c>
      <c r="I116" s="741">
        <v>814</v>
      </c>
      <c r="J116" s="741">
        <f t="shared" si="19"/>
        <v>1906353</v>
      </c>
      <c r="K116" s="741">
        <f t="shared" si="20"/>
        <v>145695</v>
      </c>
      <c r="L116" s="741">
        <f t="shared" si="21"/>
        <v>2052048</v>
      </c>
      <c r="M116" s="741">
        <v>2263</v>
      </c>
      <c r="N116" s="741">
        <f t="shared" si="22"/>
        <v>173</v>
      </c>
      <c r="O116" s="747">
        <f t="shared" si="23"/>
        <v>2054484</v>
      </c>
      <c r="Q116" s="748">
        <v>1136362</v>
      </c>
      <c r="R116" s="741">
        <v>943328</v>
      </c>
      <c r="S116" s="741">
        <v>101915</v>
      </c>
      <c r="T116" s="741">
        <v>6378</v>
      </c>
      <c r="U116" s="741">
        <v>814</v>
      </c>
      <c r="V116" s="741">
        <f t="shared" si="24"/>
        <v>2188797</v>
      </c>
      <c r="W116" s="741">
        <f t="shared" si="25"/>
        <v>167282</v>
      </c>
      <c r="X116" s="741">
        <f t="shared" si="26"/>
        <v>2356079</v>
      </c>
      <c r="Y116" s="741">
        <v>2263</v>
      </c>
      <c r="Z116" s="741">
        <f t="shared" si="27"/>
        <v>173</v>
      </c>
      <c r="AA116" s="749">
        <f t="shared" si="28"/>
        <v>2358515</v>
      </c>
    </row>
    <row r="117" spans="1:27">
      <c r="A117" s="742">
        <f t="shared" si="29"/>
        <v>2025</v>
      </c>
      <c r="B117" s="742">
        <f t="shared" si="30"/>
        <v>4</v>
      </c>
      <c r="C117" s="746">
        <f t="shared" si="18"/>
        <v>45748</v>
      </c>
      <c r="D117" s="739"/>
      <c r="E117" s="748">
        <v>835161</v>
      </c>
      <c r="F117" s="741">
        <v>721042</v>
      </c>
      <c r="G117" s="741">
        <v>79316</v>
      </c>
      <c r="H117" s="741">
        <v>5675</v>
      </c>
      <c r="I117" s="741">
        <v>592</v>
      </c>
      <c r="J117" s="741">
        <f t="shared" si="19"/>
        <v>1641786</v>
      </c>
      <c r="K117" s="741">
        <f t="shared" si="20"/>
        <v>125476</v>
      </c>
      <c r="L117" s="741">
        <f t="shared" si="21"/>
        <v>1767262</v>
      </c>
      <c r="M117" s="741">
        <v>2101</v>
      </c>
      <c r="N117" s="741">
        <f t="shared" si="22"/>
        <v>161</v>
      </c>
      <c r="O117" s="747">
        <f t="shared" si="23"/>
        <v>1769524</v>
      </c>
      <c r="Q117" s="748">
        <v>938345</v>
      </c>
      <c r="R117" s="741">
        <v>870470</v>
      </c>
      <c r="S117" s="741">
        <v>93497</v>
      </c>
      <c r="T117" s="741">
        <v>5675</v>
      </c>
      <c r="U117" s="741">
        <v>592</v>
      </c>
      <c r="V117" s="741">
        <f t="shared" si="24"/>
        <v>1908579</v>
      </c>
      <c r="W117" s="741">
        <f t="shared" si="25"/>
        <v>145866</v>
      </c>
      <c r="X117" s="741">
        <f t="shared" si="26"/>
        <v>2054445</v>
      </c>
      <c r="Y117" s="741">
        <v>2101</v>
      </c>
      <c r="Z117" s="741">
        <f t="shared" si="27"/>
        <v>161</v>
      </c>
      <c r="AA117" s="749">
        <f t="shared" si="28"/>
        <v>2056707</v>
      </c>
    </row>
    <row r="118" spans="1:27">
      <c r="A118" s="742">
        <f t="shared" si="29"/>
        <v>2025</v>
      </c>
      <c r="B118" s="742">
        <f t="shared" si="30"/>
        <v>5</v>
      </c>
      <c r="C118" s="746">
        <f t="shared" si="18"/>
        <v>45778</v>
      </c>
      <c r="D118" s="739"/>
      <c r="E118" s="748">
        <v>710335</v>
      </c>
      <c r="F118" s="741">
        <v>714964</v>
      </c>
      <c r="G118" s="741">
        <v>82416</v>
      </c>
      <c r="H118" s="741">
        <v>6004</v>
      </c>
      <c r="I118" s="741">
        <v>458</v>
      </c>
      <c r="J118" s="741">
        <f t="shared" si="19"/>
        <v>1514177</v>
      </c>
      <c r="K118" s="741">
        <f t="shared" si="20"/>
        <v>115723</v>
      </c>
      <c r="L118" s="741">
        <f t="shared" si="21"/>
        <v>1629900</v>
      </c>
      <c r="M118" s="741">
        <v>2097</v>
      </c>
      <c r="N118" s="741">
        <f t="shared" si="22"/>
        <v>160</v>
      </c>
      <c r="O118" s="747">
        <f t="shared" si="23"/>
        <v>1632157</v>
      </c>
      <c r="Q118" s="748">
        <v>806511</v>
      </c>
      <c r="R118" s="741">
        <v>864551</v>
      </c>
      <c r="S118" s="741">
        <v>97404</v>
      </c>
      <c r="T118" s="741">
        <v>6004</v>
      </c>
      <c r="U118" s="741">
        <v>458</v>
      </c>
      <c r="V118" s="741">
        <f t="shared" si="24"/>
        <v>1774928</v>
      </c>
      <c r="W118" s="741">
        <f t="shared" si="25"/>
        <v>135651</v>
      </c>
      <c r="X118" s="741">
        <f t="shared" si="26"/>
        <v>1910579</v>
      </c>
      <c r="Y118" s="741">
        <v>2097</v>
      </c>
      <c r="Z118" s="741">
        <f t="shared" si="27"/>
        <v>160</v>
      </c>
      <c r="AA118" s="749">
        <f t="shared" si="28"/>
        <v>1912836</v>
      </c>
    </row>
    <row r="119" spans="1:27">
      <c r="A119" s="742">
        <f t="shared" si="29"/>
        <v>2025</v>
      </c>
      <c r="B119" s="742">
        <f t="shared" si="30"/>
        <v>6</v>
      </c>
      <c r="C119" s="746">
        <f t="shared" si="18"/>
        <v>45809</v>
      </c>
      <c r="D119" s="739"/>
      <c r="E119" s="748">
        <v>648561</v>
      </c>
      <c r="F119" s="741">
        <v>710004</v>
      </c>
      <c r="G119" s="741">
        <v>82932</v>
      </c>
      <c r="H119" s="741">
        <v>6012</v>
      </c>
      <c r="I119" s="741">
        <v>356</v>
      </c>
      <c r="J119" s="741">
        <f t="shared" si="19"/>
        <v>1447865</v>
      </c>
      <c r="K119" s="741">
        <f t="shared" si="20"/>
        <v>110655</v>
      </c>
      <c r="L119" s="741">
        <f t="shared" si="21"/>
        <v>1558520</v>
      </c>
      <c r="M119" s="741">
        <v>1727</v>
      </c>
      <c r="N119" s="741">
        <f t="shared" si="22"/>
        <v>132</v>
      </c>
      <c r="O119" s="747">
        <f t="shared" si="23"/>
        <v>1560379</v>
      </c>
      <c r="Q119" s="748">
        <v>743239</v>
      </c>
      <c r="R119" s="741">
        <v>859020</v>
      </c>
      <c r="S119" s="741">
        <v>98050</v>
      </c>
      <c r="T119" s="741">
        <v>6012</v>
      </c>
      <c r="U119" s="741">
        <v>356</v>
      </c>
      <c r="V119" s="741">
        <f t="shared" si="24"/>
        <v>1706677</v>
      </c>
      <c r="W119" s="741">
        <f t="shared" si="25"/>
        <v>130435</v>
      </c>
      <c r="X119" s="741">
        <f t="shared" si="26"/>
        <v>1837112</v>
      </c>
      <c r="Y119" s="741">
        <v>1727</v>
      </c>
      <c r="Z119" s="741">
        <f t="shared" si="27"/>
        <v>132</v>
      </c>
      <c r="AA119" s="749">
        <f t="shared" si="28"/>
        <v>1838971</v>
      </c>
    </row>
    <row r="120" spans="1:27">
      <c r="A120" s="742">
        <f t="shared" si="29"/>
        <v>2025</v>
      </c>
      <c r="B120" s="742">
        <f t="shared" si="30"/>
        <v>7</v>
      </c>
      <c r="C120" s="746">
        <f t="shared" si="18"/>
        <v>45839</v>
      </c>
      <c r="D120" s="739"/>
      <c r="E120" s="748">
        <v>644191</v>
      </c>
      <c r="F120" s="741">
        <v>750658</v>
      </c>
      <c r="G120" s="741">
        <v>84896</v>
      </c>
      <c r="H120" s="741">
        <v>5782</v>
      </c>
      <c r="I120" s="741">
        <v>315</v>
      </c>
      <c r="J120" s="741">
        <f t="shared" si="19"/>
        <v>1485842</v>
      </c>
      <c r="K120" s="741">
        <f t="shared" si="20"/>
        <v>113557</v>
      </c>
      <c r="L120" s="741">
        <f t="shared" si="21"/>
        <v>1599399</v>
      </c>
      <c r="M120" s="741">
        <v>2779</v>
      </c>
      <c r="N120" s="741">
        <f t="shared" si="22"/>
        <v>212</v>
      </c>
      <c r="O120" s="747">
        <f t="shared" si="23"/>
        <v>1602390</v>
      </c>
      <c r="Q120" s="748">
        <v>745870</v>
      </c>
      <c r="R120" s="741">
        <v>908474</v>
      </c>
      <c r="S120" s="741">
        <v>100541</v>
      </c>
      <c r="T120" s="741">
        <v>5782</v>
      </c>
      <c r="U120" s="741">
        <v>315</v>
      </c>
      <c r="V120" s="741">
        <f t="shared" si="24"/>
        <v>1760982</v>
      </c>
      <c r="W120" s="741">
        <f t="shared" si="25"/>
        <v>134585</v>
      </c>
      <c r="X120" s="741">
        <f t="shared" si="26"/>
        <v>1895567</v>
      </c>
      <c r="Y120" s="741">
        <v>2779</v>
      </c>
      <c r="Z120" s="741">
        <f t="shared" si="27"/>
        <v>212</v>
      </c>
      <c r="AA120" s="749">
        <f t="shared" si="28"/>
        <v>1898558</v>
      </c>
    </row>
    <row r="121" spans="1:27">
      <c r="A121" s="742">
        <f t="shared" si="29"/>
        <v>2025</v>
      </c>
      <c r="B121" s="742">
        <f t="shared" si="30"/>
        <v>8</v>
      </c>
      <c r="C121" s="746">
        <f t="shared" si="18"/>
        <v>45870</v>
      </c>
      <c r="D121" s="739"/>
      <c r="E121" s="748">
        <v>627657</v>
      </c>
      <c r="F121" s="741">
        <v>773567</v>
      </c>
      <c r="G121" s="741">
        <v>87371</v>
      </c>
      <c r="H121" s="741">
        <v>5964</v>
      </c>
      <c r="I121" s="741">
        <v>285</v>
      </c>
      <c r="J121" s="741">
        <f t="shared" si="19"/>
        <v>1494844</v>
      </c>
      <c r="K121" s="741">
        <f t="shared" si="20"/>
        <v>114245</v>
      </c>
      <c r="L121" s="741">
        <f t="shared" si="21"/>
        <v>1609089</v>
      </c>
      <c r="M121" s="741">
        <v>1579</v>
      </c>
      <c r="N121" s="741">
        <f t="shared" si="22"/>
        <v>121</v>
      </c>
      <c r="O121" s="747">
        <f t="shared" si="23"/>
        <v>1610789</v>
      </c>
      <c r="Q121" s="748">
        <v>729842</v>
      </c>
      <c r="R121" s="741">
        <v>934850</v>
      </c>
      <c r="S121" s="741">
        <v>103603</v>
      </c>
      <c r="T121" s="741">
        <v>5964</v>
      </c>
      <c r="U121" s="741">
        <v>285</v>
      </c>
      <c r="V121" s="741">
        <f t="shared" si="24"/>
        <v>1774544</v>
      </c>
      <c r="W121" s="741">
        <f t="shared" si="25"/>
        <v>135622</v>
      </c>
      <c r="X121" s="741">
        <f t="shared" si="26"/>
        <v>1910166</v>
      </c>
      <c r="Y121" s="741">
        <v>1579</v>
      </c>
      <c r="Z121" s="741">
        <f t="shared" si="27"/>
        <v>121</v>
      </c>
      <c r="AA121" s="749">
        <f t="shared" si="28"/>
        <v>1911866</v>
      </c>
    </row>
    <row r="122" spans="1:27">
      <c r="A122" s="742">
        <f t="shared" si="29"/>
        <v>2025</v>
      </c>
      <c r="B122" s="742">
        <f t="shared" si="30"/>
        <v>9</v>
      </c>
      <c r="C122" s="746">
        <f t="shared" si="18"/>
        <v>45901</v>
      </c>
      <c r="D122" s="739"/>
      <c r="E122" s="748">
        <v>634526</v>
      </c>
      <c r="F122" s="741">
        <v>728316</v>
      </c>
      <c r="G122" s="741">
        <v>80114</v>
      </c>
      <c r="H122" s="741">
        <v>5817</v>
      </c>
      <c r="I122" s="741">
        <v>324</v>
      </c>
      <c r="J122" s="741">
        <f t="shared" si="19"/>
        <v>1449097</v>
      </c>
      <c r="K122" s="741">
        <f t="shared" si="20"/>
        <v>110749</v>
      </c>
      <c r="L122" s="741">
        <f t="shared" si="21"/>
        <v>1559846</v>
      </c>
      <c r="M122" s="741">
        <v>1377</v>
      </c>
      <c r="N122" s="741">
        <f t="shared" si="22"/>
        <v>105</v>
      </c>
      <c r="O122" s="747">
        <f t="shared" si="23"/>
        <v>1561328</v>
      </c>
      <c r="Q122" s="748">
        <v>734783</v>
      </c>
      <c r="R122" s="741">
        <v>882762</v>
      </c>
      <c r="S122" s="741">
        <v>95544</v>
      </c>
      <c r="T122" s="741">
        <v>5817</v>
      </c>
      <c r="U122" s="741">
        <v>324</v>
      </c>
      <c r="V122" s="741">
        <f t="shared" si="24"/>
        <v>1719230</v>
      </c>
      <c r="W122" s="741">
        <f t="shared" si="25"/>
        <v>131394</v>
      </c>
      <c r="X122" s="741">
        <f t="shared" si="26"/>
        <v>1850624</v>
      </c>
      <c r="Y122" s="741">
        <v>1377</v>
      </c>
      <c r="Z122" s="741">
        <f t="shared" si="27"/>
        <v>105</v>
      </c>
      <c r="AA122" s="749">
        <f t="shared" si="28"/>
        <v>1852106</v>
      </c>
    </row>
    <row r="123" spans="1:27">
      <c r="A123" s="742">
        <f t="shared" si="29"/>
        <v>2025</v>
      </c>
      <c r="B123" s="742">
        <f t="shared" si="30"/>
        <v>10</v>
      </c>
      <c r="C123" s="746">
        <f t="shared" si="18"/>
        <v>45931</v>
      </c>
      <c r="D123" s="739"/>
      <c r="E123" s="748">
        <v>802762</v>
      </c>
      <c r="F123" s="741">
        <v>748151</v>
      </c>
      <c r="G123" s="741">
        <v>82964</v>
      </c>
      <c r="H123" s="741">
        <v>6096</v>
      </c>
      <c r="I123" s="741">
        <v>483</v>
      </c>
      <c r="J123" s="741">
        <f t="shared" si="19"/>
        <v>1640456</v>
      </c>
      <c r="K123" s="741">
        <f t="shared" si="20"/>
        <v>125374</v>
      </c>
      <c r="L123" s="741">
        <f t="shared" si="21"/>
        <v>1765830</v>
      </c>
      <c r="M123" s="741">
        <v>1767</v>
      </c>
      <c r="N123" s="741">
        <f t="shared" si="22"/>
        <v>135</v>
      </c>
      <c r="O123" s="747">
        <f t="shared" si="23"/>
        <v>1767732</v>
      </c>
      <c r="Q123" s="748">
        <v>917660</v>
      </c>
      <c r="R123" s="741">
        <v>907968</v>
      </c>
      <c r="S123" s="741">
        <v>98757</v>
      </c>
      <c r="T123" s="741">
        <v>6096</v>
      </c>
      <c r="U123" s="741">
        <v>483</v>
      </c>
      <c r="V123" s="741">
        <f t="shared" si="24"/>
        <v>1930964</v>
      </c>
      <c r="W123" s="741">
        <f t="shared" si="25"/>
        <v>147576</v>
      </c>
      <c r="X123" s="741">
        <f t="shared" si="26"/>
        <v>2078540</v>
      </c>
      <c r="Y123" s="741">
        <v>1767</v>
      </c>
      <c r="Z123" s="741">
        <f t="shared" si="27"/>
        <v>135</v>
      </c>
      <c r="AA123" s="749">
        <f t="shared" si="28"/>
        <v>2080442</v>
      </c>
    </row>
    <row r="124" spans="1:27">
      <c r="A124" s="742">
        <f t="shared" si="29"/>
        <v>2025</v>
      </c>
      <c r="B124" s="742">
        <f t="shared" si="30"/>
        <v>11</v>
      </c>
      <c r="C124" s="746">
        <f t="shared" si="18"/>
        <v>45962</v>
      </c>
      <c r="D124" s="739"/>
      <c r="E124" s="748">
        <v>1006687</v>
      </c>
      <c r="F124" s="741">
        <v>785068</v>
      </c>
      <c r="G124" s="741">
        <v>76228</v>
      </c>
      <c r="H124" s="741">
        <v>6525</v>
      </c>
      <c r="I124" s="741">
        <v>698</v>
      </c>
      <c r="J124" s="741">
        <f t="shared" si="19"/>
        <v>1875206</v>
      </c>
      <c r="K124" s="741">
        <f t="shared" si="20"/>
        <v>143315</v>
      </c>
      <c r="L124" s="741">
        <f t="shared" si="21"/>
        <v>2018521</v>
      </c>
      <c r="M124" s="741">
        <v>1763</v>
      </c>
      <c r="N124" s="741">
        <f t="shared" si="22"/>
        <v>135</v>
      </c>
      <c r="O124" s="747">
        <f t="shared" si="23"/>
        <v>2020419</v>
      </c>
      <c r="Q124" s="748">
        <v>1133079</v>
      </c>
      <c r="R124" s="741">
        <v>944546</v>
      </c>
      <c r="S124" s="741">
        <v>91509</v>
      </c>
      <c r="T124" s="741">
        <v>6525</v>
      </c>
      <c r="U124" s="741">
        <v>698</v>
      </c>
      <c r="V124" s="741">
        <f t="shared" si="24"/>
        <v>2176357</v>
      </c>
      <c r="W124" s="741">
        <f t="shared" si="25"/>
        <v>166331</v>
      </c>
      <c r="X124" s="741">
        <f t="shared" si="26"/>
        <v>2342688</v>
      </c>
      <c r="Y124" s="741">
        <v>1763</v>
      </c>
      <c r="Z124" s="741">
        <f t="shared" si="27"/>
        <v>135</v>
      </c>
      <c r="AA124" s="749">
        <f t="shared" si="28"/>
        <v>2344586</v>
      </c>
    </row>
    <row r="125" spans="1:27">
      <c r="A125" s="742">
        <f t="shared" si="29"/>
        <v>2025</v>
      </c>
      <c r="B125" s="742">
        <f t="shared" si="30"/>
        <v>12</v>
      </c>
      <c r="C125" s="746">
        <f t="shared" si="18"/>
        <v>45992</v>
      </c>
      <c r="D125" s="739"/>
      <c r="E125" s="748">
        <v>1285463</v>
      </c>
      <c r="F125" s="741">
        <v>862536</v>
      </c>
      <c r="G125" s="741">
        <v>75298</v>
      </c>
      <c r="H125" s="741">
        <v>6414</v>
      </c>
      <c r="I125" s="741">
        <v>1016</v>
      </c>
      <c r="J125" s="741">
        <f t="shared" si="19"/>
        <v>2230727</v>
      </c>
      <c r="K125" s="741">
        <f t="shared" si="20"/>
        <v>170486</v>
      </c>
      <c r="L125" s="741">
        <f t="shared" si="21"/>
        <v>2401213</v>
      </c>
      <c r="M125" s="741">
        <v>1649</v>
      </c>
      <c r="N125" s="741">
        <f t="shared" si="22"/>
        <v>126</v>
      </c>
      <c r="O125" s="747">
        <f t="shared" si="23"/>
        <v>2402988</v>
      </c>
      <c r="Q125" s="748">
        <v>1432180</v>
      </c>
      <c r="R125" s="741">
        <v>1033100</v>
      </c>
      <c r="S125" s="741">
        <v>91330</v>
      </c>
      <c r="T125" s="741">
        <v>6414</v>
      </c>
      <c r="U125" s="741">
        <v>1016</v>
      </c>
      <c r="V125" s="741">
        <f t="shared" si="24"/>
        <v>2564040</v>
      </c>
      <c r="W125" s="741">
        <f t="shared" si="25"/>
        <v>195960</v>
      </c>
      <c r="X125" s="741">
        <f t="shared" si="26"/>
        <v>2760000</v>
      </c>
      <c r="Y125" s="741">
        <v>1649</v>
      </c>
      <c r="Z125" s="741">
        <f t="shared" si="27"/>
        <v>126</v>
      </c>
      <c r="AA125" s="749">
        <f t="shared" si="28"/>
        <v>2761775</v>
      </c>
    </row>
    <row r="126" spans="1:27">
      <c r="A126" s="742">
        <f t="shared" si="29"/>
        <v>2026</v>
      </c>
      <c r="B126" s="742">
        <f t="shared" si="30"/>
        <v>1</v>
      </c>
      <c r="C126" s="746">
        <f t="shared" si="18"/>
        <v>46023</v>
      </c>
      <c r="D126" s="739"/>
      <c r="E126" s="748">
        <v>1249442</v>
      </c>
      <c r="F126" s="741">
        <v>846193</v>
      </c>
      <c r="G126" s="741">
        <v>86947</v>
      </c>
      <c r="H126" s="741">
        <v>6266</v>
      </c>
      <c r="I126" s="741">
        <v>883</v>
      </c>
      <c r="J126" s="741">
        <f t="shared" si="19"/>
        <v>2189731</v>
      </c>
      <c r="K126" s="741">
        <f t="shared" si="20"/>
        <v>167353</v>
      </c>
      <c r="L126" s="741">
        <f t="shared" si="21"/>
        <v>2357084</v>
      </c>
      <c r="M126" s="741">
        <v>2243</v>
      </c>
      <c r="N126" s="741">
        <f t="shared" si="22"/>
        <v>171</v>
      </c>
      <c r="O126" s="747">
        <f t="shared" si="23"/>
        <v>2359498</v>
      </c>
      <c r="Q126" s="748">
        <v>1388989</v>
      </c>
      <c r="R126" s="741">
        <v>1010029</v>
      </c>
      <c r="S126" s="741">
        <v>103917</v>
      </c>
      <c r="T126" s="741">
        <v>6266</v>
      </c>
      <c r="U126" s="741">
        <v>883</v>
      </c>
      <c r="V126" s="741">
        <f t="shared" si="24"/>
        <v>2510084</v>
      </c>
      <c r="W126" s="741">
        <f t="shared" si="25"/>
        <v>191836</v>
      </c>
      <c r="X126" s="741">
        <f t="shared" si="26"/>
        <v>2701920</v>
      </c>
      <c r="Y126" s="741">
        <v>2243</v>
      </c>
      <c r="Z126" s="741">
        <f t="shared" si="27"/>
        <v>171</v>
      </c>
      <c r="AA126" s="749">
        <f t="shared" si="28"/>
        <v>2704334</v>
      </c>
    </row>
    <row r="127" spans="1:27">
      <c r="A127" s="742">
        <f t="shared" si="29"/>
        <v>2026</v>
      </c>
      <c r="B127" s="742">
        <f t="shared" si="30"/>
        <v>2</v>
      </c>
      <c r="C127" s="746">
        <f t="shared" si="18"/>
        <v>46054</v>
      </c>
      <c r="D127" s="739"/>
      <c r="E127" s="748">
        <v>1041352</v>
      </c>
      <c r="F127" s="741">
        <v>759175</v>
      </c>
      <c r="G127" s="741">
        <v>73526</v>
      </c>
      <c r="H127" s="741">
        <v>5739</v>
      </c>
      <c r="I127" s="741">
        <v>817</v>
      </c>
      <c r="J127" s="741">
        <f t="shared" si="19"/>
        <v>1880609</v>
      </c>
      <c r="K127" s="741">
        <f t="shared" si="20"/>
        <v>143728</v>
      </c>
      <c r="L127" s="741">
        <f t="shared" si="21"/>
        <v>2024337</v>
      </c>
      <c r="M127" s="741">
        <v>2355</v>
      </c>
      <c r="N127" s="741">
        <f t="shared" si="22"/>
        <v>180</v>
      </c>
      <c r="O127" s="747">
        <f t="shared" si="23"/>
        <v>2026872</v>
      </c>
      <c r="Q127" s="748">
        <v>1159174</v>
      </c>
      <c r="R127" s="741">
        <v>905577</v>
      </c>
      <c r="S127" s="741">
        <v>88195</v>
      </c>
      <c r="T127" s="741">
        <v>5739</v>
      </c>
      <c r="U127" s="741">
        <v>817</v>
      </c>
      <c r="V127" s="741">
        <f t="shared" si="24"/>
        <v>2159502</v>
      </c>
      <c r="W127" s="741">
        <f t="shared" si="25"/>
        <v>165043</v>
      </c>
      <c r="X127" s="741">
        <f t="shared" si="26"/>
        <v>2324545</v>
      </c>
      <c r="Y127" s="741">
        <v>2355</v>
      </c>
      <c r="Z127" s="741">
        <f t="shared" si="27"/>
        <v>180</v>
      </c>
      <c r="AA127" s="749">
        <f t="shared" si="28"/>
        <v>2327080</v>
      </c>
    </row>
    <row r="128" spans="1:27">
      <c r="A128" s="742">
        <f t="shared" si="29"/>
        <v>2026</v>
      </c>
      <c r="B128" s="742">
        <f t="shared" si="30"/>
        <v>3</v>
      </c>
      <c r="C128" s="746">
        <f t="shared" si="18"/>
        <v>46082</v>
      </c>
      <c r="D128" s="739"/>
      <c r="E128" s="748">
        <v>1030963</v>
      </c>
      <c r="F128" s="741">
        <v>795400</v>
      </c>
      <c r="G128" s="741">
        <v>81757</v>
      </c>
      <c r="H128" s="741">
        <v>6301</v>
      </c>
      <c r="I128" s="741">
        <v>814</v>
      </c>
      <c r="J128" s="741">
        <f t="shared" si="19"/>
        <v>1915235</v>
      </c>
      <c r="K128" s="741">
        <f t="shared" si="20"/>
        <v>146374</v>
      </c>
      <c r="L128" s="741">
        <f t="shared" si="21"/>
        <v>2061609</v>
      </c>
      <c r="M128" s="741">
        <v>2263</v>
      </c>
      <c r="N128" s="741">
        <f t="shared" si="22"/>
        <v>173</v>
      </c>
      <c r="O128" s="747">
        <f t="shared" si="23"/>
        <v>2064045</v>
      </c>
      <c r="Q128" s="748">
        <v>1155487</v>
      </c>
      <c r="R128" s="741">
        <v>959337</v>
      </c>
      <c r="S128" s="741">
        <v>98799</v>
      </c>
      <c r="T128" s="741">
        <v>6301</v>
      </c>
      <c r="U128" s="741">
        <v>814</v>
      </c>
      <c r="V128" s="741">
        <f t="shared" si="24"/>
        <v>2220738</v>
      </c>
      <c r="W128" s="741">
        <f t="shared" si="25"/>
        <v>169723</v>
      </c>
      <c r="X128" s="741">
        <f t="shared" si="26"/>
        <v>2390461</v>
      </c>
      <c r="Y128" s="741">
        <v>2263</v>
      </c>
      <c r="Z128" s="741">
        <f t="shared" si="27"/>
        <v>173</v>
      </c>
      <c r="AA128" s="749">
        <f t="shared" si="28"/>
        <v>2392897</v>
      </c>
    </row>
    <row r="129" spans="1:27">
      <c r="A129" s="742">
        <f t="shared" si="29"/>
        <v>2026</v>
      </c>
      <c r="B129" s="742">
        <f t="shared" si="30"/>
        <v>4</v>
      </c>
      <c r="C129" s="746">
        <f t="shared" si="18"/>
        <v>46113</v>
      </c>
      <c r="D129" s="739"/>
      <c r="E129" s="748">
        <v>841309</v>
      </c>
      <c r="F129" s="741">
        <v>727029</v>
      </c>
      <c r="G129" s="741">
        <v>74421</v>
      </c>
      <c r="H129" s="741">
        <v>5606</v>
      </c>
      <c r="I129" s="741">
        <v>592</v>
      </c>
      <c r="J129" s="741">
        <f t="shared" si="19"/>
        <v>1648957</v>
      </c>
      <c r="K129" s="741">
        <f t="shared" si="20"/>
        <v>126024</v>
      </c>
      <c r="L129" s="741">
        <f t="shared" si="21"/>
        <v>1774981</v>
      </c>
      <c r="M129" s="741">
        <v>2101</v>
      </c>
      <c r="N129" s="741">
        <f t="shared" si="22"/>
        <v>161</v>
      </c>
      <c r="O129" s="747">
        <f t="shared" si="23"/>
        <v>1777243</v>
      </c>
      <c r="Q129" s="748">
        <v>954765</v>
      </c>
      <c r="R129" s="741">
        <v>885742</v>
      </c>
      <c r="S129" s="741">
        <v>90593</v>
      </c>
      <c r="T129" s="741">
        <v>5606</v>
      </c>
      <c r="U129" s="741">
        <v>592</v>
      </c>
      <c r="V129" s="741">
        <f t="shared" si="24"/>
        <v>1937298</v>
      </c>
      <c r="W129" s="741">
        <f t="shared" si="25"/>
        <v>148060</v>
      </c>
      <c r="X129" s="741">
        <f t="shared" si="26"/>
        <v>2085358</v>
      </c>
      <c r="Y129" s="741">
        <v>2101</v>
      </c>
      <c r="Z129" s="741">
        <f t="shared" si="27"/>
        <v>161</v>
      </c>
      <c r="AA129" s="749">
        <f t="shared" si="28"/>
        <v>2087620</v>
      </c>
    </row>
    <row r="130" spans="1:27">
      <c r="A130" s="742">
        <f t="shared" si="29"/>
        <v>2026</v>
      </c>
      <c r="B130" s="742">
        <f t="shared" si="30"/>
        <v>5</v>
      </c>
      <c r="C130" s="746">
        <f t="shared" si="18"/>
        <v>46143</v>
      </c>
      <c r="D130" s="739"/>
      <c r="E130" s="748">
        <v>715677</v>
      </c>
      <c r="F130" s="741">
        <v>721141</v>
      </c>
      <c r="G130" s="741">
        <v>77409</v>
      </c>
      <c r="H130" s="741">
        <v>5931</v>
      </c>
      <c r="I130" s="741">
        <v>458</v>
      </c>
      <c r="J130" s="741">
        <f t="shared" si="19"/>
        <v>1520616</v>
      </c>
      <c r="K130" s="741">
        <f t="shared" si="20"/>
        <v>116215</v>
      </c>
      <c r="L130" s="741">
        <f t="shared" si="21"/>
        <v>1636831</v>
      </c>
      <c r="M130" s="741">
        <v>2097</v>
      </c>
      <c r="N130" s="741">
        <f t="shared" si="22"/>
        <v>160</v>
      </c>
      <c r="O130" s="747">
        <f t="shared" si="23"/>
        <v>1639088</v>
      </c>
      <c r="Q130" s="748">
        <v>821089</v>
      </c>
      <c r="R130" s="741">
        <v>879759</v>
      </c>
      <c r="S130" s="741">
        <v>94483</v>
      </c>
      <c r="T130" s="741">
        <v>5931</v>
      </c>
      <c r="U130" s="741">
        <v>458</v>
      </c>
      <c r="V130" s="741">
        <f t="shared" si="24"/>
        <v>1801720</v>
      </c>
      <c r="W130" s="741">
        <f t="shared" si="25"/>
        <v>137699</v>
      </c>
      <c r="X130" s="741">
        <f t="shared" si="26"/>
        <v>1939419</v>
      </c>
      <c r="Y130" s="741">
        <v>2097</v>
      </c>
      <c r="Z130" s="741">
        <f t="shared" si="27"/>
        <v>160</v>
      </c>
      <c r="AA130" s="749">
        <f t="shared" si="28"/>
        <v>1941676</v>
      </c>
    </row>
    <row r="131" spans="1:27">
      <c r="A131" s="742">
        <f t="shared" si="29"/>
        <v>2026</v>
      </c>
      <c r="B131" s="742">
        <f t="shared" si="30"/>
        <v>6</v>
      </c>
      <c r="C131" s="746">
        <f t="shared" si="18"/>
        <v>46174</v>
      </c>
      <c r="D131" s="739"/>
      <c r="E131" s="748">
        <v>653171</v>
      </c>
      <c r="F131" s="741">
        <v>715860</v>
      </c>
      <c r="G131" s="741">
        <v>77967</v>
      </c>
      <c r="H131" s="741">
        <v>5938</v>
      </c>
      <c r="I131" s="741">
        <v>356</v>
      </c>
      <c r="J131" s="741">
        <f t="shared" si="19"/>
        <v>1453292</v>
      </c>
      <c r="K131" s="741">
        <f t="shared" si="20"/>
        <v>111070</v>
      </c>
      <c r="L131" s="741">
        <f t="shared" si="21"/>
        <v>1564362</v>
      </c>
      <c r="M131" s="741">
        <v>1727</v>
      </c>
      <c r="N131" s="741">
        <f t="shared" si="22"/>
        <v>132</v>
      </c>
      <c r="O131" s="747">
        <f t="shared" si="23"/>
        <v>1566221</v>
      </c>
      <c r="Q131" s="748">
        <v>756833</v>
      </c>
      <c r="R131" s="741">
        <v>873669</v>
      </c>
      <c r="S131" s="741">
        <v>95166</v>
      </c>
      <c r="T131" s="741">
        <v>5938</v>
      </c>
      <c r="U131" s="741">
        <v>356</v>
      </c>
      <c r="V131" s="741">
        <f t="shared" si="24"/>
        <v>1731962</v>
      </c>
      <c r="W131" s="741">
        <f t="shared" si="25"/>
        <v>132367</v>
      </c>
      <c r="X131" s="741">
        <f t="shared" si="26"/>
        <v>1864329</v>
      </c>
      <c r="Y131" s="741">
        <v>1727</v>
      </c>
      <c r="Z131" s="741">
        <f t="shared" si="27"/>
        <v>132</v>
      </c>
      <c r="AA131" s="749">
        <f t="shared" si="28"/>
        <v>1866188</v>
      </c>
    </row>
    <row r="132" spans="1:27">
      <c r="A132" s="742">
        <f t="shared" si="29"/>
        <v>2026</v>
      </c>
      <c r="B132" s="742">
        <f t="shared" si="30"/>
        <v>7</v>
      </c>
      <c r="C132" s="746">
        <f t="shared" si="18"/>
        <v>46204</v>
      </c>
      <c r="D132" s="739"/>
      <c r="E132" s="748">
        <v>648224</v>
      </c>
      <c r="F132" s="741">
        <v>756161</v>
      </c>
      <c r="G132" s="741">
        <v>79897</v>
      </c>
      <c r="H132" s="741">
        <v>5710</v>
      </c>
      <c r="I132" s="741">
        <v>315</v>
      </c>
      <c r="J132" s="741">
        <f t="shared" si="19"/>
        <v>1490307</v>
      </c>
      <c r="K132" s="741">
        <f t="shared" si="20"/>
        <v>113899</v>
      </c>
      <c r="L132" s="741">
        <f t="shared" si="21"/>
        <v>1604206</v>
      </c>
      <c r="M132" s="741">
        <v>2779</v>
      </c>
      <c r="N132" s="741">
        <f t="shared" si="22"/>
        <v>212</v>
      </c>
      <c r="O132" s="747">
        <f t="shared" si="23"/>
        <v>1607197</v>
      </c>
      <c r="Q132" s="748">
        <v>759581</v>
      </c>
      <c r="R132" s="741">
        <v>923199</v>
      </c>
      <c r="S132" s="741">
        <v>97666</v>
      </c>
      <c r="T132" s="741">
        <v>5710</v>
      </c>
      <c r="U132" s="741">
        <v>315</v>
      </c>
      <c r="V132" s="741">
        <f t="shared" si="24"/>
        <v>1786471</v>
      </c>
      <c r="W132" s="741">
        <f t="shared" si="25"/>
        <v>136533</v>
      </c>
      <c r="X132" s="741">
        <f t="shared" si="26"/>
        <v>1923004</v>
      </c>
      <c r="Y132" s="741">
        <v>2779</v>
      </c>
      <c r="Z132" s="741">
        <f t="shared" si="27"/>
        <v>212</v>
      </c>
      <c r="AA132" s="749">
        <f t="shared" si="28"/>
        <v>1925995</v>
      </c>
    </row>
    <row r="133" spans="1:27">
      <c r="A133" s="742">
        <f t="shared" si="29"/>
        <v>2026</v>
      </c>
      <c r="B133" s="742">
        <f t="shared" si="30"/>
        <v>8</v>
      </c>
      <c r="C133" s="746">
        <f t="shared" si="18"/>
        <v>46235</v>
      </c>
      <c r="D133" s="739"/>
      <c r="E133" s="748">
        <v>631498</v>
      </c>
      <c r="F133" s="741">
        <v>778899</v>
      </c>
      <c r="G133" s="741">
        <v>82335</v>
      </c>
      <c r="H133" s="741">
        <v>5888</v>
      </c>
      <c r="I133" s="741">
        <v>285</v>
      </c>
      <c r="J133" s="741">
        <f t="shared" si="19"/>
        <v>1498905</v>
      </c>
      <c r="K133" s="741">
        <f t="shared" si="20"/>
        <v>114556</v>
      </c>
      <c r="L133" s="741">
        <f t="shared" si="21"/>
        <v>1613461</v>
      </c>
      <c r="M133" s="741">
        <v>1579</v>
      </c>
      <c r="N133" s="741">
        <f t="shared" si="22"/>
        <v>121</v>
      </c>
      <c r="O133" s="747">
        <f t="shared" si="23"/>
        <v>1615161</v>
      </c>
      <c r="Q133" s="748">
        <v>743303</v>
      </c>
      <c r="R133" s="741">
        <v>949547</v>
      </c>
      <c r="S133" s="741">
        <v>100732</v>
      </c>
      <c r="T133" s="741">
        <v>5888</v>
      </c>
      <c r="U133" s="741">
        <v>285</v>
      </c>
      <c r="V133" s="741">
        <f t="shared" si="24"/>
        <v>1799755</v>
      </c>
      <c r="W133" s="741">
        <f t="shared" si="25"/>
        <v>137549</v>
      </c>
      <c r="X133" s="741">
        <f t="shared" si="26"/>
        <v>1937304</v>
      </c>
      <c r="Y133" s="741">
        <v>1579</v>
      </c>
      <c r="Z133" s="741">
        <f t="shared" si="27"/>
        <v>121</v>
      </c>
      <c r="AA133" s="749">
        <f t="shared" si="28"/>
        <v>1939004</v>
      </c>
    </row>
    <row r="134" spans="1:27">
      <c r="A134" s="742">
        <f t="shared" si="29"/>
        <v>2026</v>
      </c>
      <c r="B134" s="742">
        <f t="shared" si="30"/>
        <v>9</v>
      </c>
      <c r="C134" s="746">
        <f t="shared" si="18"/>
        <v>46266</v>
      </c>
      <c r="D134" s="739"/>
      <c r="E134" s="748">
        <v>638706</v>
      </c>
      <c r="F134" s="741">
        <v>732809</v>
      </c>
      <c r="G134" s="741">
        <v>75386</v>
      </c>
      <c r="H134" s="741">
        <v>5740</v>
      </c>
      <c r="I134" s="741">
        <v>324</v>
      </c>
      <c r="J134" s="741">
        <f t="shared" si="19"/>
        <v>1452965</v>
      </c>
      <c r="K134" s="741">
        <f t="shared" si="20"/>
        <v>111045</v>
      </c>
      <c r="L134" s="741">
        <f t="shared" si="21"/>
        <v>1564010</v>
      </c>
      <c r="M134" s="741">
        <v>1377</v>
      </c>
      <c r="N134" s="741">
        <f t="shared" si="22"/>
        <v>105</v>
      </c>
      <c r="O134" s="747">
        <f t="shared" si="23"/>
        <v>1565492</v>
      </c>
      <c r="Q134" s="748">
        <v>748198</v>
      </c>
      <c r="R134" s="741">
        <v>896201</v>
      </c>
      <c r="S134" s="741">
        <v>92827</v>
      </c>
      <c r="T134" s="741">
        <v>5740</v>
      </c>
      <c r="U134" s="741">
        <v>324</v>
      </c>
      <c r="V134" s="741">
        <f t="shared" si="24"/>
        <v>1743290</v>
      </c>
      <c r="W134" s="741">
        <f t="shared" si="25"/>
        <v>133233</v>
      </c>
      <c r="X134" s="741">
        <f t="shared" si="26"/>
        <v>1876523</v>
      </c>
      <c r="Y134" s="741">
        <v>1377</v>
      </c>
      <c r="Z134" s="741">
        <f t="shared" si="27"/>
        <v>105</v>
      </c>
      <c r="AA134" s="749">
        <f t="shared" si="28"/>
        <v>1878005</v>
      </c>
    </row>
    <row r="135" spans="1:27">
      <c r="A135" s="742">
        <f t="shared" si="29"/>
        <v>2026</v>
      </c>
      <c r="B135" s="742">
        <f t="shared" si="30"/>
        <v>10</v>
      </c>
      <c r="C135" s="746">
        <f t="shared" si="18"/>
        <v>46296</v>
      </c>
      <c r="D135" s="739"/>
      <c r="E135" s="748">
        <v>807899</v>
      </c>
      <c r="F135" s="741">
        <v>752186</v>
      </c>
      <c r="G135" s="741">
        <v>78193</v>
      </c>
      <c r="H135" s="741">
        <v>6020</v>
      </c>
      <c r="I135" s="741">
        <v>483</v>
      </c>
      <c r="J135" s="741">
        <f t="shared" si="19"/>
        <v>1644781</v>
      </c>
      <c r="K135" s="741">
        <f t="shared" si="20"/>
        <v>125704</v>
      </c>
      <c r="L135" s="741">
        <f t="shared" si="21"/>
        <v>1770485</v>
      </c>
      <c r="M135" s="741">
        <v>1767</v>
      </c>
      <c r="N135" s="741">
        <f t="shared" si="22"/>
        <v>135</v>
      </c>
      <c r="O135" s="747">
        <f t="shared" si="23"/>
        <v>1772387</v>
      </c>
      <c r="Q135" s="748">
        <v>933523</v>
      </c>
      <c r="R135" s="741">
        <v>921214</v>
      </c>
      <c r="S135" s="741">
        <v>96003</v>
      </c>
      <c r="T135" s="741">
        <v>6020</v>
      </c>
      <c r="U135" s="741">
        <v>483</v>
      </c>
      <c r="V135" s="741">
        <f t="shared" si="24"/>
        <v>1957243</v>
      </c>
      <c r="W135" s="741">
        <f t="shared" si="25"/>
        <v>149585</v>
      </c>
      <c r="X135" s="741">
        <f t="shared" si="26"/>
        <v>2106828</v>
      </c>
      <c r="Y135" s="741">
        <v>1767</v>
      </c>
      <c r="Z135" s="741">
        <f t="shared" si="27"/>
        <v>135</v>
      </c>
      <c r="AA135" s="749">
        <f t="shared" si="28"/>
        <v>2108730</v>
      </c>
    </row>
    <row r="136" spans="1:27">
      <c r="A136" s="742">
        <f t="shared" si="29"/>
        <v>2026</v>
      </c>
      <c r="B136" s="742">
        <f t="shared" si="30"/>
        <v>11</v>
      </c>
      <c r="C136" s="746">
        <f t="shared" si="18"/>
        <v>46327</v>
      </c>
      <c r="D136" s="739"/>
      <c r="E136" s="748">
        <v>1012789</v>
      </c>
      <c r="F136" s="741">
        <v>789518</v>
      </c>
      <c r="G136" s="741">
        <v>71754</v>
      </c>
      <c r="H136" s="741">
        <v>6451</v>
      </c>
      <c r="I136" s="741">
        <v>698</v>
      </c>
      <c r="J136" s="741">
        <f t="shared" si="19"/>
        <v>1881210</v>
      </c>
      <c r="K136" s="741">
        <f t="shared" si="20"/>
        <v>143774</v>
      </c>
      <c r="L136" s="741">
        <f t="shared" si="21"/>
        <v>2024984</v>
      </c>
      <c r="M136" s="741">
        <v>1763</v>
      </c>
      <c r="N136" s="741">
        <f t="shared" si="22"/>
        <v>135</v>
      </c>
      <c r="O136" s="747">
        <f t="shared" si="23"/>
        <v>2026882</v>
      </c>
      <c r="Q136" s="748">
        <v>1151402</v>
      </c>
      <c r="R136" s="741">
        <v>958099</v>
      </c>
      <c r="S136" s="741">
        <v>88946</v>
      </c>
      <c r="T136" s="741">
        <v>6451</v>
      </c>
      <c r="U136" s="741">
        <v>698</v>
      </c>
      <c r="V136" s="741">
        <f t="shared" si="24"/>
        <v>2205596</v>
      </c>
      <c r="W136" s="741">
        <f t="shared" si="25"/>
        <v>168565</v>
      </c>
      <c r="X136" s="741">
        <f t="shared" si="26"/>
        <v>2374161</v>
      </c>
      <c r="Y136" s="741">
        <v>1763</v>
      </c>
      <c r="Z136" s="741">
        <f t="shared" si="27"/>
        <v>135</v>
      </c>
      <c r="AA136" s="749">
        <f t="shared" si="28"/>
        <v>2376059</v>
      </c>
    </row>
    <row r="137" spans="1:27">
      <c r="A137" s="742">
        <f t="shared" si="29"/>
        <v>2026</v>
      </c>
      <c r="B137" s="742">
        <f t="shared" si="30"/>
        <v>12</v>
      </c>
      <c r="C137" s="746">
        <f t="shared" si="18"/>
        <v>46357</v>
      </c>
      <c r="D137" s="739"/>
      <c r="E137" s="748">
        <v>1293360</v>
      </c>
      <c r="F137" s="741">
        <v>867409</v>
      </c>
      <c r="G137" s="741">
        <v>70837</v>
      </c>
      <c r="H137" s="741">
        <v>6341</v>
      </c>
      <c r="I137" s="741">
        <v>1016</v>
      </c>
      <c r="J137" s="741">
        <f t="shared" si="19"/>
        <v>2238963</v>
      </c>
      <c r="K137" s="741">
        <f t="shared" si="20"/>
        <v>171116</v>
      </c>
      <c r="L137" s="741">
        <f t="shared" si="21"/>
        <v>2410079</v>
      </c>
      <c r="M137" s="741">
        <v>1649</v>
      </c>
      <c r="N137" s="741">
        <f t="shared" si="22"/>
        <v>126</v>
      </c>
      <c r="O137" s="747">
        <f t="shared" si="23"/>
        <v>2411854</v>
      </c>
      <c r="Q137" s="748">
        <v>1454408</v>
      </c>
      <c r="R137" s="741">
        <v>1047876</v>
      </c>
      <c r="S137" s="741">
        <v>88841</v>
      </c>
      <c r="T137" s="741">
        <v>6341</v>
      </c>
      <c r="U137" s="741">
        <v>1016</v>
      </c>
      <c r="V137" s="741">
        <f t="shared" si="24"/>
        <v>2598482</v>
      </c>
      <c r="W137" s="741">
        <f t="shared" si="25"/>
        <v>198592</v>
      </c>
      <c r="X137" s="741">
        <f t="shared" si="26"/>
        <v>2797074</v>
      </c>
      <c r="Y137" s="741">
        <v>1649</v>
      </c>
      <c r="Z137" s="741">
        <f t="shared" si="27"/>
        <v>126</v>
      </c>
      <c r="AA137" s="749">
        <f t="shared" si="28"/>
        <v>2798849</v>
      </c>
    </row>
    <row r="138" spans="1:27">
      <c r="A138" s="742">
        <f t="shared" si="29"/>
        <v>2027</v>
      </c>
      <c r="B138" s="742">
        <f t="shared" si="30"/>
        <v>1</v>
      </c>
      <c r="C138" s="746">
        <f t="shared" si="18"/>
        <v>46388</v>
      </c>
      <c r="D138" s="739"/>
      <c r="E138" s="748">
        <v>1257414</v>
      </c>
      <c r="F138" s="741">
        <v>851183</v>
      </c>
      <c r="G138" s="741">
        <v>82443</v>
      </c>
      <c r="H138" s="741">
        <v>6191</v>
      </c>
      <c r="I138" s="741">
        <v>883</v>
      </c>
      <c r="J138" s="741">
        <f t="shared" si="19"/>
        <v>2198114</v>
      </c>
      <c r="K138" s="741">
        <f t="shared" si="20"/>
        <v>167994</v>
      </c>
      <c r="L138" s="741">
        <f t="shared" si="21"/>
        <v>2366108</v>
      </c>
      <c r="M138" s="741">
        <v>2243</v>
      </c>
      <c r="N138" s="741">
        <f t="shared" si="22"/>
        <v>171</v>
      </c>
      <c r="O138" s="747">
        <f t="shared" si="23"/>
        <v>2368522</v>
      </c>
      <c r="Q138" s="748">
        <v>1410353</v>
      </c>
      <c r="R138" s="741">
        <v>1024610</v>
      </c>
      <c r="S138" s="741">
        <v>101463</v>
      </c>
      <c r="T138" s="741">
        <v>6191</v>
      </c>
      <c r="U138" s="741">
        <v>883</v>
      </c>
      <c r="V138" s="741">
        <f t="shared" si="24"/>
        <v>2543500</v>
      </c>
      <c r="W138" s="741">
        <f t="shared" si="25"/>
        <v>194390</v>
      </c>
      <c r="X138" s="741">
        <f t="shared" si="26"/>
        <v>2737890</v>
      </c>
      <c r="Y138" s="741">
        <v>2243</v>
      </c>
      <c r="Z138" s="741">
        <f t="shared" si="27"/>
        <v>171</v>
      </c>
      <c r="AA138" s="749">
        <f t="shared" si="28"/>
        <v>2740304</v>
      </c>
    </row>
    <row r="139" spans="1:27">
      <c r="A139" s="742">
        <f t="shared" si="29"/>
        <v>2027</v>
      </c>
      <c r="B139" s="742">
        <f t="shared" si="30"/>
        <v>2</v>
      </c>
      <c r="C139" s="746">
        <f t="shared" si="18"/>
        <v>46419</v>
      </c>
      <c r="D139" s="739"/>
      <c r="E139" s="748">
        <v>1048441</v>
      </c>
      <c r="F139" s="741">
        <v>764115</v>
      </c>
      <c r="G139" s="741">
        <v>69723</v>
      </c>
      <c r="H139" s="741">
        <v>5667</v>
      </c>
      <c r="I139" s="741">
        <v>817</v>
      </c>
      <c r="J139" s="741">
        <f t="shared" si="19"/>
        <v>1888763</v>
      </c>
      <c r="K139" s="741">
        <f t="shared" si="20"/>
        <v>144351</v>
      </c>
      <c r="L139" s="741">
        <f t="shared" si="21"/>
        <v>2033114</v>
      </c>
      <c r="M139" s="741">
        <v>2355</v>
      </c>
      <c r="N139" s="741">
        <f t="shared" si="22"/>
        <v>180</v>
      </c>
      <c r="O139" s="747">
        <f t="shared" si="23"/>
        <v>2035649</v>
      </c>
      <c r="Q139" s="748">
        <v>1177173</v>
      </c>
      <c r="R139" s="741">
        <v>918902</v>
      </c>
      <c r="S139" s="741">
        <v>86143</v>
      </c>
      <c r="T139" s="741">
        <v>5667</v>
      </c>
      <c r="U139" s="741">
        <v>817</v>
      </c>
      <c r="V139" s="741">
        <f t="shared" si="24"/>
        <v>2188702</v>
      </c>
      <c r="W139" s="741">
        <f t="shared" si="25"/>
        <v>167274</v>
      </c>
      <c r="X139" s="741">
        <f t="shared" si="26"/>
        <v>2355976</v>
      </c>
      <c r="Y139" s="741">
        <v>2355</v>
      </c>
      <c r="Z139" s="741">
        <f t="shared" si="27"/>
        <v>180</v>
      </c>
      <c r="AA139" s="749">
        <f t="shared" si="28"/>
        <v>2358511</v>
      </c>
    </row>
    <row r="140" spans="1:27">
      <c r="A140" s="742">
        <f t="shared" si="29"/>
        <v>2027</v>
      </c>
      <c r="B140" s="742">
        <f t="shared" si="30"/>
        <v>3</v>
      </c>
      <c r="C140" s="746">
        <f t="shared" si="18"/>
        <v>46447</v>
      </c>
      <c r="D140" s="739"/>
      <c r="E140" s="748">
        <v>1038050</v>
      </c>
      <c r="F140" s="741">
        <v>800477</v>
      </c>
      <c r="G140" s="741">
        <v>77559</v>
      </c>
      <c r="H140" s="741">
        <v>6213</v>
      </c>
      <c r="I140" s="741">
        <v>814</v>
      </c>
      <c r="J140" s="741">
        <f t="shared" si="19"/>
        <v>1923113</v>
      </c>
      <c r="K140" s="741">
        <f t="shared" si="20"/>
        <v>146976</v>
      </c>
      <c r="L140" s="741">
        <f t="shared" si="21"/>
        <v>2070089</v>
      </c>
      <c r="M140" s="741">
        <v>2263</v>
      </c>
      <c r="N140" s="741">
        <f t="shared" si="22"/>
        <v>173</v>
      </c>
      <c r="O140" s="747">
        <f t="shared" si="23"/>
        <v>2072525</v>
      </c>
      <c r="Q140" s="748">
        <v>1173699</v>
      </c>
      <c r="R140" s="741">
        <v>973640</v>
      </c>
      <c r="S140" s="741">
        <v>96627</v>
      </c>
      <c r="T140" s="741">
        <v>6213</v>
      </c>
      <c r="U140" s="741">
        <v>814</v>
      </c>
      <c r="V140" s="741">
        <f t="shared" si="24"/>
        <v>2250993</v>
      </c>
      <c r="W140" s="741">
        <f t="shared" si="25"/>
        <v>172035</v>
      </c>
      <c r="X140" s="741">
        <f t="shared" si="26"/>
        <v>2423028</v>
      </c>
      <c r="Y140" s="741">
        <v>2263</v>
      </c>
      <c r="Z140" s="741">
        <f t="shared" si="27"/>
        <v>173</v>
      </c>
      <c r="AA140" s="749">
        <f t="shared" si="28"/>
        <v>2425464</v>
      </c>
    </row>
    <row r="141" spans="1:27">
      <c r="A141" s="742">
        <f t="shared" si="29"/>
        <v>2027</v>
      </c>
      <c r="B141" s="742">
        <f t="shared" si="30"/>
        <v>4</v>
      </c>
      <c r="C141" s="746">
        <f t="shared" si="18"/>
        <v>46478</v>
      </c>
      <c r="D141" s="739"/>
      <c r="E141" s="748">
        <v>846868</v>
      </c>
      <c r="F141" s="741">
        <v>731309</v>
      </c>
      <c r="G141" s="741">
        <v>70622</v>
      </c>
      <c r="H141" s="741">
        <v>5526</v>
      </c>
      <c r="I141" s="741">
        <v>592</v>
      </c>
      <c r="J141" s="741">
        <f t="shared" si="19"/>
        <v>1654917</v>
      </c>
      <c r="K141" s="741">
        <f t="shared" si="20"/>
        <v>126479</v>
      </c>
      <c r="L141" s="741">
        <f t="shared" si="21"/>
        <v>1781396</v>
      </c>
      <c r="M141" s="741">
        <v>2101</v>
      </c>
      <c r="N141" s="741">
        <f t="shared" si="22"/>
        <v>161</v>
      </c>
      <c r="O141" s="747">
        <f t="shared" si="23"/>
        <v>1783658</v>
      </c>
      <c r="Q141" s="748">
        <v>970138</v>
      </c>
      <c r="R141" s="741">
        <v>898920</v>
      </c>
      <c r="S141" s="741">
        <v>88698</v>
      </c>
      <c r="T141" s="741">
        <v>5526</v>
      </c>
      <c r="U141" s="741">
        <v>592</v>
      </c>
      <c r="V141" s="741">
        <f t="shared" si="24"/>
        <v>1963874</v>
      </c>
      <c r="W141" s="741">
        <f t="shared" si="25"/>
        <v>150092</v>
      </c>
      <c r="X141" s="741">
        <f t="shared" si="26"/>
        <v>2113966</v>
      </c>
      <c r="Y141" s="741">
        <v>2101</v>
      </c>
      <c r="Z141" s="741">
        <f t="shared" si="27"/>
        <v>161</v>
      </c>
      <c r="AA141" s="749">
        <f t="shared" si="28"/>
        <v>2116228</v>
      </c>
    </row>
    <row r="142" spans="1:27">
      <c r="A142" s="742">
        <f t="shared" si="29"/>
        <v>2027</v>
      </c>
      <c r="B142" s="742">
        <f t="shared" si="30"/>
        <v>5</v>
      </c>
      <c r="C142" s="746">
        <f t="shared" si="18"/>
        <v>46508</v>
      </c>
      <c r="D142" s="739"/>
      <c r="E142" s="748">
        <v>720270</v>
      </c>
      <c r="F142" s="741">
        <v>725372</v>
      </c>
      <c r="G142" s="741">
        <v>73616</v>
      </c>
      <c r="H142" s="741">
        <v>5846</v>
      </c>
      <c r="I142" s="741">
        <v>458</v>
      </c>
      <c r="J142" s="741">
        <f t="shared" si="19"/>
        <v>1525562</v>
      </c>
      <c r="K142" s="741">
        <f t="shared" si="20"/>
        <v>116593</v>
      </c>
      <c r="L142" s="741">
        <f t="shared" si="21"/>
        <v>1642155</v>
      </c>
      <c r="M142" s="741">
        <v>2097</v>
      </c>
      <c r="N142" s="741">
        <f t="shared" si="22"/>
        <v>160</v>
      </c>
      <c r="O142" s="747">
        <f t="shared" si="23"/>
        <v>1644412</v>
      </c>
      <c r="Q142" s="748">
        <v>834512</v>
      </c>
      <c r="R142" s="741">
        <v>892738</v>
      </c>
      <c r="S142" s="741">
        <v>92680</v>
      </c>
      <c r="T142" s="741">
        <v>5846</v>
      </c>
      <c r="U142" s="741">
        <v>458</v>
      </c>
      <c r="V142" s="741">
        <f t="shared" si="24"/>
        <v>1826234</v>
      </c>
      <c r="W142" s="741">
        <f t="shared" si="25"/>
        <v>139572</v>
      </c>
      <c r="X142" s="741">
        <f t="shared" si="26"/>
        <v>1965806</v>
      </c>
      <c r="Y142" s="741">
        <v>2097</v>
      </c>
      <c r="Z142" s="741">
        <f t="shared" si="27"/>
        <v>160</v>
      </c>
      <c r="AA142" s="749">
        <f t="shared" si="28"/>
        <v>1968063</v>
      </c>
    </row>
    <row r="143" spans="1:27">
      <c r="A143" s="742">
        <f t="shared" si="29"/>
        <v>2027</v>
      </c>
      <c r="B143" s="742">
        <f t="shared" si="30"/>
        <v>6</v>
      </c>
      <c r="C143" s="746">
        <f t="shared" si="18"/>
        <v>46539</v>
      </c>
      <c r="D143" s="739"/>
      <c r="E143" s="748">
        <v>656918</v>
      </c>
      <c r="F143" s="741">
        <v>719947</v>
      </c>
      <c r="G143" s="741">
        <v>74327</v>
      </c>
      <c r="H143" s="741">
        <v>5854</v>
      </c>
      <c r="I143" s="741">
        <v>356</v>
      </c>
      <c r="J143" s="741">
        <f t="shared" si="19"/>
        <v>1457402</v>
      </c>
      <c r="K143" s="741">
        <f t="shared" si="20"/>
        <v>111384</v>
      </c>
      <c r="L143" s="741">
        <f t="shared" si="21"/>
        <v>1568786</v>
      </c>
      <c r="M143" s="741">
        <v>1727</v>
      </c>
      <c r="N143" s="741">
        <f t="shared" si="22"/>
        <v>132</v>
      </c>
      <c r="O143" s="747">
        <f t="shared" si="23"/>
        <v>1570645</v>
      </c>
      <c r="Q143" s="748">
        <v>769179</v>
      </c>
      <c r="R143" s="741">
        <v>886287</v>
      </c>
      <c r="S143" s="741">
        <v>93512</v>
      </c>
      <c r="T143" s="741">
        <v>5854</v>
      </c>
      <c r="U143" s="741">
        <v>356</v>
      </c>
      <c r="V143" s="741">
        <f t="shared" si="24"/>
        <v>1755188</v>
      </c>
      <c r="W143" s="741">
        <f t="shared" si="25"/>
        <v>134142</v>
      </c>
      <c r="X143" s="741">
        <f t="shared" si="26"/>
        <v>1889330</v>
      </c>
      <c r="Y143" s="741">
        <v>1727</v>
      </c>
      <c r="Z143" s="741">
        <f t="shared" si="27"/>
        <v>132</v>
      </c>
      <c r="AA143" s="749">
        <f t="shared" si="28"/>
        <v>1891189</v>
      </c>
    </row>
    <row r="144" spans="1:27">
      <c r="A144" s="742">
        <f t="shared" si="29"/>
        <v>2027</v>
      </c>
      <c r="B144" s="742">
        <f t="shared" si="30"/>
        <v>7</v>
      </c>
      <c r="C144" s="746">
        <f t="shared" si="18"/>
        <v>46569</v>
      </c>
      <c r="D144" s="739"/>
      <c r="E144" s="748">
        <v>651225</v>
      </c>
      <c r="F144" s="741">
        <v>760241</v>
      </c>
      <c r="G144" s="741">
        <v>76345</v>
      </c>
      <c r="H144" s="741">
        <v>5628</v>
      </c>
      <c r="I144" s="741">
        <v>315</v>
      </c>
      <c r="J144" s="741">
        <f t="shared" si="19"/>
        <v>1493754</v>
      </c>
      <c r="K144" s="741">
        <f t="shared" si="20"/>
        <v>114162</v>
      </c>
      <c r="L144" s="741">
        <f t="shared" si="21"/>
        <v>1607916</v>
      </c>
      <c r="M144" s="741">
        <v>2779</v>
      </c>
      <c r="N144" s="741">
        <f t="shared" si="22"/>
        <v>212</v>
      </c>
      <c r="O144" s="747">
        <f t="shared" si="23"/>
        <v>1610907</v>
      </c>
      <c r="Q144" s="748">
        <v>771897</v>
      </c>
      <c r="R144" s="741">
        <v>936231</v>
      </c>
      <c r="S144" s="741">
        <v>96136</v>
      </c>
      <c r="T144" s="741">
        <v>5628</v>
      </c>
      <c r="U144" s="741">
        <v>315</v>
      </c>
      <c r="V144" s="741">
        <f t="shared" si="24"/>
        <v>1810207</v>
      </c>
      <c r="W144" s="741">
        <f t="shared" si="25"/>
        <v>138347</v>
      </c>
      <c r="X144" s="741">
        <f t="shared" si="26"/>
        <v>1948554</v>
      </c>
      <c r="Y144" s="741">
        <v>2779</v>
      </c>
      <c r="Z144" s="741">
        <f t="shared" si="27"/>
        <v>212</v>
      </c>
      <c r="AA144" s="749">
        <f t="shared" si="28"/>
        <v>1951545</v>
      </c>
    </row>
    <row r="145" spans="1:27">
      <c r="A145" s="742">
        <f t="shared" si="29"/>
        <v>2027</v>
      </c>
      <c r="B145" s="742">
        <f t="shared" si="30"/>
        <v>8</v>
      </c>
      <c r="C145" s="746">
        <f t="shared" si="18"/>
        <v>46600</v>
      </c>
      <c r="D145" s="739"/>
      <c r="E145" s="748">
        <v>634207</v>
      </c>
      <c r="F145" s="741">
        <v>783350</v>
      </c>
      <c r="G145" s="741">
        <v>78871</v>
      </c>
      <c r="H145" s="741">
        <v>5804</v>
      </c>
      <c r="I145" s="741">
        <v>285</v>
      </c>
      <c r="J145" s="741">
        <f t="shared" si="19"/>
        <v>1502517</v>
      </c>
      <c r="K145" s="741">
        <f t="shared" si="20"/>
        <v>114832</v>
      </c>
      <c r="L145" s="741">
        <f t="shared" si="21"/>
        <v>1617349</v>
      </c>
      <c r="M145" s="741">
        <v>1579</v>
      </c>
      <c r="N145" s="741">
        <f t="shared" si="22"/>
        <v>121</v>
      </c>
      <c r="O145" s="747">
        <f t="shared" si="23"/>
        <v>1619049</v>
      </c>
      <c r="Q145" s="748">
        <v>755293</v>
      </c>
      <c r="R145" s="741">
        <v>963084</v>
      </c>
      <c r="S145" s="741">
        <v>99322</v>
      </c>
      <c r="T145" s="741">
        <v>5804</v>
      </c>
      <c r="U145" s="741">
        <v>285</v>
      </c>
      <c r="V145" s="741">
        <f t="shared" si="24"/>
        <v>1823788</v>
      </c>
      <c r="W145" s="741">
        <f t="shared" si="25"/>
        <v>139385</v>
      </c>
      <c r="X145" s="741">
        <f t="shared" si="26"/>
        <v>1963173</v>
      </c>
      <c r="Y145" s="741">
        <v>1579</v>
      </c>
      <c r="Z145" s="741">
        <f t="shared" si="27"/>
        <v>121</v>
      </c>
      <c r="AA145" s="749">
        <f t="shared" si="28"/>
        <v>1964873</v>
      </c>
    </row>
    <row r="146" spans="1:27">
      <c r="A146" s="742">
        <f t="shared" si="29"/>
        <v>2027</v>
      </c>
      <c r="B146" s="742">
        <f t="shared" si="30"/>
        <v>9</v>
      </c>
      <c r="C146" s="746">
        <f t="shared" si="18"/>
        <v>46631</v>
      </c>
      <c r="D146" s="739"/>
      <c r="E146" s="748">
        <v>641727</v>
      </c>
      <c r="F146" s="741">
        <v>737074</v>
      </c>
      <c r="G146" s="741">
        <v>72311</v>
      </c>
      <c r="H146" s="741">
        <v>5659</v>
      </c>
      <c r="I146" s="741">
        <v>324</v>
      </c>
      <c r="J146" s="741">
        <f t="shared" si="19"/>
        <v>1457095</v>
      </c>
      <c r="K146" s="741">
        <f t="shared" si="20"/>
        <v>111360</v>
      </c>
      <c r="L146" s="741">
        <f t="shared" si="21"/>
        <v>1568455</v>
      </c>
      <c r="M146" s="741">
        <v>1377</v>
      </c>
      <c r="N146" s="741">
        <f t="shared" si="22"/>
        <v>105</v>
      </c>
      <c r="O146" s="747">
        <f t="shared" si="23"/>
        <v>1569937</v>
      </c>
      <c r="Q146" s="748">
        <v>760143</v>
      </c>
      <c r="R146" s="741">
        <v>909123</v>
      </c>
      <c r="S146" s="741">
        <v>91652</v>
      </c>
      <c r="T146" s="741">
        <v>5659</v>
      </c>
      <c r="U146" s="741">
        <v>324</v>
      </c>
      <c r="V146" s="741">
        <f t="shared" si="24"/>
        <v>1766901</v>
      </c>
      <c r="W146" s="741">
        <f t="shared" si="25"/>
        <v>135038</v>
      </c>
      <c r="X146" s="741">
        <f t="shared" si="26"/>
        <v>1901939</v>
      </c>
      <c r="Y146" s="741">
        <v>1377</v>
      </c>
      <c r="Z146" s="741">
        <f t="shared" si="27"/>
        <v>105</v>
      </c>
      <c r="AA146" s="749">
        <f t="shared" si="28"/>
        <v>1903421</v>
      </c>
    </row>
    <row r="147" spans="1:27">
      <c r="A147" s="742">
        <f t="shared" si="29"/>
        <v>2027</v>
      </c>
      <c r="B147" s="742">
        <f t="shared" si="30"/>
        <v>10</v>
      </c>
      <c r="C147" s="746">
        <f t="shared" si="18"/>
        <v>46661</v>
      </c>
      <c r="D147" s="739"/>
      <c r="E147" s="748">
        <v>811736</v>
      </c>
      <c r="F147" s="741">
        <v>756545</v>
      </c>
      <c r="G147" s="741">
        <v>75245</v>
      </c>
      <c r="H147" s="741">
        <v>5940</v>
      </c>
      <c r="I147" s="741">
        <v>483</v>
      </c>
      <c r="J147" s="741">
        <f t="shared" si="19"/>
        <v>1649949</v>
      </c>
      <c r="K147" s="741">
        <f t="shared" si="20"/>
        <v>126099</v>
      </c>
      <c r="L147" s="741">
        <f t="shared" si="21"/>
        <v>1776048</v>
      </c>
      <c r="M147" s="741">
        <v>1767</v>
      </c>
      <c r="N147" s="741">
        <f t="shared" si="22"/>
        <v>135</v>
      </c>
      <c r="O147" s="747">
        <f t="shared" si="23"/>
        <v>1777950</v>
      </c>
      <c r="Q147" s="748">
        <v>947838</v>
      </c>
      <c r="R147" s="741">
        <v>934469</v>
      </c>
      <c r="S147" s="741">
        <v>94951</v>
      </c>
      <c r="T147" s="741">
        <v>5940</v>
      </c>
      <c r="U147" s="741">
        <v>483</v>
      </c>
      <c r="V147" s="741">
        <f t="shared" si="24"/>
        <v>1983681</v>
      </c>
      <c r="W147" s="741">
        <f t="shared" si="25"/>
        <v>151605</v>
      </c>
      <c r="X147" s="741">
        <f t="shared" si="26"/>
        <v>2135286</v>
      </c>
      <c r="Y147" s="741">
        <v>1767</v>
      </c>
      <c r="Z147" s="741">
        <f t="shared" si="27"/>
        <v>135</v>
      </c>
      <c r="AA147" s="749">
        <f t="shared" si="28"/>
        <v>2137188</v>
      </c>
    </row>
    <row r="148" spans="1:27">
      <c r="A148" s="742">
        <f t="shared" si="29"/>
        <v>2027</v>
      </c>
      <c r="B148" s="742">
        <f t="shared" si="30"/>
        <v>11</v>
      </c>
      <c r="C148" s="746">
        <f t="shared" si="18"/>
        <v>46692</v>
      </c>
      <c r="D148" s="739"/>
      <c r="E148" s="748">
        <v>1017566</v>
      </c>
      <c r="F148" s="741">
        <v>794594</v>
      </c>
      <c r="G148" s="741">
        <v>69135</v>
      </c>
      <c r="H148" s="741">
        <v>6374</v>
      </c>
      <c r="I148" s="741">
        <v>698</v>
      </c>
      <c r="J148" s="741">
        <f t="shared" si="19"/>
        <v>1888367</v>
      </c>
      <c r="K148" s="741">
        <f t="shared" si="20"/>
        <v>144321</v>
      </c>
      <c r="L148" s="741">
        <f t="shared" si="21"/>
        <v>2032688</v>
      </c>
      <c r="M148" s="741">
        <v>1763</v>
      </c>
      <c r="N148" s="741">
        <f t="shared" si="22"/>
        <v>135</v>
      </c>
      <c r="O148" s="747">
        <f t="shared" si="23"/>
        <v>2034586</v>
      </c>
      <c r="Q148" s="748">
        <v>1168257</v>
      </c>
      <c r="R148" s="741">
        <v>971973</v>
      </c>
      <c r="S148" s="741">
        <v>88117</v>
      </c>
      <c r="T148" s="741">
        <v>6374</v>
      </c>
      <c r="U148" s="741">
        <v>698</v>
      </c>
      <c r="V148" s="741">
        <f t="shared" si="24"/>
        <v>2235419</v>
      </c>
      <c r="W148" s="741">
        <f t="shared" si="25"/>
        <v>170845</v>
      </c>
      <c r="X148" s="741">
        <f t="shared" si="26"/>
        <v>2406264</v>
      </c>
      <c r="Y148" s="741">
        <v>1763</v>
      </c>
      <c r="Z148" s="741">
        <f t="shared" si="27"/>
        <v>135</v>
      </c>
      <c r="AA148" s="749">
        <f t="shared" si="28"/>
        <v>2408162</v>
      </c>
    </row>
    <row r="149" spans="1:27">
      <c r="A149" s="742">
        <f t="shared" si="29"/>
        <v>2027</v>
      </c>
      <c r="B149" s="742">
        <f t="shared" si="30"/>
        <v>12</v>
      </c>
      <c r="C149" s="746">
        <f t="shared" si="18"/>
        <v>46722</v>
      </c>
      <c r="D149" s="739"/>
      <c r="E149" s="748">
        <v>1299908</v>
      </c>
      <c r="F149" s="741">
        <v>873436</v>
      </c>
      <c r="G149" s="741">
        <v>68211</v>
      </c>
      <c r="H149" s="741">
        <v>6268</v>
      </c>
      <c r="I149" s="741">
        <v>1016</v>
      </c>
      <c r="J149" s="741">
        <f t="shared" si="19"/>
        <v>2248839</v>
      </c>
      <c r="K149" s="741">
        <f t="shared" si="20"/>
        <v>171870</v>
      </c>
      <c r="L149" s="741">
        <f t="shared" si="21"/>
        <v>2420709</v>
      </c>
      <c r="M149" s="741">
        <v>1649</v>
      </c>
      <c r="N149" s="741">
        <f t="shared" si="22"/>
        <v>126</v>
      </c>
      <c r="O149" s="747">
        <f t="shared" si="23"/>
        <v>2422484</v>
      </c>
      <c r="Q149" s="748">
        <v>1475147</v>
      </c>
      <c r="R149" s="741">
        <v>1063151</v>
      </c>
      <c r="S149" s="741">
        <v>88050</v>
      </c>
      <c r="T149" s="741">
        <v>6268</v>
      </c>
      <c r="U149" s="741">
        <v>1016</v>
      </c>
      <c r="V149" s="741">
        <f t="shared" si="24"/>
        <v>2633632</v>
      </c>
      <c r="W149" s="741">
        <f t="shared" si="25"/>
        <v>201279</v>
      </c>
      <c r="X149" s="741">
        <f t="shared" si="26"/>
        <v>2834911</v>
      </c>
      <c r="Y149" s="741">
        <v>1649</v>
      </c>
      <c r="Z149" s="741">
        <f t="shared" si="27"/>
        <v>126</v>
      </c>
      <c r="AA149" s="749">
        <f t="shared" si="28"/>
        <v>2836686</v>
      </c>
    </row>
    <row r="150" spans="1:27">
      <c r="A150" s="742">
        <f t="shared" si="29"/>
        <v>2028</v>
      </c>
      <c r="B150" s="742">
        <f t="shared" si="30"/>
        <v>1</v>
      </c>
      <c r="C150" s="746">
        <f t="shared" si="18"/>
        <v>46753</v>
      </c>
      <c r="D150" s="739"/>
      <c r="E150" s="748">
        <v>1264209</v>
      </c>
      <c r="F150" s="741">
        <v>857359</v>
      </c>
      <c r="G150" s="741">
        <v>79670</v>
      </c>
      <c r="H150" s="741">
        <v>6118</v>
      </c>
      <c r="I150" s="741">
        <v>883</v>
      </c>
      <c r="J150" s="741">
        <f t="shared" si="19"/>
        <v>2208239</v>
      </c>
      <c r="K150" s="741">
        <f t="shared" si="20"/>
        <v>168767</v>
      </c>
      <c r="L150" s="741">
        <f t="shared" si="21"/>
        <v>2377006</v>
      </c>
      <c r="M150" s="741">
        <v>2243</v>
      </c>
      <c r="N150" s="741">
        <f t="shared" si="22"/>
        <v>171</v>
      </c>
      <c r="O150" s="747">
        <f t="shared" si="23"/>
        <v>2379420</v>
      </c>
      <c r="Q150" s="748">
        <v>1430384</v>
      </c>
      <c r="R150" s="741">
        <v>1039508</v>
      </c>
      <c r="S150" s="741">
        <v>100585</v>
      </c>
      <c r="T150" s="741">
        <v>6118</v>
      </c>
      <c r="U150" s="741">
        <v>883</v>
      </c>
      <c r="V150" s="741">
        <f t="shared" si="24"/>
        <v>2577478</v>
      </c>
      <c r="W150" s="741">
        <f t="shared" si="25"/>
        <v>196987</v>
      </c>
      <c r="X150" s="741">
        <f t="shared" si="26"/>
        <v>2774465</v>
      </c>
      <c r="Y150" s="741">
        <v>2243</v>
      </c>
      <c r="Z150" s="741">
        <f t="shared" si="27"/>
        <v>171</v>
      </c>
      <c r="AA150" s="749">
        <f t="shared" si="28"/>
        <v>2776879</v>
      </c>
    </row>
    <row r="151" spans="1:27">
      <c r="A151" s="742">
        <f t="shared" si="29"/>
        <v>2028</v>
      </c>
      <c r="B151" s="742">
        <f t="shared" si="30"/>
        <v>2</v>
      </c>
      <c r="C151" s="746">
        <f t="shared" si="18"/>
        <v>46784</v>
      </c>
      <c r="D151" s="739"/>
      <c r="E151" s="748">
        <v>1097447</v>
      </c>
      <c r="F151" s="741">
        <v>800777</v>
      </c>
      <c r="G151" s="741">
        <v>71731</v>
      </c>
      <c r="H151" s="741">
        <v>5760</v>
      </c>
      <c r="I151" s="741">
        <v>835</v>
      </c>
      <c r="J151" s="741">
        <f t="shared" si="19"/>
        <v>1976550</v>
      </c>
      <c r="K151" s="741">
        <f t="shared" si="20"/>
        <v>151060</v>
      </c>
      <c r="L151" s="741">
        <f t="shared" si="21"/>
        <v>2127610</v>
      </c>
      <c r="M151" s="741">
        <v>2439</v>
      </c>
      <c r="N151" s="741">
        <f t="shared" si="22"/>
        <v>186</v>
      </c>
      <c r="O151" s="747">
        <f t="shared" si="23"/>
        <v>2130235</v>
      </c>
      <c r="Q151" s="748">
        <v>1216234</v>
      </c>
      <c r="R151" s="741">
        <v>948767</v>
      </c>
      <c r="S151" s="741">
        <v>87781</v>
      </c>
      <c r="T151" s="741">
        <v>5760</v>
      </c>
      <c r="U151" s="741">
        <v>835</v>
      </c>
      <c r="V151" s="741">
        <f t="shared" si="24"/>
        <v>2259377</v>
      </c>
      <c r="W151" s="741">
        <f t="shared" si="25"/>
        <v>172676</v>
      </c>
      <c r="X151" s="741">
        <f t="shared" si="26"/>
        <v>2432053</v>
      </c>
      <c r="Y151" s="741">
        <v>2439</v>
      </c>
      <c r="Z151" s="741">
        <f t="shared" si="27"/>
        <v>186</v>
      </c>
      <c r="AA151" s="749">
        <f t="shared" si="28"/>
        <v>2434678</v>
      </c>
    </row>
    <row r="152" spans="1:27">
      <c r="A152" s="742">
        <f t="shared" si="29"/>
        <v>2028</v>
      </c>
      <c r="B152" s="742">
        <f t="shared" si="30"/>
        <v>3</v>
      </c>
      <c r="C152" s="746">
        <f t="shared" si="18"/>
        <v>46813</v>
      </c>
      <c r="D152" s="739"/>
      <c r="E152" s="748">
        <v>1044395</v>
      </c>
      <c r="F152" s="741">
        <v>808755</v>
      </c>
      <c r="G152" s="741">
        <v>73761</v>
      </c>
      <c r="H152" s="741">
        <v>6167</v>
      </c>
      <c r="I152" s="741">
        <v>825</v>
      </c>
      <c r="J152" s="741">
        <f t="shared" si="19"/>
        <v>1933903</v>
      </c>
      <c r="K152" s="741">
        <f t="shared" si="20"/>
        <v>147801</v>
      </c>
      <c r="L152" s="741">
        <f t="shared" si="21"/>
        <v>2081704</v>
      </c>
      <c r="M152" s="741">
        <v>2263</v>
      </c>
      <c r="N152" s="741">
        <f t="shared" si="22"/>
        <v>173</v>
      </c>
      <c r="O152" s="747">
        <f t="shared" si="23"/>
        <v>2084140</v>
      </c>
      <c r="Q152" s="748">
        <v>1211620</v>
      </c>
      <c r="R152" s="741">
        <v>1004859</v>
      </c>
      <c r="S152" s="741">
        <v>96620</v>
      </c>
      <c r="T152" s="741">
        <v>6167</v>
      </c>
      <c r="U152" s="741">
        <v>825</v>
      </c>
      <c r="V152" s="741">
        <f t="shared" si="24"/>
        <v>2320091</v>
      </c>
      <c r="W152" s="741">
        <f t="shared" si="25"/>
        <v>177316</v>
      </c>
      <c r="X152" s="741">
        <f t="shared" si="26"/>
        <v>2497407</v>
      </c>
      <c r="Y152" s="741">
        <v>2263</v>
      </c>
      <c r="Z152" s="741">
        <f t="shared" si="27"/>
        <v>173</v>
      </c>
      <c r="AA152" s="749">
        <f t="shared" si="28"/>
        <v>2499843</v>
      </c>
    </row>
    <row r="153" spans="1:27">
      <c r="A153" s="742">
        <f t="shared" si="29"/>
        <v>2028</v>
      </c>
      <c r="B153" s="742">
        <f t="shared" si="30"/>
        <v>4</v>
      </c>
      <c r="C153" s="746">
        <f t="shared" si="18"/>
        <v>46844</v>
      </c>
      <c r="D153" s="739"/>
      <c r="E153" s="748">
        <v>852320</v>
      </c>
      <c r="F153" s="741">
        <v>736324</v>
      </c>
      <c r="G153" s="741">
        <v>68209</v>
      </c>
      <c r="H153" s="741">
        <v>5443</v>
      </c>
      <c r="I153" s="741">
        <v>592</v>
      </c>
      <c r="J153" s="741">
        <f t="shared" si="19"/>
        <v>1662888</v>
      </c>
      <c r="K153" s="741">
        <f t="shared" si="20"/>
        <v>127088</v>
      </c>
      <c r="L153" s="741">
        <f t="shared" si="21"/>
        <v>1789976</v>
      </c>
      <c r="M153" s="741">
        <v>2101</v>
      </c>
      <c r="N153" s="741">
        <f t="shared" si="22"/>
        <v>161</v>
      </c>
      <c r="O153" s="747">
        <f t="shared" si="23"/>
        <v>1792238</v>
      </c>
      <c r="Q153" s="748">
        <v>984855</v>
      </c>
      <c r="R153" s="741">
        <v>911783</v>
      </c>
      <c r="S153" s="741">
        <v>87967</v>
      </c>
      <c r="T153" s="741">
        <v>5443</v>
      </c>
      <c r="U153" s="741">
        <v>592</v>
      </c>
      <c r="V153" s="741">
        <f t="shared" si="24"/>
        <v>1990640</v>
      </c>
      <c r="W153" s="741">
        <f t="shared" si="25"/>
        <v>152137</v>
      </c>
      <c r="X153" s="741">
        <f t="shared" si="26"/>
        <v>2142777</v>
      </c>
      <c r="Y153" s="741">
        <v>2101</v>
      </c>
      <c r="Z153" s="741">
        <f t="shared" si="27"/>
        <v>161</v>
      </c>
      <c r="AA153" s="749">
        <f t="shared" si="28"/>
        <v>2145039</v>
      </c>
    </row>
    <row r="154" spans="1:27">
      <c r="A154" s="742">
        <f t="shared" si="29"/>
        <v>2028</v>
      </c>
      <c r="B154" s="742">
        <f t="shared" si="30"/>
        <v>5</v>
      </c>
      <c r="C154" s="746">
        <f t="shared" si="18"/>
        <v>46874</v>
      </c>
      <c r="D154" s="739"/>
      <c r="E154" s="748">
        <v>725173</v>
      </c>
      <c r="F154" s="741">
        <v>730601</v>
      </c>
      <c r="G154" s="741">
        <v>71139</v>
      </c>
      <c r="H154" s="741">
        <v>5757</v>
      </c>
      <c r="I154" s="741">
        <v>458</v>
      </c>
      <c r="J154" s="741">
        <f t="shared" si="19"/>
        <v>1533128</v>
      </c>
      <c r="K154" s="741">
        <f t="shared" si="20"/>
        <v>117171</v>
      </c>
      <c r="L154" s="741">
        <f t="shared" si="21"/>
        <v>1650299</v>
      </c>
      <c r="M154" s="741">
        <v>2097</v>
      </c>
      <c r="N154" s="741">
        <f t="shared" si="22"/>
        <v>160</v>
      </c>
      <c r="O154" s="747">
        <f t="shared" si="23"/>
        <v>1652556</v>
      </c>
      <c r="Q154" s="748">
        <v>847547</v>
      </c>
      <c r="R154" s="741">
        <v>905456</v>
      </c>
      <c r="S154" s="741">
        <v>91933</v>
      </c>
      <c r="T154" s="741">
        <v>5757</v>
      </c>
      <c r="U154" s="741">
        <v>458</v>
      </c>
      <c r="V154" s="741">
        <f t="shared" si="24"/>
        <v>1851151</v>
      </c>
      <c r="W154" s="741">
        <f t="shared" si="25"/>
        <v>141477</v>
      </c>
      <c r="X154" s="741">
        <f t="shared" si="26"/>
        <v>1992628</v>
      </c>
      <c r="Y154" s="741">
        <v>2097</v>
      </c>
      <c r="Z154" s="741">
        <f t="shared" si="27"/>
        <v>160</v>
      </c>
      <c r="AA154" s="749">
        <f t="shared" si="28"/>
        <v>1994885</v>
      </c>
    </row>
    <row r="155" spans="1:27">
      <c r="A155" s="742">
        <f t="shared" si="29"/>
        <v>2028</v>
      </c>
      <c r="B155" s="742">
        <f t="shared" si="30"/>
        <v>6</v>
      </c>
      <c r="C155" s="746">
        <f t="shared" si="18"/>
        <v>46905</v>
      </c>
      <c r="D155" s="739"/>
      <c r="E155" s="748">
        <v>661314</v>
      </c>
      <c r="F155" s="741">
        <v>725167</v>
      </c>
      <c r="G155" s="741">
        <v>71899</v>
      </c>
      <c r="H155" s="741">
        <v>5762</v>
      </c>
      <c r="I155" s="741">
        <v>356</v>
      </c>
      <c r="J155" s="741">
        <f t="shared" si="19"/>
        <v>1464498</v>
      </c>
      <c r="K155" s="741">
        <f t="shared" si="20"/>
        <v>111926</v>
      </c>
      <c r="L155" s="741">
        <f t="shared" si="21"/>
        <v>1576424</v>
      </c>
      <c r="M155" s="741">
        <v>1727</v>
      </c>
      <c r="N155" s="741">
        <f t="shared" si="22"/>
        <v>132</v>
      </c>
      <c r="O155" s="747">
        <f t="shared" si="23"/>
        <v>1578283</v>
      </c>
      <c r="Q155" s="748">
        <v>781368</v>
      </c>
      <c r="R155" s="741">
        <v>898681</v>
      </c>
      <c r="S155" s="741">
        <v>92773</v>
      </c>
      <c r="T155" s="741">
        <v>5762</v>
      </c>
      <c r="U155" s="741">
        <v>356</v>
      </c>
      <c r="V155" s="741">
        <f t="shared" si="24"/>
        <v>1778940</v>
      </c>
      <c r="W155" s="741">
        <f t="shared" si="25"/>
        <v>135958</v>
      </c>
      <c r="X155" s="741">
        <f t="shared" si="26"/>
        <v>1914898</v>
      </c>
      <c r="Y155" s="741">
        <v>1727</v>
      </c>
      <c r="Z155" s="741">
        <f t="shared" si="27"/>
        <v>132</v>
      </c>
      <c r="AA155" s="749">
        <f t="shared" si="28"/>
        <v>1916757</v>
      </c>
    </row>
    <row r="156" spans="1:27">
      <c r="A156" s="742">
        <f t="shared" si="29"/>
        <v>2028</v>
      </c>
      <c r="B156" s="742">
        <f t="shared" si="30"/>
        <v>7</v>
      </c>
      <c r="C156" s="746">
        <f t="shared" si="18"/>
        <v>46935</v>
      </c>
      <c r="D156" s="739"/>
      <c r="E156" s="748">
        <v>655266</v>
      </c>
      <c r="F156" s="741">
        <v>765723</v>
      </c>
      <c r="G156" s="741">
        <v>73915</v>
      </c>
      <c r="H156" s="741">
        <v>5537</v>
      </c>
      <c r="I156" s="741">
        <v>315</v>
      </c>
      <c r="J156" s="741">
        <f t="shared" si="19"/>
        <v>1500756</v>
      </c>
      <c r="K156" s="741">
        <f t="shared" si="20"/>
        <v>114697</v>
      </c>
      <c r="L156" s="741">
        <f t="shared" si="21"/>
        <v>1615453</v>
      </c>
      <c r="M156" s="741">
        <v>2779</v>
      </c>
      <c r="N156" s="741">
        <f t="shared" si="22"/>
        <v>212</v>
      </c>
      <c r="O156" s="747">
        <f t="shared" si="23"/>
        <v>1618444</v>
      </c>
      <c r="Q156" s="748">
        <v>784250</v>
      </c>
      <c r="R156" s="741">
        <v>949082</v>
      </c>
      <c r="S156" s="741">
        <v>95388</v>
      </c>
      <c r="T156" s="741">
        <v>5537</v>
      </c>
      <c r="U156" s="741">
        <v>315</v>
      </c>
      <c r="V156" s="741">
        <f t="shared" si="24"/>
        <v>1834572</v>
      </c>
      <c r="W156" s="741">
        <f t="shared" si="25"/>
        <v>140209</v>
      </c>
      <c r="X156" s="741">
        <f t="shared" si="26"/>
        <v>1974781</v>
      </c>
      <c r="Y156" s="741">
        <v>2779</v>
      </c>
      <c r="Z156" s="741">
        <f t="shared" si="27"/>
        <v>212</v>
      </c>
      <c r="AA156" s="749">
        <f t="shared" si="28"/>
        <v>1977772</v>
      </c>
    </row>
    <row r="157" spans="1:27">
      <c r="A157" s="742">
        <f t="shared" si="29"/>
        <v>2028</v>
      </c>
      <c r="B157" s="742">
        <f t="shared" si="30"/>
        <v>8</v>
      </c>
      <c r="C157" s="746">
        <f t="shared" si="18"/>
        <v>46966</v>
      </c>
      <c r="D157" s="739"/>
      <c r="E157" s="748">
        <v>638218</v>
      </c>
      <c r="F157" s="741">
        <v>789446</v>
      </c>
      <c r="G157" s="741">
        <v>76440</v>
      </c>
      <c r="H157" s="741">
        <v>5709</v>
      </c>
      <c r="I157" s="741">
        <v>285</v>
      </c>
      <c r="J157" s="741">
        <f t="shared" si="19"/>
        <v>1510098</v>
      </c>
      <c r="K157" s="741">
        <f t="shared" si="20"/>
        <v>115411</v>
      </c>
      <c r="L157" s="741">
        <f t="shared" si="21"/>
        <v>1625509</v>
      </c>
      <c r="M157" s="741">
        <v>1579</v>
      </c>
      <c r="N157" s="741">
        <f t="shared" si="22"/>
        <v>121</v>
      </c>
      <c r="O157" s="747">
        <f t="shared" si="23"/>
        <v>1627209</v>
      </c>
      <c r="Q157" s="748">
        <v>767473</v>
      </c>
      <c r="R157" s="741">
        <v>976500</v>
      </c>
      <c r="S157" s="741">
        <v>98555</v>
      </c>
      <c r="T157" s="741">
        <v>5709</v>
      </c>
      <c r="U157" s="741">
        <v>285</v>
      </c>
      <c r="V157" s="741">
        <f t="shared" si="24"/>
        <v>1848522</v>
      </c>
      <c r="W157" s="741">
        <f t="shared" si="25"/>
        <v>141276</v>
      </c>
      <c r="X157" s="741">
        <f t="shared" si="26"/>
        <v>1989798</v>
      </c>
      <c r="Y157" s="741">
        <v>1579</v>
      </c>
      <c r="Z157" s="741">
        <f t="shared" si="27"/>
        <v>121</v>
      </c>
      <c r="AA157" s="749">
        <f t="shared" si="28"/>
        <v>1991498</v>
      </c>
    </row>
    <row r="158" spans="1:27">
      <c r="A158" s="742">
        <f t="shared" si="29"/>
        <v>2028</v>
      </c>
      <c r="B158" s="742">
        <f t="shared" si="30"/>
        <v>9</v>
      </c>
      <c r="C158" s="746">
        <f t="shared" ref="C158:C221" si="31">DATE(A158,B158,1)</f>
        <v>46997</v>
      </c>
      <c r="D158" s="739"/>
      <c r="E158" s="748">
        <v>646212</v>
      </c>
      <c r="F158" s="741">
        <v>743078</v>
      </c>
      <c r="G158" s="741">
        <v>70109</v>
      </c>
      <c r="H158" s="741">
        <v>5563</v>
      </c>
      <c r="I158" s="741">
        <v>324</v>
      </c>
      <c r="J158" s="741">
        <f t="shared" ref="J158:J221" si="32">SUM(E158:I158)</f>
        <v>1465286</v>
      </c>
      <c r="K158" s="741">
        <f t="shared" ref="K158:K221" si="33">L158-J158</f>
        <v>111986</v>
      </c>
      <c r="L158" s="741">
        <f t="shared" ref="L158:L221" si="34">ROUND(J158/0.929, 0)</f>
        <v>1577272</v>
      </c>
      <c r="M158" s="741">
        <v>1377</v>
      </c>
      <c r="N158" s="741">
        <f t="shared" ref="N158:N221" si="35">ROUND(M158/0.929-M158, 0)</f>
        <v>105</v>
      </c>
      <c r="O158" s="747">
        <f t="shared" ref="O158:O221" si="36">SUM(L158:N158)</f>
        <v>1578754</v>
      </c>
      <c r="Q158" s="748">
        <v>772373</v>
      </c>
      <c r="R158" s="741">
        <v>921950</v>
      </c>
      <c r="S158" s="741">
        <v>90942</v>
      </c>
      <c r="T158" s="741">
        <v>5563</v>
      </c>
      <c r="U158" s="741">
        <v>324</v>
      </c>
      <c r="V158" s="741">
        <f t="shared" ref="V158:V221" si="37">SUM(Q158:U158)</f>
        <v>1791152</v>
      </c>
      <c r="W158" s="741">
        <f t="shared" ref="W158:W221" si="38">X158-V158</f>
        <v>136891</v>
      </c>
      <c r="X158" s="741">
        <f t="shared" ref="X158:X221" si="39">ROUND(V158/0.929, 0)</f>
        <v>1928043</v>
      </c>
      <c r="Y158" s="741">
        <v>1377</v>
      </c>
      <c r="Z158" s="741">
        <f t="shared" ref="Z158:Z221" si="40">N158</f>
        <v>105</v>
      </c>
      <c r="AA158" s="749">
        <f t="shared" ref="AA158:AA221" si="41">SUM(X158:Z158)</f>
        <v>1929525</v>
      </c>
    </row>
    <row r="159" spans="1:27">
      <c r="A159" s="742">
        <f t="shared" ref="A159:A222" si="42">IF(B159=1,A158+1,A158)</f>
        <v>2028</v>
      </c>
      <c r="B159" s="742">
        <f t="shared" ref="B159:B222" si="43">IF(B158=12,1,B158+1)</f>
        <v>10</v>
      </c>
      <c r="C159" s="746">
        <f t="shared" si="31"/>
        <v>47027</v>
      </c>
      <c r="D159" s="739"/>
      <c r="E159" s="748">
        <v>817455</v>
      </c>
      <c r="F159" s="741">
        <v>762834</v>
      </c>
      <c r="G159" s="741">
        <v>73064</v>
      </c>
      <c r="H159" s="741">
        <v>5844</v>
      </c>
      <c r="I159" s="741">
        <v>483</v>
      </c>
      <c r="J159" s="741">
        <f t="shared" si="32"/>
        <v>1659680</v>
      </c>
      <c r="K159" s="741">
        <f t="shared" si="33"/>
        <v>126843</v>
      </c>
      <c r="L159" s="741">
        <f t="shared" si="34"/>
        <v>1786523</v>
      </c>
      <c r="M159" s="741">
        <v>1767</v>
      </c>
      <c r="N159" s="741">
        <f t="shared" si="35"/>
        <v>135</v>
      </c>
      <c r="O159" s="747">
        <f t="shared" si="36"/>
        <v>1788425</v>
      </c>
      <c r="Q159" s="748">
        <v>962508</v>
      </c>
      <c r="R159" s="741">
        <v>947630</v>
      </c>
      <c r="S159" s="741">
        <v>94215</v>
      </c>
      <c r="T159" s="741">
        <v>5844</v>
      </c>
      <c r="U159" s="741">
        <v>483</v>
      </c>
      <c r="V159" s="741">
        <f t="shared" si="37"/>
        <v>2010680</v>
      </c>
      <c r="W159" s="741">
        <f t="shared" si="38"/>
        <v>153669</v>
      </c>
      <c r="X159" s="741">
        <f t="shared" si="39"/>
        <v>2164349</v>
      </c>
      <c r="Y159" s="741">
        <v>1767</v>
      </c>
      <c r="Z159" s="741">
        <f t="shared" si="40"/>
        <v>135</v>
      </c>
      <c r="AA159" s="749">
        <f t="shared" si="41"/>
        <v>2166251</v>
      </c>
    </row>
    <row r="160" spans="1:27">
      <c r="A160" s="742">
        <f t="shared" si="42"/>
        <v>2028</v>
      </c>
      <c r="B160" s="742">
        <f t="shared" si="43"/>
        <v>11</v>
      </c>
      <c r="C160" s="746">
        <f t="shared" si="31"/>
        <v>47058</v>
      </c>
      <c r="D160" s="739"/>
      <c r="E160" s="748">
        <v>1024608</v>
      </c>
      <c r="F160" s="741">
        <v>801695</v>
      </c>
      <c r="G160" s="741">
        <v>67126</v>
      </c>
      <c r="H160" s="741">
        <v>6278</v>
      </c>
      <c r="I160" s="741">
        <v>698</v>
      </c>
      <c r="J160" s="741">
        <f t="shared" si="32"/>
        <v>1900405</v>
      </c>
      <c r="K160" s="741">
        <f t="shared" si="33"/>
        <v>145241</v>
      </c>
      <c r="L160" s="741">
        <f t="shared" si="34"/>
        <v>2045646</v>
      </c>
      <c r="M160" s="741">
        <v>1763</v>
      </c>
      <c r="N160" s="741">
        <f t="shared" si="35"/>
        <v>135</v>
      </c>
      <c r="O160" s="747">
        <f t="shared" si="36"/>
        <v>2047544</v>
      </c>
      <c r="Q160" s="748">
        <v>1185435</v>
      </c>
      <c r="R160" s="741">
        <v>985749</v>
      </c>
      <c r="S160" s="741">
        <v>87426</v>
      </c>
      <c r="T160" s="741">
        <v>6278</v>
      </c>
      <c r="U160" s="741">
        <v>698</v>
      </c>
      <c r="V160" s="741">
        <f t="shared" si="37"/>
        <v>2265586</v>
      </c>
      <c r="W160" s="741">
        <f t="shared" si="38"/>
        <v>173150</v>
      </c>
      <c r="X160" s="741">
        <f t="shared" si="39"/>
        <v>2438736</v>
      </c>
      <c r="Y160" s="741">
        <v>1763</v>
      </c>
      <c r="Z160" s="741">
        <f t="shared" si="40"/>
        <v>135</v>
      </c>
      <c r="AA160" s="749">
        <f t="shared" si="41"/>
        <v>2440634</v>
      </c>
    </row>
    <row r="161" spans="1:27">
      <c r="A161" s="742">
        <f t="shared" si="42"/>
        <v>2028</v>
      </c>
      <c r="B161" s="742">
        <f t="shared" si="43"/>
        <v>12</v>
      </c>
      <c r="C161" s="746">
        <f t="shared" si="31"/>
        <v>47088</v>
      </c>
      <c r="D161" s="739"/>
      <c r="E161" s="748">
        <v>1309186</v>
      </c>
      <c r="F161" s="741">
        <v>881740</v>
      </c>
      <c r="G161" s="741">
        <v>66191</v>
      </c>
      <c r="H161" s="741">
        <v>6173</v>
      </c>
      <c r="I161" s="741">
        <v>1016</v>
      </c>
      <c r="J161" s="741">
        <f t="shared" si="32"/>
        <v>2264306</v>
      </c>
      <c r="K161" s="741">
        <f t="shared" si="33"/>
        <v>173052</v>
      </c>
      <c r="L161" s="741">
        <f t="shared" si="34"/>
        <v>2437358</v>
      </c>
      <c r="M161" s="741">
        <v>1649</v>
      </c>
      <c r="N161" s="741">
        <f t="shared" si="35"/>
        <v>126</v>
      </c>
      <c r="O161" s="747">
        <f t="shared" si="36"/>
        <v>2439133</v>
      </c>
      <c r="Q161" s="748">
        <v>1496146</v>
      </c>
      <c r="R161" s="741">
        <v>1078366</v>
      </c>
      <c r="S161" s="741">
        <v>87348</v>
      </c>
      <c r="T161" s="741">
        <v>6173</v>
      </c>
      <c r="U161" s="741">
        <v>1016</v>
      </c>
      <c r="V161" s="741">
        <f t="shared" si="37"/>
        <v>2669049</v>
      </c>
      <c r="W161" s="741">
        <f t="shared" si="38"/>
        <v>203985</v>
      </c>
      <c r="X161" s="741">
        <f t="shared" si="39"/>
        <v>2873034</v>
      </c>
      <c r="Y161" s="741">
        <v>1649</v>
      </c>
      <c r="Z161" s="741">
        <f t="shared" si="40"/>
        <v>126</v>
      </c>
      <c r="AA161" s="749">
        <f t="shared" si="41"/>
        <v>2874809</v>
      </c>
    </row>
    <row r="162" spans="1:27">
      <c r="A162" s="742">
        <f t="shared" si="42"/>
        <v>2029</v>
      </c>
      <c r="B162" s="742">
        <f t="shared" si="43"/>
        <v>1</v>
      </c>
      <c r="C162" s="746">
        <f t="shared" si="31"/>
        <v>47119</v>
      </c>
      <c r="D162" s="739"/>
      <c r="E162" s="748">
        <v>1273213</v>
      </c>
      <c r="F162" s="741">
        <v>865539</v>
      </c>
      <c r="G162" s="741">
        <v>77506</v>
      </c>
      <c r="H162" s="741">
        <v>6022</v>
      </c>
      <c r="I162" s="741">
        <v>883</v>
      </c>
      <c r="J162" s="741">
        <f t="shared" si="32"/>
        <v>2223163</v>
      </c>
      <c r="K162" s="741">
        <f t="shared" si="33"/>
        <v>169908</v>
      </c>
      <c r="L162" s="741">
        <f t="shared" si="34"/>
        <v>2393071</v>
      </c>
      <c r="M162" s="741">
        <v>2325</v>
      </c>
      <c r="N162" s="741">
        <f t="shared" si="35"/>
        <v>178</v>
      </c>
      <c r="O162" s="747">
        <f t="shared" si="36"/>
        <v>2395574</v>
      </c>
      <c r="Q162" s="748">
        <v>1450519</v>
      </c>
      <c r="R162" s="741">
        <v>1054517</v>
      </c>
      <c r="S162" s="741">
        <v>99778</v>
      </c>
      <c r="T162" s="741">
        <v>6022</v>
      </c>
      <c r="U162" s="741">
        <v>883</v>
      </c>
      <c r="V162" s="741">
        <f t="shared" si="37"/>
        <v>2611719</v>
      </c>
      <c r="W162" s="741">
        <f t="shared" si="38"/>
        <v>199604</v>
      </c>
      <c r="X162" s="741">
        <f t="shared" si="39"/>
        <v>2811323</v>
      </c>
      <c r="Y162" s="741">
        <v>2325</v>
      </c>
      <c r="Z162" s="741">
        <f t="shared" si="40"/>
        <v>178</v>
      </c>
      <c r="AA162" s="749">
        <f t="shared" si="41"/>
        <v>2813826</v>
      </c>
    </row>
    <row r="163" spans="1:27">
      <c r="A163" s="742">
        <f t="shared" si="42"/>
        <v>2029</v>
      </c>
      <c r="B163" s="742">
        <f t="shared" si="43"/>
        <v>2</v>
      </c>
      <c r="C163" s="746">
        <f t="shared" si="31"/>
        <v>47150</v>
      </c>
      <c r="D163" s="739"/>
      <c r="E163" s="748">
        <v>1062128</v>
      </c>
      <c r="F163" s="741">
        <v>776907</v>
      </c>
      <c r="G163" s="741">
        <v>65550</v>
      </c>
      <c r="H163" s="741">
        <v>5505</v>
      </c>
      <c r="I163" s="741">
        <v>817</v>
      </c>
      <c r="J163" s="741">
        <f t="shared" si="32"/>
        <v>1910907</v>
      </c>
      <c r="K163" s="741">
        <f t="shared" si="33"/>
        <v>146043</v>
      </c>
      <c r="L163" s="741">
        <f t="shared" si="34"/>
        <v>2056950</v>
      </c>
      <c r="M163" s="741">
        <v>2433</v>
      </c>
      <c r="N163" s="741">
        <f t="shared" si="35"/>
        <v>186</v>
      </c>
      <c r="O163" s="747">
        <f t="shared" si="36"/>
        <v>2059569</v>
      </c>
      <c r="Q163" s="748">
        <v>1210973</v>
      </c>
      <c r="R163" s="741">
        <v>945773</v>
      </c>
      <c r="S163" s="741">
        <v>84707</v>
      </c>
      <c r="T163" s="741">
        <v>5505</v>
      </c>
      <c r="U163" s="741">
        <v>817</v>
      </c>
      <c r="V163" s="741">
        <f t="shared" si="37"/>
        <v>2247775</v>
      </c>
      <c r="W163" s="741">
        <f t="shared" si="38"/>
        <v>171789</v>
      </c>
      <c r="X163" s="741">
        <f t="shared" si="39"/>
        <v>2419564</v>
      </c>
      <c r="Y163" s="741">
        <v>2433</v>
      </c>
      <c r="Z163" s="741">
        <f t="shared" si="40"/>
        <v>186</v>
      </c>
      <c r="AA163" s="749">
        <f t="shared" si="41"/>
        <v>2422183</v>
      </c>
    </row>
    <row r="164" spans="1:27">
      <c r="A164" s="742">
        <f t="shared" si="42"/>
        <v>2029</v>
      </c>
      <c r="B164" s="742">
        <f t="shared" si="43"/>
        <v>3</v>
      </c>
      <c r="C164" s="746">
        <f t="shared" si="31"/>
        <v>47178</v>
      </c>
      <c r="D164" s="739"/>
      <c r="E164" s="748">
        <v>1052095</v>
      </c>
      <c r="F164" s="741">
        <v>813816</v>
      </c>
      <c r="G164" s="741">
        <v>72841</v>
      </c>
      <c r="H164" s="741">
        <v>6019</v>
      </c>
      <c r="I164" s="741">
        <v>814</v>
      </c>
      <c r="J164" s="741">
        <f t="shared" si="32"/>
        <v>1945585</v>
      </c>
      <c r="K164" s="741">
        <f t="shared" si="33"/>
        <v>148694</v>
      </c>
      <c r="L164" s="741">
        <f t="shared" si="34"/>
        <v>2094279</v>
      </c>
      <c r="M164" s="741">
        <v>2339</v>
      </c>
      <c r="N164" s="741">
        <f t="shared" si="35"/>
        <v>179</v>
      </c>
      <c r="O164" s="747">
        <f t="shared" si="36"/>
        <v>2096797</v>
      </c>
      <c r="Q164" s="748">
        <v>1207807</v>
      </c>
      <c r="R164" s="741">
        <v>1002108</v>
      </c>
      <c r="S164" s="741">
        <v>95013</v>
      </c>
      <c r="T164" s="741">
        <v>6019</v>
      </c>
      <c r="U164" s="741">
        <v>814</v>
      </c>
      <c r="V164" s="741">
        <f t="shared" si="37"/>
        <v>2311761</v>
      </c>
      <c r="W164" s="741">
        <f t="shared" si="38"/>
        <v>176679</v>
      </c>
      <c r="X164" s="741">
        <f t="shared" si="39"/>
        <v>2488440</v>
      </c>
      <c r="Y164" s="741">
        <v>2339</v>
      </c>
      <c r="Z164" s="741">
        <f t="shared" si="40"/>
        <v>179</v>
      </c>
      <c r="AA164" s="749">
        <f t="shared" si="41"/>
        <v>2490958</v>
      </c>
    </row>
    <row r="165" spans="1:27">
      <c r="A165" s="742">
        <f t="shared" si="42"/>
        <v>2029</v>
      </c>
      <c r="B165" s="742">
        <f t="shared" si="43"/>
        <v>4</v>
      </c>
      <c r="C165" s="746">
        <f t="shared" si="31"/>
        <v>47209</v>
      </c>
      <c r="D165" s="739"/>
      <c r="E165" s="748">
        <v>858624</v>
      </c>
      <c r="F165" s="741">
        <v>743891</v>
      </c>
      <c r="G165" s="741">
        <v>66282</v>
      </c>
      <c r="H165" s="741">
        <v>5350</v>
      </c>
      <c r="I165" s="741">
        <v>592</v>
      </c>
      <c r="J165" s="741">
        <f t="shared" si="32"/>
        <v>1674739</v>
      </c>
      <c r="K165" s="741">
        <f t="shared" si="33"/>
        <v>127994</v>
      </c>
      <c r="L165" s="741">
        <f t="shared" si="34"/>
        <v>1802733</v>
      </c>
      <c r="M165" s="741">
        <v>2172</v>
      </c>
      <c r="N165" s="741">
        <f t="shared" si="35"/>
        <v>166</v>
      </c>
      <c r="O165" s="747">
        <f t="shared" si="36"/>
        <v>1805071</v>
      </c>
      <c r="Q165" s="748">
        <v>998760</v>
      </c>
      <c r="R165" s="741">
        <v>925130</v>
      </c>
      <c r="S165" s="741">
        <v>87211</v>
      </c>
      <c r="T165" s="741">
        <v>5350</v>
      </c>
      <c r="U165" s="741">
        <v>592</v>
      </c>
      <c r="V165" s="741">
        <f t="shared" si="37"/>
        <v>2017043</v>
      </c>
      <c r="W165" s="741">
        <f t="shared" si="38"/>
        <v>154155</v>
      </c>
      <c r="X165" s="741">
        <f t="shared" si="39"/>
        <v>2171198</v>
      </c>
      <c r="Y165" s="741">
        <v>2172</v>
      </c>
      <c r="Z165" s="741">
        <f t="shared" si="40"/>
        <v>166</v>
      </c>
      <c r="AA165" s="749">
        <f t="shared" si="41"/>
        <v>2173536</v>
      </c>
    </row>
    <row r="166" spans="1:27">
      <c r="A166" s="742">
        <f t="shared" si="42"/>
        <v>2029</v>
      </c>
      <c r="B166" s="742">
        <f t="shared" si="43"/>
        <v>5</v>
      </c>
      <c r="C166" s="746">
        <f t="shared" si="31"/>
        <v>47239</v>
      </c>
      <c r="D166" s="739"/>
      <c r="E166" s="748">
        <v>730425</v>
      </c>
      <c r="F166" s="741">
        <v>738507</v>
      </c>
      <c r="G166" s="741">
        <v>69146</v>
      </c>
      <c r="H166" s="741">
        <v>5660</v>
      </c>
      <c r="I166" s="741">
        <v>458</v>
      </c>
      <c r="J166" s="741">
        <f t="shared" si="32"/>
        <v>1544196</v>
      </c>
      <c r="K166" s="741">
        <f t="shared" si="33"/>
        <v>118017</v>
      </c>
      <c r="L166" s="741">
        <f t="shared" si="34"/>
        <v>1662213</v>
      </c>
      <c r="M166" s="741">
        <v>2174</v>
      </c>
      <c r="N166" s="741">
        <f t="shared" si="35"/>
        <v>166</v>
      </c>
      <c r="O166" s="747">
        <f t="shared" si="36"/>
        <v>1664553</v>
      </c>
      <c r="Q166" s="748">
        <v>859397</v>
      </c>
      <c r="R166" s="741">
        <v>918750</v>
      </c>
      <c r="S166" s="741">
        <v>91132</v>
      </c>
      <c r="T166" s="741">
        <v>5660</v>
      </c>
      <c r="U166" s="741">
        <v>458</v>
      </c>
      <c r="V166" s="741">
        <f t="shared" si="37"/>
        <v>1875397</v>
      </c>
      <c r="W166" s="741">
        <f t="shared" si="38"/>
        <v>143330</v>
      </c>
      <c r="X166" s="741">
        <f t="shared" si="39"/>
        <v>2018727</v>
      </c>
      <c r="Y166" s="741">
        <v>2174</v>
      </c>
      <c r="Z166" s="741">
        <f t="shared" si="40"/>
        <v>166</v>
      </c>
      <c r="AA166" s="749">
        <f t="shared" si="41"/>
        <v>2021067</v>
      </c>
    </row>
    <row r="167" spans="1:27">
      <c r="A167" s="742">
        <f t="shared" si="42"/>
        <v>2029</v>
      </c>
      <c r="B167" s="742">
        <f t="shared" si="43"/>
        <v>6</v>
      </c>
      <c r="C167" s="746">
        <f t="shared" si="31"/>
        <v>47270</v>
      </c>
      <c r="D167" s="739"/>
      <c r="E167" s="748">
        <v>665680</v>
      </c>
      <c r="F167" s="741">
        <v>733083</v>
      </c>
      <c r="G167" s="741">
        <v>69934</v>
      </c>
      <c r="H167" s="741">
        <v>5669</v>
      </c>
      <c r="I167" s="741">
        <v>356</v>
      </c>
      <c r="J167" s="741">
        <f t="shared" si="32"/>
        <v>1474722</v>
      </c>
      <c r="K167" s="741">
        <f t="shared" si="33"/>
        <v>112707</v>
      </c>
      <c r="L167" s="741">
        <f t="shared" si="34"/>
        <v>1587429</v>
      </c>
      <c r="M167" s="741">
        <v>1787</v>
      </c>
      <c r="N167" s="741">
        <f t="shared" si="35"/>
        <v>137</v>
      </c>
      <c r="O167" s="747">
        <f t="shared" si="36"/>
        <v>1589353</v>
      </c>
      <c r="Q167" s="748">
        <v>792007</v>
      </c>
      <c r="R167" s="741">
        <v>911700</v>
      </c>
      <c r="S167" s="741">
        <v>91960</v>
      </c>
      <c r="T167" s="741">
        <v>5669</v>
      </c>
      <c r="U167" s="741">
        <v>356</v>
      </c>
      <c r="V167" s="741">
        <f t="shared" si="37"/>
        <v>1801692</v>
      </c>
      <c r="W167" s="741">
        <f t="shared" si="38"/>
        <v>137697</v>
      </c>
      <c r="X167" s="741">
        <f t="shared" si="39"/>
        <v>1939389</v>
      </c>
      <c r="Y167" s="741">
        <v>1787</v>
      </c>
      <c r="Z167" s="741">
        <f t="shared" si="40"/>
        <v>137</v>
      </c>
      <c r="AA167" s="749">
        <f t="shared" si="41"/>
        <v>1941313</v>
      </c>
    </row>
    <row r="168" spans="1:27">
      <c r="A168" s="742">
        <f t="shared" si="42"/>
        <v>2029</v>
      </c>
      <c r="B168" s="742">
        <f t="shared" si="43"/>
        <v>7</v>
      </c>
      <c r="C168" s="746">
        <f t="shared" si="31"/>
        <v>47300</v>
      </c>
      <c r="D168" s="739"/>
      <c r="E168" s="748">
        <v>659014</v>
      </c>
      <c r="F168" s="741">
        <v>774085</v>
      </c>
      <c r="G168" s="741">
        <v>71946</v>
      </c>
      <c r="H168" s="741">
        <v>5449</v>
      </c>
      <c r="I168" s="741">
        <v>315</v>
      </c>
      <c r="J168" s="741">
        <f t="shared" si="32"/>
        <v>1510809</v>
      </c>
      <c r="K168" s="741">
        <f t="shared" si="33"/>
        <v>115465</v>
      </c>
      <c r="L168" s="741">
        <f t="shared" si="34"/>
        <v>1626274</v>
      </c>
      <c r="M168" s="741">
        <v>2889</v>
      </c>
      <c r="N168" s="741">
        <f t="shared" si="35"/>
        <v>221</v>
      </c>
      <c r="O168" s="747">
        <f t="shared" si="36"/>
        <v>1629384</v>
      </c>
      <c r="Q168" s="748">
        <v>794618</v>
      </c>
      <c r="R168" s="741">
        <v>962614</v>
      </c>
      <c r="S168" s="741">
        <v>94553</v>
      </c>
      <c r="T168" s="741">
        <v>5449</v>
      </c>
      <c r="U168" s="741">
        <v>315</v>
      </c>
      <c r="V168" s="741">
        <f t="shared" si="37"/>
        <v>1857549</v>
      </c>
      <c r="W168" s="741">
        <f t="shared" si="38"/>
        <v>141966</v>
      </c>
      <c r="X168" s="741">
        <f t="shared" si="39"/>
        <v>1999515</v>
      </c>
      <c r="Y168" s="741">
        <v>2889</v>
      </c>
      <c r="Z168" s="741">
        <f t="shared" si="40"/>
        <v>221</v>
      </c>
      <c r="AA168" s="749">
        <f t="shared" si="41"/>
        <v>2002625</v>
      </c>
    </row>
    <row r="169" spans="1:27">
      <c r="A169" s="742">
        <f t="shared" si="42"/>
        <v>2029</v>
      </c>
      <c r="B169" s="742">
        <f t="shared" si="43"/>
        <v>8</v>
      </c>
      <c r="C169" s="746">
        <f t="shared" si="31"/>
        <v>47331</v>
      </c>
      <c r="D169" s="739"/>
      <c r="E169" s="748">
        <v>641627</v>
      </c>
      <c r="F169" s="741">
        <v>798459</v>
      </c>
      <c r="G169" s="741">
        <v>74467</v>
      </c>
      <c r="H169" s="741">
        <v>5621</v>
      </c>
      <c r="I169" s="741">
        <v>285</v>
      </c>
      <c r="J169" s="741">
        <f t="shared" si="32"/>
        <v>1520459</v>
      </c>
      <c r="K169" s="741">
        <f t="shared" si="33"/>
        <v>116203</v>
      </c>
      <c r="L169" s="741">
        <f t="shared" si="34"/>
        <v>1636662</v>
      </c>
      <c r="M169" s="741">
        <v>1634</v>
      </c>
      <c r="N169" s="741">
        <f t="shared" si="35"/>
        <v>125</v>
      </c>
      <c r="O169" s="747">
        <f t="shared" si="36"/>
        <v>1638421</v>
      </c>
      <c r="Q169" s="748">
        <v>777354</v>
      </c>
      <c r="R169" s="741">
        <v>990598</v>
      </c>
      <c r="S169" s="741">
        <v>97690</v>
      </c>
      <c r="T169" s="741">
        <v>5621</v>
      </c>
      <c r="U169" s="741">
        <v>285</v>
      </c>
      <c r="V169" s="741">
        <f t="shared" si="37"/>
        <v>1871548</v>
      </c>
      <c r="W169" s="741">
        <f t="shared" si="38"/>
        <v>143035</v>
      </c>
      <c r="X169" s="741">
        <f t="shared" si="39"/>
        <v>2014583</v>
      </c>
      <c r="Y169" s="741">
        <v>1634</v>
      </c>
      <c r="Z169" s="741">
        <f t="shared" si="40"/>
        <v>125</v>
      </c>
      <c r="AA169" s="749">
        <f t="shared" si="41"/>
        <v>2016342</v>
      </c>
    </row>
    <row r="170" spans="1:27">
      <c r="A170" s="742">
        <f t="shared" si="42"/>
        <v>2029</v>
      </c>
      <c r="B170" s="742">
        <f t="shared" si="43"/>
        <v>9</v>
      </c>
      <c r="C170" s="746">
        <f t="shared" si="31"/>
        <v>47362</v>
      </c>
      <c r="D170" s="739"/>
      <c r="E170" s="748">
        <v>649814</v>
      </c>
      <c r="F170" s="741">
        <v>751776</v>
      </c>
      <c r="G170" s="741">
        <v>68322</v>
      </c>
      <c r="H170" s="741">
        <v>5481</v>
      </c>
      <c r="I170" s="741">
        <v>324</v>
      </c>
      <c r="J170" s="741">
        <f t="shared" si="32"/>
        <v>1475717</v>
      </c>
      <c r="K170" s="741">
        <f t="shared" si="33"/>
        <v>112784</v>
      </c>
      <c r="L170" s="741">
        <f t="shared" si="34"/>
        <v>1588501</v>
      </c>
      <c r="M170" s="741">
        <v>1428</v>
      </c>
      <c r="N170" s="741">
        <f t="shared" si="35"/>
        <v>109</v>
      </c>
      <c r="O170" s="747">
        <f t="shared" si="36"/>
        <v>1590038</v>
      </c>
      <c r="Q170" s="748">
        <v>782127</v>
      </c>
      <c r="R170" s="741">
        <v>935392</v>
      </c>
      <c r="S170" s="741">
        <v>90139</v>
      </c>
      <c r="T170" s="741">
        <v>5481</v>
      </c>
      <c r="U170" s="741">
        <v>324</v>
      </c>
      <c r="V170" s="741">
        <f t="shared" si="37"/>
        <v>1813463</v>
      </c>
      <c r="W170" s="741">
        <f t="shared" si="38"/>
        <v>138596</v>
      </c>
      <c r="X170" s="741">
        <f t="shared" si="39"/>
        <v>1952059</v>
      </c>
      <c r="Y170" s="741">
        <v>1428</v>
      </c>
      <c r="Z170" s="741">
        <f t="shared" si="40"/>
        <v>109</v>
      </c>
      <c r="AA170" s="749">
        <f t="shared" si="41"/>
        <v>1953596</v>
      </c>
    </row>
    <row r="171" spans="1:27">
      <c r="A171" s="742">
        <f t="shared" si="42"/>
        <v>2029</v>
      </c>
      <c r="B171" s="742">
        <f t="shared" si="43"/>
        <v>10</v>
      </c>
      <c r="C171" s="746">
        <f t="shared" si="31"/>
        <v>47392</v>
      </c>
      <c r="D171" s="739"/>
      <c r="E171" s="748">
        <v>822273</v>
      </c>
      <c r="F171" s="741">
        <v>771723</v>
      </c>
      <c r="G171" s="741">
        <v>71298</v>
      </c>
      <c r="H171" s="741">
        <v>5765</v>
      </c>
      <c r="I171" s="741">
        <v>483</v>
      </c>
      <c r="J171" s="741">
        <f t="shared" si="32"/>
        <v>1671542</v>
      </c>
      <c r="K171" s="741">
        <f t="shared" si="33"/>
        <v>127750</v>
      </c>
      <c r="L171" s="741">
        <f t="shared" si="34"/>
        <v>1799292</v>
      </c>
      <c r="M171" s="741">
        <v>1830</v>
      </c>
      <c r="N171" s="741">
        <f t="shared" si="35"/>
        <v>140</v>
      </c>
      <c r="O171" s="747">
        <f t="shared" si="36"/>
        <v>1801262</v>
      </c>
      <c r="Q171" s="748">
        <v>974404</v>
      </c>
      <c r="R171" s="741">
        <v>961360</v>
      </c>
      <c r="S171" s="741">
        <v>93390</v>
      </c>
      <c r="T171" s="741">
        <v>5765</v>
      </c>
      <c r="U171" s="741">
        <v>483</v>
      </c>
      <c r="V171" s="741">
        <f t="shared" si="37"/>
        <v>2035402</v>
      </c>
      <c r="W171" s="741">
        <f t="shared" si="38"/>
        <v>155558</v>
      </c>
      <c r="X171" s="741">
        <f t="shared" si="39"/>
        <v>2190960</v>
      </c>
      <c r="Y171" s="741">
        <v>1830</v>
      </c>
      <c r="Z171" s="741">
        <f t="shared" si="40"/>
        <v>140</v>
      </c>
      <c r="AA171" s="749">
        <f t="shared" si="41"/>
        <v>2192930</v>
      </c>
    </row>
    <row r="172" spans="1:27">
      <c r="A172" s="742">
        <f t="shared" si="42"/>
        <v>2029</v>
      </c>
      <c r="B172" s="742">
        <f t="shared" si="43"/>
        <v>11</v>
      </c>
      <c r="C172" s="746">
        <f t="shared" si="31"/>
        <v>47423</v>
      </c>
      <c r="D172" s="739"/>
      <c r="E172" s="748">
        <v>1031111</v>
      </c>
      <c r="F172" s="741">
        <v>811208</v>
      </c>
      <c r="G172" s="741">
        <v>65519</v>
      </c>
      <c r="H172" s="741">
        <v>6205</v>
      </c>
      <c r="I172" s="741">
        <v>698</v>
      </c>
      <c r="J172" s="741">
        <f t="shared" si="32"/>
        <v>1914741</v>
      </c>
      <c r="K172" s="741">
        <f t="shared" si="33"/>
        <v>146337</v>
      </c>
      <c r="L172" s="741">
        <f t="shared" si="34"/>
        <v>2061078</v>
      </c>
      <c r="M172" s="741">
        <v>1832</v>
      </c>
      <c r="N172" s="741">
        <f t="shared" si="35"/>
        <v>140</v>
      </c>
      <c r="O172" s="747">
        <f t="shared" si="36"/>
        <v>2063050</v>
      </c>
      <c r="Q172" s="748">
        <v>1199872</v>
      </c>
      <c r="R172" s="741">
        <v>1000054</v>
      </c>
      <c r="S172" s="741">
        <v>86664</v>
      </c>
      <c r="T172" s="741">
        <v>6205</v>
      </c>
      <c r="U172" s="741">
        <v>698</v>
      </c>
      <c r="V172" s="741">
        <f t="shared" si="37"/>
        <v>2293493</v>
      </c>
      <c r="W172" s="741">
        <f t="shared" si="38"/>
        <v>175283</v>
      </c>
      <c r="X172" s="741">
        <f t="shared" si="39"/>
        <v>2468776</v>
      </c>
      <c r="Y172" s="741">
        <v>1832</v>
      </c>
      <c r="Z172" s="741">
        <f t="shared" si="40"/>
        <v>140</v>
      </c>
      <c r="AA172" s="749">
        <f t="shared" si="41"/>
        <v>2470748</v>
      </c>
    </row>
    <row r="173" spans="1:27">
      <c r="A173" s="742">
        <f t="shared" si="42"/>
        <v>2029</v>
      </c>
      <c r="B173" s="742">
        <f t="shared" si="43"/>
        <v>12</v>
      </c>
      <c r="C173" s="746">
        <f t="shared" si="31"/>
        <v>47453</v>
      </c>
      <c r="D173" s="739"/>
      <c r="E173" s="748">
        <v>1318176</v>
      </c>
      <c r="F173" s="741">
        <v>892404</v>
      </c>
      <c r="G173" s="741">
        <v>64596</v>
      </c>
      <c r="H173" s="741">
        <v>6105</v>
      </c>
      <c r="I173" s="741">
        <v>1016</v>
      </c>
      <c r="J173" s="741">
        <f t="shared" si="32"/>
        <v>2282297</v>
      </c>
      <c r="K173" s="741">
        <f t="shared" si="33"/>
        <v>174427</v>
      </c>
      <c r="L173" s="741">
        <f t="shared" si="34"/>
        <v>2456724</v>
      </c>
      <c r="M173" s="741">
        <v>1718</v>
      </c>
      <c r="N173" s="741">
        <f t="shared" si="35"/>
        <v>131</v>
      </c>
      <c r="O173" s="747">
        <f t="shared" si="36"/>
        <v>2458573</v>
      </c>
      <c r="Q173" s="748">
        <v>1514274</v>
      </c>
      <c r="R173" s="741">
        <v>1094054</v>
      </c>
      <c r="S173" s="741">
        <v>86594</v>
      </c>
      <c r="T173" s="741">
        <v>6105</v>
      </c>
      <c r="U173" s="741">
        <v>1016</v>
      </c>
      <c r="V173" s="741">
        <f t="shared" si="37"/>
        <v>2702043</v>
      </c>
      <c r="W173" s="741">
        <f t="shared" si="38"/>
        <v>206507</v>
      </c>
      <c r="X173" s="741">
        <f t="shared" si="39"/>
        <v>2908550</v>
      </c>
      <c r="Y173" s="741">
        <v>1718</v>
      </c>
      <c r="Z173" s="741">
        <f t="shared" si="40"/>
        <v>131</v>
      </c>
      <c r="AA173" s="749">
        <f t="shared" si="41"/>
        <v>2910399</v>
      </c>
    </row>
    <row r="174" spans="1:27">
      <c r="A174" s="742">
        <f t="shared" si="42"/>
        <v>2030</v>
      </c>
      <c r="B174" s="742">
        <f t="shared" si="43"/>
        <v>1</v>
      </c>
      <c r="C174" s="746">
        <f t="shared" si="31"/>
        <v>47484</v>
      </c>
      <c r="D174" s="739"/>
      <c r="E174" s="748">
        <v>1282535</v>
      </c>
      <c r="F174" s="741">
        <v>876528</v>
      </c>
      <c r="G174" s="741">
        <v>75794</v>
      </c>
      <c r="H174" s="741">
        <v>5956</v>
      </c>
      <c r="I174" s="741">
        <v>883</v>
      </c>
      <c r="J174" s="741">
        <f t="shared" si="32"/>
        <v>2241696</v>
      </c>
      <c r="K174" s="741">
        <f t="shared" si="33"/>
        <v>171324</v>
      </c>
      <c r="L174" s="741">
        <f t="shared" si="34"/>
        <v>2413020</v>
      </c>
      <c r="M174" s="741">
        <v>2325</v>
      </c>
      <c r="N174" s="741">
        <f t="shared" si="35"/>
        <v>178</v>
      </c>
      <c r="O174" s="747">
        <f t="shared" si="36"/>
        <v>2415523</v>
      </c>
      <c r="Q174" s="748">
        <v>1468074</v>
      </c>
      <c r="R174" s="741">
        <v>1069786</v>
      </c>
      <c r="S174" s="741">
        <v>98945</v>
      </c>
      <c r="T174" s="741">
        <v>5956</v>
      </c>
      <c r="U174" s="741">
        <v>883</v>
      </c>
      <c r="V174" s="741">
        <f t="shared" si="37"/>
        <v>2643644</v>
      </c>
      <c r="W174" s="741">
        <f t="shared" si="38"/>
        <v>202044</v>
      </c>
      <c r="X174" s="741">
        <f t="shared" si="39"/>
        <v>2845688</v>
      </c>
      <c r="Y174" s="741">
        <v>2325</v>
      </c>
      <c r="Z174" s="741">
        <f t="shared" si="40"/>
        <v>178</v>
      </c>
      <c r="AA174" s="749">
        <f t="shared" si="41"/>
        <v>2848191</v>
      </c>
    </row>
    <row r="175" spans="1:27">
      <c r="A175" s="742">
        <f t="shared" si="42"/>
        <v>2030</v>
      </c>
      <c r="B175" s="742">
        <f t="shared" si="43"/>
        <v>2</v>
      </c>
      <c r="C175" s="746">
        <f t="shared" si="31"/>
        <v>47515</v>
      </c>
      <c r="D175" s="739"/>
      <c r="E175" s="748">
        <v>1070390</v>
      </c>
      <c r="F175" s="741">
        <v>787121</v>
      </c>
      <c r="G175" s="741">
        <v>64105</v>
      </c>
      <c r="H175" s="741">
        <v>5441</v>
      </c>
      <c r="I175" s="741">
        <v>817</v>
      </c>
      <c r="J175" s="741">
        <f t="shared" si="32"/>
        <v>1927874</v>
      </c>
      <c r="K175" s="741">
        <f t="shared" si="33"/>
        <v>147340</v>
      </c>
      <c r="L175" s="741">
        <f t="shared" si="34"/>
        <v>2075214</v>
      </c>
      <c r="M175" s="741">
        <v>2433</v>
      </c>
      <c r="N175" s="741">
        <f t="shared" si="35"/>
        <v>186</v>
      </c>
      <c r="O175" s="747">
        <f t="shared" si="36"/>
        <v>2077833</v>
      </c>
      <c r="Q175" s="748">
        <v>1225793</v>
      </c>
      <c r="R175" s="741">
        <v>959371</v>
      </c>
      <c r="S175" s="741">
        <v>84015</v>
      </c>
      <c r="T175" s="741">
        <v>5441</v>
      </c>
      <c r="U175" s="741">
        <v>817</v>
      </c>
      <c r="V175" s="741">
        <f t="shared" si="37"/>
        <v>2275437</v>
      </c>
      <c r="W175" s="741">
        <f t="shared" si="38"/>
        <v>173903</v>
      </c>
      <c r="X175" s="741">
        <f t="shared" si="39"/>
        <v>2449340</v>
      </c>
      <c r="Y175" s="741">
        <v>2433</v>
      </c>
      <c r="Z175" s="741">
        <f t="shared" si="40"/>
        <v>186</v>
      </c>
      <c r="AA175" s="749">
        <f t="shared" si="41"/>
        <v>2451959</v>
      </c>
    </row>
    <row r="176" spans="1:27">
      <c r="A176" s="742">
        <f t="shared" si="42"/>
        <v>2030</v>
      </c>
      <c r="B176" s="742">
        <f t="shared" si="43"/>
        <v>3</v>
      </c>
      <c r="C176" s="746">
        <f t="shared" si="31"/>
        <v>47543</v>
      </c>
      <c r="D176" s="739"/>
      <c r="E176" s="748">
        <v>1060238</v>
      </c>
      <c r="F176" s="741">
        <v>824056</v>
      </c>
      <c r="G176" s="741">
        <v>71226</v>
      </c>
      <c r="H176" s="741">
        <v>5943</v>
      </c>
      <c r="I176" s="741">
        <v>814</v>
      </c>
      <c r="J176" s="741">
        <f t="shared" si="32"/>
        <v>1962277</v>
      </c>
      <c r="K176" s="741">
        <f t="shared" si="33"/>
        <v>149970</v>
      </c>
      <c r="L176" s="741">
        <f t="shared" si="34"/>
        <v>2112247</v>
      </c>
      <c r="M176" s="741">
        <v>2339</v>
      </c>
      <c r="N176" s="741">
        <f t="shared" si="35"/>
        <v>179</v>
      </c>
      <c r="O176" s="747">
        <f t="shared" si="36"/>
        <v>2114765</v>
      </c>
      <c r="Q176" s="748">
        <v>1222843</v>
      </c>
      <c r="R176" s="741">
        <v>1016391</v>
      </c>
      <c r="S176" s="741">
        <v>94255</v>
      </c>
      <c r="T176" s="741">
        <v>5943</v>
      </c>
      <c r="U176" s="741">
        <v>814</v>
      </c>
      <c r="V176" s="741">
        <f t="shared" si="37"/>
        <v>2340246</v>
      </c>
      <c r="W176" s="741">
        <f t="shared" si="38"/>
        <v>178856</v>
      </c>
      <c r="X176" s="741">
        <f t="shared" si="39"/>
        <v>2519102</v>
      </c>
      <c r="Y176" s="741">
        <v>2339</v>
      </c>
      <c r="Z176" s="741">
        <f t="shared" si="40"/>
        <v>179</v>
      </c>
      <c r="AA176" s="749">
        <f t="shared" si="41"/>
        <v>2521620</v>
      </c>
    </row>
    <row r="177" spans="1:27">
      <c r="A177" s="742">
        <f t="shared" si="42"/>
        <v>2030</v>
      </c>
      <c r="B177" s="742">
        <f t="shared" si="43"/>
        <v>4</v>
      </c>
      <c r="C177" s="746">
        <f t="shared" si="31"/>
        <v>47574</v>
      </c>
      <c r="D177" s="739"/>
      <c r="E177" s="748">
        <v>865198</v>
      </c>
      <c r="F177" s="741">
        <v>752842</v>
      </c>
      <c r="G177" s="741">
        <v>64807</v>
      </c>
      <c r="H177" s="741">
        <v>5280</v>
      </c>
      <c r="I177" s="741">
        <v>592</v>
      </c>
      <c r="J177" s="741">
        <f t="shared" si="32"/>
        <v>1688719</v>
      </c>
      <c r="K177" s="741">
        <f t="shared" si="33"/>
        <v>129062</v>
      </c>
      <c r="L177" s="741">
        <f t="shared" si="34"/>
        <v>1817781</v>
      </c>
      <c r="M177" s="741">
        <v>2172</v>
      </c>
      <c r="N177" s="741">
        <f t="shared" si="35"/>
        <v>166</v>
      </c>
      <c r="O177" s="747">
        <f t="shared" si="36"/>
        <v>1820119</v>
      </c>
      <c r="Q177" s="748">
        <v>1011516</v>
      </c>
      <c r="R177" s="741">
        <v>938237</v>
      </c>
      <c r="S177" s="741">
        <v>86533</v>
      </c>
      <c r="T177" s="741">
        <v>5280</v>
      </c>
      <c r="U177" s="741">
        <v>592</v>
      </c>
      <c r="V177" s="741">
        <f t="shared" si="37"/>
        <v>2042158</v>
      </c>
      <c r="W177" s="741">
        <f t="shared" si="38"/>
        <v>156075</v>
      </c>
      <c r="X177" s="741">
        <f t="shared" si="39"/>
        <v>2198233</v>
      </c>
      <c r="Y177" s="741">
        <v>2172</v>
      </c>
      <c r="Z177" s="741">
        <f t="shared" si="40"/>
        <v>166</v>
      </c>
      <c r="AA177" s="749">
        <f t="shared" si="41"/>
        <v>2200571</v>
      </c>
    </row>
    <row r="178" spans="1:27">
      <c r="A178" s="742">
        <f t="shared" si="42"/>
        <v>2030</v>
      </c>
      <c r="B178" s="742">
        <f t="shared" si="43"/>
        <v>5</v>
      </c>
      <c r="C178" s="746">
        <f t="shared" si="31"/>
        <v>47604</v>
      </c>
      <c r="D178" s="739"/>
      <c r="E178" s="748">
        <v>736327</v>
      </c>
      <c r="F178" s="741">
        <v>747563</v>
      </c>
      <c r="G178" s="741">
        <v>67630</v>
      </c>
      <c r="H178" s="741">
        <v>5586</v>
      </c>
      <c r="I178" s="741">
        <v>458</v>
      </c>
      <c r="J178" s="741">
        <f t="shared" si="32"/>
        <v>1557564</v>
      </c>
      <c r="K178" s="741">
        <f t="shared" si="33"/>
        <v>119039</v>
      </c>
      <c r="L178" s="741">
        <f t="shared" si="34"/>
        <v>1676603</v>
      </c>
      <c r="M178" s="741">
        <v>2174</v>
      </c>
      <c r="N178" s="741">
        <f t="shared" si="35"/>
        <v>166</v>
      </c>
      <c r="O178" s="747">
        <f t="shared" si="36"/>
        <v>1678943</v>
      </c>
      <c r="Q178" s="748">
        <v>870767</v>
      </c>
      <c r="R178" s="741">
        <v>931798</v>
      </c>
      <c r="S178" s="741">
        <v>90444</v>
      </c>
      <c r="T178" s="741">
        <v>5586</v>
      </c>
      <c r="U178" s="741">
        <v>458</v>
      </c>
      <c r="V178" s="741">
        <f t="shared" si="37"/>
        <v>1899053</v>
      </c>
      <c r="W178" s="741">
        <f t="shared" si="38"/>
        <v>145138</v>
      </c>
      <c r="X178" s="741">
        <f t="shared" si="39"/>
        <v>2044191</v>
      </c>
      <c r="Y178" s="741">
        <v>2174</v>
      </c>
      <c r="Z178" s="741">
        <f t="shared" si="40"/>
        <v>166</v>
      </c>
      <c r="AA178" s="749">
        <f t="shared" si="41"/>
        <v>2046531</v>
      </c>
    </row>
    <row r="179" spans="1:27">
      <c r="A179" s="742">
        <f t="shared" si="42"/>
        <v>2030</v>
      </c>
      <c r="B179" s="742">
        <f t="shared" si="43"/>
        <v>6</v>
      </c>
      <c r="C179" s="746">
        <f t="shared" si="31"/>
        <v>47635</v>
      </c>
      <c r="D179" s="739"/>
      <c r="E179" s="748">
        <v>671251</v>
      </c>
      <c r="F179" s="741">
        <v>742081</v>
      </c>
      <c r="G179" s="741">
        <v>68433</v>
      </c>
      <c r="H179" s="741">
        <v>5595</v>
      </c>
      <c r="I179" s="741">
        <v>356</v>
      </c>
      <c r="J179" s="741">
        <f t="shared" si="32"/>
        <v>1487716</v>
      </c>
      <c r="K179" s="741">
        <f t="shared" si="33"/>
        <v>113701</v>
      </c>
      <c r="L179" s="741">
        <f t="shared" si="34"/>
        <v>1601417</v>
      </c>
      <c r="M179" s="741">
        <v>1787</v>
      </c>
      <c r="N179" s="741">
        <f t="shared" si="35"/>
        <v>137</v>
      </c>
      <c r="O179" s="747">
        <f t="shared" si="36"/>
        <v>1603341</v>
      </c>
      <c r="Q179" s="748">
        <v>802833</v>
      </c>
      <c r="R179" s="741">
        <v>924514</v>
      </c>
      <c r="S179" s="741">
        <v>91283</v>
      </c>
      <c r="T179" s="741">
        <v>5595</v>
      </c>
      <c r="U179" s="741">
        <v>356</v>
      </c>
      <c r="V179" s="741">
        <f t="shared" si="37"/>
        <v>1824581</v>
      </c>
      <c r="W179" s="741">
        <f t="shared" si="38"/>
        <v>139446</v>
      </c>
      <c r="X179" s="741">
        <f t="shared" si="39"/>
        <v>1964027</v>
      </c>
      <c r="Y179" s="741">
        <v>1787</v>
      </c>
      <c r="Z179" s="741">
        <f t="shared" si="40"/>
        <v>137</v>
      </c>
      <c r="AA179" s="749">
        <f t="shared" si="41"/>
        <v>1965951</v>
      </c>
    </row>
    <row r="180" spans="1:27">
      <c r="A180" s="742">
        <f t="shared" si="42"/>
        <v>2030</v>
      </c>
      <c r="B180" s="742">
        <f t="shared" si="43"/>
        <v>7</v>
      </c>
      <c r="C180" s="746">
        <f t="shared" si="31"/>
        <v>47665</v>
      </c>
      <c r="D180" s="739"/>
      <c r="E180" s="748">
        <v>664679</v>
      </c>
      <c r="F180" s="741">
        <v>783588</v>
      </c>
      <c r="G180" s="741">
        <v>70426</v>
      </c>
      <c r="H180" s="741">
        <v>5377</v>
      </c>
      <c r="I180" s="741">
        <v>315</v>
      </c>
      <c r="J180" s="741">
        <f t="shared" si="32"/>
        <v>1524385</v>
      </c>
      <c r="K180" s="741">
        <f t="shared" si="33"/>
        <v>116503</v>
      </c>
      <c r="L180" s="741">
        <f t="shared" si="34"/>
        <v>1640888</v>
      </c>
      <c r="M180" s="741">
        <v>2889</v>
      </c>
      <c r="N180" s="741">
        <f t="shared" si="35"/>
        <v>221</v>
      </c>
      <c r="O180" s="747">
        <f t="shared" si="36"/>
        <v>1643998</v>
      </c>
      <c r="Q180" s="748">
        <v>805891</v>
      </c>
      <c r="R180" s="741">
        <v>976032</v>
      </c>
      <c r="S180" s="741">
        <v>93871</v>
      </c>
      <c r="T180" s="741">
        <v>5377</v>
      </c>
      <c r="U180" s="741">
        <v>315</v>
      </c>
      <c r="V180" s="741">
        <f t="shared" si="37"/>
        <v>1881486</v>
      </c>
      <c r="W180" s="741">
        <f t="shared" si="38"/>
        <v>143795</v>
      </c>
      <c r="X180" s="741">
        <f t="shared" si="39"/>
        <v>2025281</v>
      </c>
      <c r="Y180" s="741">
        <v>2889</v>
      </c>
      <c r="Z180" s="741">
        <f t="shared" si="40"/>
        <v>221</v>
      </c>
      <c r="AA180" s="749">
        <f t="shared" si="41"/>
        <v>2028391</v>
      </c>
    </row>
    <row r="181" spans="1:27">
      <c r="A181" s="742">
        <f t="shared" si="42"/>
        <v>2030</v>
      </c>
      <c r="B181" s="742">
        <f t="shared" si="43"/>
        <v>8</v>
      </c>
      <c r="C181" s="746">
        <f t="shared" si="31"/>
        <v>47696</v>
      </c>
      <c r="D181" s="739"/>
      <c r="E181" s="748">
        <v>647550</v>
      </c>
      <c r="F181" s="741">
        <v>808688</v>
      </c>
      <c r="G181" s="741">
        <v>72919</v>
      </c>
      <c r="H181" s="741">
        <v>5546</v>
      </c>
      <c r="I181" s="741">
        <v>285</v>
      </c>
      <c r="J181" s="741">
        <f t="shared" si="32"/>
        <v>1534988</v>
      </c>
      <c r="K181" s="741">
        <f t="shared" si="33"/>
        <v>117313</v>
      </c>
      <c r="L181" s="741">
        <f t="shared" si="34"/>
        <v>1652301</v>
      </c>
      <c r="M181" s="741">
        <v>1634</v>
      </c>
      <c r="N181" s="741">
        <f t="shared" si="35"/>
        <v>125</v>
      </c>
      <c r="O181" s="747">
        <f t="shared" si="36"/>
        <v>1654060</v>
      </c>
      <c r="Q181" s="748">
        <v>788841</v>
      </c>
      <c r="R181" s="741">
        <v>1004765</v>
      </c>
      <c r="S181" s="741">
        <v>96996</v>
      </c>
      <c r="T181" s="741">
        <v>5546</v>
      </c>
      <c r="U181" s="741">
        <v>285</v>
      </c>
      <c r="V181" s="741">
        <f t="shared" si="37"/>
        <v>1896433</v>
      </c>
      <c r="W181" s="741">
        <f t="shared" si="38"/>
        <v>144937</v>
      </c>
      <c r="X181" s="741">
        <f t="shared" si="39"/>
        <v>2041370</v>
      </c>
      <c r="Y181" s="741">
        <v>1634</v>
      </c>
      <c r="Z181" s="741">
        <f t="shared" si="40"/>
        <v>125</v>
      </c>
      <c r="AA181" s="749">
        <f t="shared" si="41"/>
        <v>2043129</v>
      </c>
    </row>
    <row r="182" spans="1:27">
      <c r="A182" s="742">
        <f t="shared" si="42"/>
        <v>2030</v>
      </c>
      <c r="B182" s="742">
        <f t="shared" si="43"/>
        <v>9</v>
      </c>
      <c r="C182" s="746">
        <f t="shared" si="31"/>
        <v>47727</v>
      </c>
      <c r="D182" s="739"/>
      <c r="E182" s="748">
        <v>656341</v>
      </c>
      <c r="F182" s="741">
        <v>761670</v>
      </c>
      <c r="G182" s="741">
        <v>66892</v>
      </c>
      <c r="H182" s="741">
        <v>5407</v>
      </c>
      <c r="I182" s="741">
        <v>324</v>
      </c>
      <c r="J182" s="741">
        <f t="shared" si="32"/>
        <v>1490634</v>
      </c>
      <c r="K182" s="741">
        <f t="shared" si="33"/>
        <v>113924</v>
      </c>
      <c r="L182" s="741">
        <f t="shared" si="34"/>
        <v>1604558</v>
      </c>
      <c r="M182" s="741">
        <v>1428</v>
      </c>
      <c r="N182" s="741">
        <f t="shared" si="35"/>
        <v>109</v>
      </c>
      <c r="O182" s="747">
        <f t="shared" si="36"/>
        <v>1606095</v>
      </c>
      <c r="Q182" s="748">
        <v>794062</v>
      </c>
      <c r="R182" s="741">
        <v>949090</v>
      </c>
      <c r="S182" s="741">
        <v>89503</v>
      </c>
      <c r="T182" s="741">
        <v>5407</v>
      </c>
      <c r="U182" s="741">
        <v>324</v>
      </c>
      <c r="V182" s="741">
        <f t="shared" si="37"/>
        <v>1838386</v>
      </c>
      <c r="W182" s="741">
        <f t="shared" si="38"/>
        <v>140501</v>
      </c>
      <c r="X182" s="741">
        <f t="shared" si="39"/>
        <v>1978887</v>
      </c>
      <c r="Y182" s="741">
        <v>1428</v>
      </c>
      <c r="Z182" s="741">
        <f t="shared" si="40"/>
        <v>109</v>
      </c>
      <c r="AA182" s="749">
        <f t="shared" si="41"/>
        <v>1980424</v>
      </c>
    </row>
    <row r="183" spans="1:27">
      <c r="A183" s="742">
        <f t="shared" si="42"/>
        <v>2030</v>
      </c>
      <c r="B183" s="742">
        <f t="shared" si="43"/>
        <v>10</v>
      </c>
      <c r="C183" s="746">
        <f t="shared" si="31"/>
        <v>47757</v>
      </c>
      <c r="D183" s="739"/>
      <c r="E183" s="748">
        <v>830636</v>
      </c>
      <c r="F183" s="741">
        <v>781872</v>
      </c>
      <c r="G183" s="741">
        <v>69845</v>
      </c>
      <c r="H183" s="741">
        <v>5692</v>
      </c>
      <c r="I183" s="741">
        <v>483</v>
      </c>
      <c r="J183" s="741">
        <f t="shared" si="32"/>
        <v>1688528</v>
      </c>
      <c r="K183" s="741">
        <f t="shared" si="33"/>
        <v>129048</v>
      </c>
      <c r="L183" s="741">
        <f t="shared" si="34"/>
        <v>1817576</v>
      </c>
      <c r="M183" s="741">
        <v>1830</v>
      </c>
      <c r="N183" s="741">
        <f t="shared" si="35"/>
        <v>140</v>
      </c>
      <c r="O183" s="747">
        <f t="shared" si="36"/>
        <v>1819546</v>
      </c>
      <c r="Q183" s="748">
        <v>989162</v>
      </c>
      <c r="R183" s="741">
        <v>975564</v>
      </c>
      <c r="S183" s="741">
        <v>92737</v>
      </c>
      <c r="T183" s="741">
        <v>5692</v>
      </c>
      <c r="U183" s="741">
        <v>483</v>
      </c>
      <c r="V183" s="741">
        <f t="shared" si="37"/>
        <v>2063638</v>
      </c>
      <c r="W183" s="741">
        <f t="shared" si="38"/>
        <v>157716</v>
      </c>
      <c r="X183" s="741">
        <f t="shared" si="39"/>
        <v>2221354</v>
      </c>
      <c r="Y183" s="741">
        <v>1830</v>
      </c>
      <c r="Z183" s="741">
        <f t="shared" si="40"/>
        <v>140</v>
      </c>
      <c r="AA183" s="749">
        <f t="shared" si="41"/>
        <v>2223324</v>
      </c>
    </row>
    <row r="184" spans="1:27">
      <c r="A184" s="742">
        <f t="shared" si="42"/>
        <v>2030</v>
      </c>
      <c r="B184" s="742">
        <f t="shared" si="43"/>
        <v>11</v>
      </c>
      <c r="C184" s="746">
        <f t="shared" si="31"/>
        <v>47788</v>
      </c>
      <c r="D184" s="739"/>
      <c r="E184" s="748">
        <v>1041373</v>
      </c>
      <c r="F184" s="741">
        <v>821982</v>
      </c>
      <c r="G184" s="741">
        <v>64152</v>
      </c>
      <c r="H184" s="741">
        <v>6134</v>
      </c>
      <c r="I184" s="741">
        <v>698</v>
      </c>
      <c r="J184" s="741">
        <f t="shared" si="32"/>
        <v>1934339</v>
      </c>
      <c r="K184" s="741">
        <f t="shared" si="33"/>
        <v>147834</v>
      </c>
      <c r="L184" s="741">
        <f t="shared" si="34"/>
        <v>2082173</v>
      </c>
      <c r="M184" s="741">
        <v>1832</v>
      </c>
      <c r="N184" s="741">
        <f t="shared" si="35"/>
        <v>140</v>
      </c>
      <c r="O184" s="747">
        <f t="shared" si="36"/>
        <v>2084145</v>
      </c>
      <c r="Q184" s="748">
        <v>1217524</v>
      </c>
      <c r="R184" s="741">
        <v>1015023</v>
      </c>
      <c r="S184" s="741">
        <v>86059</v>
      </c>
      <c r="T184" s="741">
        <v>6134</v>
      </c>
      <c r="U184" s="741">
        <v>698</v>
      </c>
      <c r="V184" s="741">
        <f t="shared" si="37"/>
        <v>2325438</v>
      </c>
      <c r="W184" s="741">
        <f t="shared" si="38"/>
        <v>177725</v>
      </c>
      <c r="X184" s="741">
        <f t="shared" si="39"/>
        <v>2503163</v>
      </c>
      <c r="Y184" s="741">
        <v>1832</v>
      </c>
      <c r="Z184" s="741">
        <f t="shared" si="40"/>
        <v>140</v>
      </c>
      <c r="AA184" s="749">
        <f t="shared" si="41"/>
        <v>2505135</v>
      </c>
    </row>
    <row r="185" spans="1:27">
      <c r="A185" s="742">
        <f t="shared" si="42"/>
        <v>2030</v>
      </c>
      <c r="B185" s="742">
        <f t="shared" si="43"/>
        <v>12</v>
      </c>
      <c r="C185" s="746">
        <f t="shared" si="31"/>
        <v>47818</v>
      </c>
      <c r="D185" s="739"/>
      <c r="E185" s="748">
        <v>1331411</v>
      </c>
      <c r="F185" s="741">
        <v>904439</v>
      </c>
      <c r="G185" s="741">
        <v>63207</v>
      </c>
      <c r="H185" s="741">
        <v>6036</v>
      </c>
      <c r="I185" s="741">
        <v>1016</v>
      </c>
      <c r="J185" s="741">
        <f t="shared" si="32"/>
        <v>2306109</v>
      </c>
      <c r="K185" s="741">
        <f t="shared" si="33"/>
        <v>176247</v>
      </c>
      <c r="L185" s="741">
        <f t="shared" si="34"/>
        <v>2482356</v>
      </c>
      <c r="M185" s="741">
        <v>1718</v>
      </c>
      <c r="N185" s="741">
        <f t="shared" si="35"/>
        <v>131</v>
      </c>
      <c r="O185" s="747">
        <f t="shared" si="36"/>
        <v>2484205</v>
      </c>
      <c r="Q185" s="748">
        <v>1536200</v>
      </c>
      <c r="R185" s="741">
        <v>1110626</v>
      </c>
      <c r="S185" s="741">
        <v>85990</v>
      </c>
      <c r="T185" s="741">
        <v>6036</v>
      </c>
      <c r="U185" s="741">
        <v>1016</v>
      </c>
      <c r="V185" s="741">
        <f t="shared" si="37"/>
        <v>2739868</v>
      </c>
      <c r="W185" s="741">
        <f t="shared" si="38"/>
        <v>209398</v>
      </c>
      <c r="X185" s="741">
        <f t="shared" si="39"/>
        <v>2949266</v>
      </c>
      <c r="Y185" s="741">
        <v>1718</v>
      </c>
      <c r="Z185" s="741">
        <f t="shared" si="40"/>
        <v>131</v>
      </c>
      <c r="AA185" s="749">
        <f t="shared" si="41"/>
        <v>2951115</v>
      </c>
    </row>
    <row r="186" spans="1:27">
      <c r="A186" s="742">
        <f t="shared" si="42"/>
        <v>2031</v>
      </c>
      <c r="B186" s="742">
        <f t="shared" si="43"/>
        <v>1</v>
      </c>
      <c r="C186" s="746">
        <f t="shared" si="31"/>
        <v>47849</v>
      </c>
      <c r="D186" s="739"/>
      <c r="E186" s="748">
        <v>1295965</v>
      </c>
      <c r="F186" s="741">
        <v>888566</v>
      </c>
      <c r="G186" s="741">
        <v>74296</v>
      </c>
      <c r="H186" s="741">
        <v>5887</v>
      </c>
      <c r="I186" s="741">
        <v>883</v>
      </c>
      <c r="J186" s="741">
        <f t="shared" si="32"/>
        <v>2265597</v>
      </c>
      <c r="K186" s="741">
        <f t="shared" si="33"/>
        <v>173151</v>
      </c>
      <c r="L186" s="741">
        <f t="shared" si="34"/>
        <v>2438748</v>
      </c>
      <c r="M186" s="741">
        <v>2325</v>
      </c>
      <c r="N186" s="741">
        <f t="shared" si="35"/>
        <v>178</v>
      </c>
      <c r="O186" s="747">
        <f t="shared" si="36"/>
        <v>2441251</v>
      </c>
      <c r="Q186" s="748">
        <v>1489532</v>
      </c>
      <c r="R186" s="741">
        <v>1086101</v>
      </c>
      <c r="S186" s="741">
        <v>98254</v>
      </c>
      <c r="T186" s="741">
        <v>5887</v>
      </c>
      <c r="U186" s="741">
        <v>883</v>
      </c>
      <c r="V186" s="741">
        <f t="shared" si="37"/>
        <v>2680657</v>
      </c>
      <c r="W186" s="741">
        <f t="shared" si="38"/>
        <v>204873</v>
      </c>
      <c r="X186" s="741">
        <f t="shared" si="39"/>
        <v>2885530</v>
      </c>
      <c r="Y186" s="741">
        <v>2325</v>
      </c>
      <c r="Z186" s="741">
        <f t="shared" si="40"/>
        <v>178</v>
      </c>
      <c r="AA186" s="749">
        <f t="shared" si="41"/>
        <v>2888033</v>
      </c>
    </row>
    <row r="187" spans="1:27">
      <c r="A187" s="742">
        <f t="shared" si="42"/>
        <v>2031</v>
      </c>
      <c r="B187" s="742">
        <f t="shared" si="43"/>
        <v>2</v>
      </c>
      <c r="C187" s="746">
        <f t="shared" si="31"/>
        <v>47880</v>
      </c>
      <c r="D187" s="739"/>
      <c r="E187" s="748">
        <v>1082341</v>
      </c>
      <c r="F187" s="741">
        <v>798216</v>
      </c>
      <c r="G187" s="741">
        <v>62830</v>
      </c>
      <c r="H187" s="741">
        <v>5375</v>
      </c>
      <c r="I187" s="741">
        <v>817</v>
      </c>
      <c r="J187" s="741">
        <f t="shared" si="32"/>
        <v>1949579</v>
      </c>
      <c r="K187" s="741">
        <f t="shared" si="33"/>
        <v>148999</v>
      </c>
      <c r="L187" s="741">
        <f t="shared" si="34"/>
        <v>2098578</v>
      </c>
      <c r="M187" s="741">
        <v>2433</v>
      </c>
      <c r="N187" s="741">
        <f t="shared" si="35"/>
        <v>186</v>
      </c>
      <c r="O187" s="747">
        <f t="shared" si="36"/>
        <v>2101197</v>
      </c>
      <c r="Q187" s="748">
        <v>1244197</v>
      </c>
      <c r="R187" s="741">
        <v>974088</v>
      </c>
      <c r="S187" s="741">
        <v>83424</v>
      </c>
      <c r="T187" s="741">
        <v>5375</v>
      </c>
      <c r="U187" s="741">
        <v>817</v>
      </c>
      <c r="V187" s="741">
        <f t="shared" si="37"/>
        <v>2307901</v>
      </c>
      <c r="W187" s="741">
        <f t="shared" si="38"/>
        <v>176384</v>
      </c>
      <c r="X187" s="741">
        <f t="shared" si="39"/>
        <v>2484285</v>
      </c>
      <c r="Y187" s="741">
        <v>2433</v>
      </c>
      <c r="Z187" s="741">
        <f t="shared" si="40"/>
        <v>186</v>
      </c>
      <c r="AA187" s="749">
        <f t="shared" si="41"/>
        <v>2486904</v>
      </c>
    </row>
    <row r="188" spans="1:27">
      <c r="A188" s="742">
        <f t="shared" si="42"/>
        <v>2031</v>
      </c>
      <c r="B188" s="742">
        <f t="shared" si="43"/>
        <v>3</v>
      </c>
      <c r="C188" s="746">
        <f t="shared" si="31"/>
        <v>47908</v>
      </c>
      <c r="D188" s="739"/>
      <c r="E188" s="748">
        <v>1072688</v>
      </c>
      <c r="F188" s="741">
        <v>835891</v>
      </c>
      <c r="G188" s="741">
        <v>69771</v>
      </c>
      <c r="H188" s="741">
        <v>5864</v>
      </c>
      <c r="I188" s="741">
        <v>814</v>
      </c>
      <c r="J188" s="741">
        <f t="shared" si="32"/>
        <v>1985028</v>
      </c>
      <c r="K188" s="741">
        <f t="shared" si="33"/>
        <v>151708</v>
      </c>
      <c r="L188" s="741">
        <f t="shared" si="34"/>
        <v>2136736</v>
      </c>
      <c r="M188" s="741">
        <v>2339</v>
      </c>
      <c r="N188" s="741">
        <f t="shared" si="35"/>
        <v>179</v>
      </c>
      <c r="O188" s="747">
        <f t="shared" si="36"/>
        <v>2139254</v>
      </c>
      <c r="Q188" s="748">
        <v>1241842</v>
      </c>
      <c r="R188" s="741">
        <v>1032069</v>
      </c>
      <c r="S188" s="741">
        <v>93587</v>
      </c>
      <c r="T188" s="741">
        <v>5864</v>
      </c>
      <c r="U188" s="741">
        <v>814</v>
      </c>
      <c r="V188" s="741">
        <f t="shared" si="37"/>
        <v>2374176</v>
      </c>
      <c r="W188" s="741">
        <f t="shared" si="38"/>
        <v>181449</v>
      </c>
      <c r="X188" s="741">
        <f t="shared" si="39"/>
        <v>2555625</v>
      </c>
      <c r="Y188" s="741">
        <v>2339</v>
      </c>
      <c r="Z188" s="741">
        <f t="shared" si="40"/>
        <v>179</v>
      </c>
      <c r="AA188" s="749">
        <f t="shared" si="41"/>
        <v>2558143</v>
      </c>
    </row>
    <row r="189" spans="1:27">
      <c r="A189" s="742">
        <f t="shared" si="42"/>
        <v>2031</v>
      </c>
      <c r="B189" s="742">
        <f t="shared" si="43"/>
        <v>4</v>
      </c>
      <c r="C189" s="746">
        <f t="shared" si="31"/>
        <v>47939</v>
      </c>
      <c r="D189" s="739"/>
      <c r="E189" s="748">
        <v>875851</v>
      </c>
      <c r="F189" s="741">
        <v>763675</v>
      </c>
      <c r="G189" s="741">
        <v>63458</v>
      </c>
      <c r="H189" s="741">
        <v>5209</v>
      </c>
      <c r="I189" s="741">
        <v>592</v>
      </c>
      <c r="J189" s="741">
        <f t="shared" si="32"/>
        <v>1708785</v>
      </c>
      <c r="K189" s="741">
        <f t="shared" si="33"/>
        <v>130596</v>
      </c>
      <c r="L189" s="741">
        <f t="shared" si="34"/>
        <v>1839381</v>
      </c>
      <c r="M189" s="741">
        <v>2172</v>
      </c>
      <c r="N189" s="741">
        <f t="shared" si="35"/>
        <v>166</v>
      </c>
      <c r="O189" s="747">
        <f t="shared" si="36"/>
        <v>1841719</v>
      </c>
      <c r="Q189" s="748">
        <v>1027945</v>
      </c>
      <c r="R189" s="741">
        <v>952779</v>
      </c>
      <c r="S189" s="741">
        <v>85914</v>
      </c>
      <c r="T189" s="741">
        <v>5209</v>
      </c>
      <c r="U189" s="741">
        <v>592</v>
      </c>
      <c r="V189" s="741">
        <f t="shared" si="37"/>
        <v>2072439</v>
      </c>
      <c r="W189" s="741">
        <f t="shared" si="38"/>
        <v>158389</v>
      </c>
      <c r="X189" s="741">
        <f t="shared" si="39"/>
        <v>2230828</v>
      </c>
      <c r="Y189" s="741">
        <v>2172</v>
      </c>
      <c r="Z189" s="741">
        <f t="shared" si="40"/>
        <v>166</v>
      </c>
      <c r="AA189" s="749">
        <f t="shared" si="41"/>
        <v>2233166</v>
      </c>
    </row>
    <row r="190" spans="1:27">
      <c r="A190" s="742">
        <f t="shared" si="42"/>
        <v>2031</v>
      </c>
      <c r="B190" s="742">
        <f t="shared" si="43"/>
        <v>5</v>
      </c>
      <c r="C190" s="746">
        <f t="shared" si="31"/>
        <v>47969</v>
      </c>
      <c r="D190" s="739"/>
      <c r="E190" s="748">
        <v>745813</v>
      </c>
      <c r="F190" s="741">
        <v>758416</v>
      </c>
      <c r="G190" s="741">
        <v>66223</v>
      </c>
      <c r="H190" s="741">
        <v>5511</v>
      </c>
      <c r="I190" s="741">
        <v>458</v>
      </c>
      <c r="J190" s="741">
        <f t="shared" si="32"/>
        <v>1576421</v>
      </c>
      <c r="K190" s="741">
        <f t="shared" si="33"/>
        <v>120480</v>
      </c>
      <c r="L190" s="741">
        <f t="shared" si="34"/>
        <v>1696901</v>
      </c>
      <c r="M190" s="741">
        <v>2174</v>
      </c>
      <c r="N190" s="741">
        <f t="shared" si="35"/>
        <v>166</v>
      </c>
      <c r="O190" s="747">
        <f t="shared" si="36"/>
        <v>1699241</v>
      </c>
      <c r="Q190" s="748">
        <v>885441</v>
      </c>
      <c r="R190" s="741">
        <v>946308</v>
      </c>
      <c r="S190" s="741">
        <v>89792</v>
      </c>
      <c r="T190" s="741">
        <v>5511</v>
      </c>
      <c r="U190" s="741">
        <v>458</v>
      </c>
      <c r="V190" s="741">
        <f t="shared" si="37"/>
        <v>1927510</v>
      </c>
      <c r="W190" s="741">
        <f t="shared" si="38"/>
        <v>147312</v>
      </c>
      <c r="X190" s="741">
        <f t="shared" si="39"/>
        <v>2074822</v>
      </c>
      <c r="Y190" s="741">
        <v>2174</v>
      </c>
      <c r="Z190" s="741">
        <f t="shared" si="40"/>
        <v>166</v>
      </c>
      <c r="AA190" s="749">
        <f t="shared" si="41"/>
        <v>2077162</v>
      </c>
    </row>
    <row r="191" spans="1:27">
      <c r="A191" s="742">
        <f t="shared" si="42"/>
        <v>2031</v>
      </c>
      <c r="B191" s="742">
        <f t="shared" si="43"/>
        <v>6</v>
      </c>
      <c r="C191" s="746">
        <f t="shared" si="31"/>
        <v>48000</v>
      </c>
      <c r="D191" s="739"/>
      <c r="E191" s="748">
        <v>679991</v>
      </c>
      <c r="F191" s="741">
        <v>752808</v>
      </c>
      <c r="G191" s="741">
        <v>67028</v>
      </c>
      <c r="H191" s="741">
        <v>5521</v>
      </c>
      <c r="I191" s="741">
        <v>356</v>
      </c>
      <c r="J191" s="741">
        <f t="shared" si="32"/>
        <v>1505704</v>
      </c>
      <c r="K191" s="741">
        <f t="shared" si="33"/>
        <v>115075</v>
      </c>
      <c r="L191" s="741">
        <f t="shared" si="34"/>
        <v>1620779</v>
      </c>
      <c r="M191" s="741">
        <v>1787</v>
      </c>
      <c r="N191" s="741">
        <f t="shared" si="35"/>
        <v>137</v>
      </c>
      <c r="O191" s="747">
        <f t="shared" si="36"/>
        <v>1622703</v>
      </c>
      <c r="Q191" s="748">
        <v>816583</v>
      </c>
      <c r="R191" s="741">
        <v>938751</v>
      </c>
      <c r="S191" s="741">
        <v>90624</v>
      </c>
      <c r="T191" s="741">
        <v>5521</v>
      </c>
      <c r="U191" s="741">
        <v>356</v>
      </c>
      <c r="V191" s="741">
        <f t="shared" si="37"/>
        <v>1851835</v>
      </c>
      <c r="W191" s="741">
        <f t="shared" si="38"/>
        <v>141529</v>
      </c>
      <c r="X191" s="741">
        <f t="shared" si="39"/>
        <v>1993364</v>
      </c>
      <c r="Y191" s="741">
        <v>1787</v>
      </c>
      <c r="Z191" s="741">
        <f t="shared" si="40"/>
        <v>137</v>
      </c>
      <c r="AA191" s="749">
        <f t="shared" si="41"/>
        <v>1995288</v>
      </c>
    </row>
    <row r="192" spans="1:27">
      <c r="A192" s="742">
        <f t="shared" si="42"/>
        <v>2031</v>
      </c>
      <c r="B192" s="742">
        <f t="shared" si="43"/>
        <v>7</v>
      </c>
      <c r="C192" s="746">
        <f t="shared" si="31"/>
        <v>48030</v>
      </c>
      <c r="D192" s="739"/>
      <c r="E192" s="748">
        <v>673222</v>
      </c>
      <c r="F192" s="741">
        <v>794806</v>
      </c>
      <c r="G192" s="741">
        <v>68994</v>
      </c>
      <c r="H192" s="741">
        <v>5306</v>
      </c>
      <c r="I192" s="741">
        <v>315</v>
      </c>
      <c r="J192" s="741">
        <f t="shared" si="32"/>
        <v>1542643</v>
      </c>
      <c r="K192" s="741">
        <f t="shared" si="33"/>
        <v>117898</v>
      </c>
      <c r="L192" s="741">
        <f t="shared" si="34"/>
        <v>1660541</v>
      </c>
      <c r="M192" s="741">
        <v>2889</v>
      </c>
      <c r="N192" s="741">
        <f t="shared" si="35"/>
        <v>221</v>
      </c>
      <c r="O192" s="747">
        <f t="shared" si="36"/>
        <v>1663651</v>
      </c>
      <c r="Q192" s="748">
        <v>819806</v>
      </c>
      <c r="R192" s="741">
        <v>990868</v>
      </c>
      <c r="S192" s="741">
        <v>93191</v>
      </c>
      <c r="T192" s="741">
        <v>5306</v>
      </c>
      <c r="U192" s="741">
        <v>315</v>
      </c>
      <c r="V192" s="741">
        <f t="shared" si="37"/>
        <v>1909486</v>
      </c>
      <c r="W192" s="741">
        <f t="shared" si="38"/>
        <v>145935</v>
      </c>
      <c r="X192" s="741">
        <f t="shared" si="39"/>
        <v>2055421</v>
      </c>
      <c r="Y192" s="741">
        <v>2889</v>
      </c>
      <c r="Z192" s="741">
        <f t="shared" si="40"/>
        <v>221</v>
      </c>
      <c r="AA192" s="749">
        <f t="shared" si="41"/>
        <v>2058531</v>
      </c>
    </row>
    <row r="193" spans="1:27">
      <c r="A193" s="742">
        <f t="shared" si="42"/>
        <v>2031</v>
      </c>
      <c r="B193" s="742">
        <f t="shared" si="43"/>
        <v>8</v>
      </c>
      <c r="C193" s="746">
        <f t="shared" si="31"/>
        <v>48061</v>
      </c>
      <c r="D193" s="739"/>
      <c r="E193" s="748">
        <v>655827</v>
      </c>
      <c r="F193" s="741">
        <v>820526</v>
      </c>
      <c r="G193" s="741">
        <v>71459</v>
      </c>
      <c r="H193" s="741">
        <v>5474</v>
      </c>
      <c r="I193" s="741">
        <v>285</v>
      </c>
      <c r="J193" s="741">
        <f t="shared" si="32"/>
        <v>1553571</v>
      </c>
      <c r="K193" s="741">
        <f t="shared" si="33"/>
        <v>118734</v>
      </c>
      <c r="L193" s="741">
        <f t="shared" si="34"/>
        <v>1672305</v>
      </c>
      <c r="M193" s="741">
        <v>1634</v>
      </c>
      <c r="N193" s="741">
        <f t="shared" si="35"/>
        <v>125</v>
      </c>
      <c r="O193" s="747">
        <f t="shared" si="36"/>
        <v>1674064</v>
      </c>
      <c r="Q193" s="748">
        <v>802507</v>
      </c>
      <c r="R193" s="741">
        <v>1020266</v>
      </c>
      <c r="S193" s="741">
        <v>96292</v>
      </c>
      <c r="T193" s="741">
        <v>5474</v>
      </c>
      <c r="U193" s="741">
        <v>285</v>
      </c>
      <c r="V193" s="741">
        <f t="shared" si="37"/>
        <v>1924824</v>
      </c>
      <c r="W193" s="741">
        <f t="shared" si="38"/>
        <v>147107</v>
      </c>
      <c r="X193" s="741">
        <f t="shared" si="39"/>
        <v>2071931</v>
      </c>
      <c r="Y193" s="741">
        <v>1634</v>
      </c>
      <c r="Z193" s="741">
        <f t="shared" si="40"/>
        <v>125</v>
      </c>
      <c r="AA193" s="749">
        <f t="shared" si="41"/>
        <v>2073690</v>
      </c>
    </row>
    <row r="194" spans="1:27">
      <c r="A194" s="742">
        <f t="shared" si="42"/>
        <v>2031</v>
      </c>
      <c r="B194" s="742">
        <f t="shared" si="43"/>
        <v>9</v>
      </c>
      <c r="C194" s="746">
        <f t="shared" si="31"/>
        <v>48092</v>
      </c>
      <c r="D194" s="739"/>
      <c r="E194" s="748">
        <v>664689</v>
      </c>
      <c r="F194" s="741">
        <v>772957</v>
      </c>
      <c r="G194" s="741">
        <v>65547</v>
      </c>
      <c r="H194" s="741">
        <v>5337</v>
      </c>
      <c r="I194" s="741">
        <v>324</v>
      </c>
      <c r="J194" s="741">
        <f t="shared" si="32"/>
        <v>1508854</v>
      </c>
      <c r="K194" s="741">
        <f t="shared" si="33"/>
        <v>115316</v>
      </c>
      <c r="L194" s="741">
        <f t="shared" si="34"/>
        <v>1624170</v>
      </c>
      <c r="M194" s="741">
        <v>1428</v>
      </c>
      <c r="N194" s="741">
        <f t="shared" si="35"/>
        <v>109</v>
      </c>
      <c r="O194" s="747">
        <f t="shared" si="36"/>
        <v>1625707</v>
      </c>
      <c r="Q194" s="748">
        <v>807684</v>
      </c>
      <c r="R194" s="741">
        <v>963935</v>
      </c>
      <c r="S194" s="741">
        <v>88852</v>
      </c>
      <c r="T194" s="741">
        <v>5337</v>
      </c>
      <c r="U194" s="741">
        <v>324</v>
      </c>
      <c r="V194" s="741">
        <f t="shared" si="37"/>
        <v>1866132</v>
      </c>
      <c r="W194" s="741">
        <f t="shared" si="38"/>
        <v>142621</v>
      </c>
      <c r="X194" s="741">
        <f t="shared" si="39"/>
        <v>2008753</v>
      </c>
      <c r="Y194" s="741">
        <v>1428</v>
      </c>
      <c r="Z194" s="741">
        <f t="shared" si="40"/>
        <v>109</v>
      </c>
      <c r="AA194" s="749">
        <f t="shared" si="41"/>
        <v>2010290</v>
      </c>
    </row>
    <row r="195" spans="1:27">
      <c r="A195" s="742">
        <f t="shared" si="42"/>
        <v>2031</v>
      </c>
      <c r="B195" s="742">
        <f t="shared" si="43"/>
        <v>10</v>
      </c>
      <c r="C195" s="746">
        <f t="shared" si="31"/>
        <v>48122</v>
      </c>
      <c r="D195" s="739"/>
      <c r="E195" s="748">
        <v>840459</v>
      </c>
      <c r="F195" s="741">
        <v>793248</v>
      </c>
      <c r="G195" s="741">
        <v>68483</v>
      </c>
      <c r="H195" s="741">
        <v>5625</v>
      </c>
      <c r="I195" s="741">
        <v>483</v>
      </c>
      <c r="J195" s="741">
        <f t="shared" si="32"/>
        <v>1708298</v>
      </c>
      <c r="K195" s="741">
        <f t="shared" si="33"/>
        <v>130559</v>
      </c>
      <c r="L195" s="741">
        <f t="shared" si="34"/>
        <v>1838857</v>
      </c>
      <c r="M195" s="741">
        <v>1830</v>
      </c>
      <c r="N195" s="741">
        <f t="shared" si="35"/>
        <v>140</v>
      </c>
      <c r="O195" s="747">
        <f t="shared" si="36"/>
        <v>1840827</v>
      </c>
      <c r="Q195" s="748">
        <v>1005260</v>
      </c>
      <c r="R195" s="741">
        <v>990753</v>
      </c>
      <c r="S195" s="741">
        <v>92064</v>
      </c>
      <c r="T195" s="741">
        <v>5625</v>
      </c>
      <c r="U195" s="741">
        <v>483</v>
      </c>
      <c r="V195" s="741">
        <f t="shared" si="37"/>
        <v>2094185</v>
      </c>
      <c r="W195" s="741">
        <f t="shared" si="38"/>
        <v>160051</v>
      </c>
      <c r="X195" s="741">
        <f t="shared" si="39"/>
        <v>2254236</v>
      </c>
      <c r="Y195" s="741">
        <v>1830</v>
      </c>
      <c r="Z195" s="741">
        <f t="shared" si="40"/>
        <v>140</v>
      </c>
      <c r="AA195" s="749">
        <f t="shared" si="41"/>
        <v>2256206</v>
      </c>
    </row>
    <row r="196" spans="1:27">
      <c r="A196" s="742">
        <f t="shared" si="42"/>
        <v>2031</v>
      </c>
      <c r="B196" s="742">
        <f t="shared" si="43"/>
        <v>11</v>
      </c>
      <c r="C196" s="746">
        <f t="shared" si="31"/>
        <v>48153</v>
      </c>
      <c r="D196" s="739"/>
      <c r="E196" s="748">
        <v>1052625</v>
      </c>
      <c r="F196" s="741">
        <v>833732</v>
      </c>
      <c r="G196" s="741">
        <v>62879</v>
      </c>
      <c r="H196" s="741">
        <v>6069</v>
      </c>
      <c r="I196" s="741">
        <v>698</v>
      </c>
      <c r="J196" s="741">
        <f t="shared" si="32"/>
        <v>1956003</v>
      </c>
      <c r="K196" s="741">
        <f t="shared" si="33"/>
        <v>149490</v>
      </c>
      <c r="L196" s="741">
        <f t="shared" si="34"/>
        <v>2105493</v>
      </c>
      <c r="M196" s="741">
        <v>1832</v>
      </c>
      <c r="N196" s="741">
        <f t="shared" si="35"/>
        <v>140</v>
      </c>
      <c r="O196" s="747">
        <f t="shared" si="36"/>
        <v>2107465</v>
      </c>
      <c r="Q196" s="748">
        <v>1236085</v>
      </c>
      <c r="R196" s="741">
        <v>1030749</v>
      </c>
      <c r="S196" s="741">
        <v>85435</v>
      </c>
      <c r="T196" s="741">
        <v>6069</v>
      </c>
      <c r="U196" s="741">
        <v>698</v>
      </c>
      <c r="V196" s="741">
        <f t="shared" si="37"/>
        <v>2359036</v>
      </c>
      <c r="W196" s="741">
        <f t="shared" si="38"/>
        <v>180292</v>
      </c>
      <c r="X196" s="741">
        <f t="shared" si="39"/>
        <v>2539328</v>
      </c>
      <c r="Y196" s="741">
        <v>1832</v>
      </c>
      <c r="Z196" s="741">
        <f t="shared" si="40"/>
        <v>140</v>
      </c>
      <c r="AA196" s="749">
        <f t="shared" si="41"/>
        <v>2541300</v>
      </c>
    </row>
    <row r="197" spans="1:27">
      <c r="A197" s="742">
        <f t="shared" si="42"/>
        <v>2031</v>
      </c>
      <c r="B197" s="742">
        <f t="shared" si="43"/>
        <v>12</v>
      </c>
      <c r="C197" s="746">
        <f t="shared" si="31"/>
        <v>48183</v>
      </c>
      <c r="D197" s="739"/>
      <c r="E197" s="748">
        <v>1345328</v>
      </c>
      <c r="F197" s="741">
        <v>917272</v>
      </c>
      <c r="G197" s="741">
        <v>61922</v>
      </c>
      <c r="H197" s="741">
        <v>5974</v>
      </c>
      <c r="I197" s="741">
        <v>1016</v>
      </c>
      <c r="J197" s="741">
        <f t="shared" si="32"/>
        <v>2331512</v>
      </c>
      <c r="K197" s="741">
        <f t="shared" si="33"/>
        <v>178189</v>
      </c>
      <c r="L197" s="741">
        <f t="shared" si="34"/>
        <v>2509701</v>
      </c>
      <c r="M197" s="741">
        <v>1718</v>
      </c>
      <c r="N197" s="741">
        <f t="shared" si="35"/>
        <v>131</v>
      </c>
      <c r="O197" s="747">
        <f t="shared" si="36"/>
        <v>2511550</v>
      </c>
      <c r="Q197" s="748">
        <v>1558751</v>
      </c>
      <c r="R197" s="741">
        <v>1127787</v>
      </c>
      <c r="S197" s="741">
        <v>85368</v>
      </c>
      <c r="T197" s="741">
        <v>5974</v>
      </c>
      <c r="U197" s="741">
        <v>1016</v>
      </c>
      <c r="V197" s="741">
        <f t="shared" si="37"/>
        <v>2778896</v>
      </c>
      <c r="W197" s="741">
        <f t="shared" si="38"/>
        <v>212381</v>
      </c>
      <c r="X197" s="741">
        <f t="shared" si="39"/>
        <v>2991277</v>
      </c>
      <c r="Y197" s="741">
        <v>1718</v>
      </c>
      <c r="Z197" s="741">
        <f t="shared" si="40"/>
        <v>131</v>
      </c>
      <c r="AA197" s="749">
        <f t="shared" si="41"/>
        <v>2993126</v>
      </c>
    </row>
    <row r="198" spans="1:27">
      <c r="A198" s="742">
        <f t="shared" si="42"/>
        <v>2032</v>
      </c>
      <c r="B198" s="742">
        <f t="shared" si="43"/>
        <v>1</v>
      </c>
      <c r="C198" s="746">
        <f t="shared" si="31"/>
        <v>48214</v>
      </c>
      <c r="D198" s="739"/>
      <c r="E198" s="748">
        <v>1309683</v>
      </c>
      <c r="F198" s="741">
        <v>901123</v>
      </c>
      <c r="G198" s="741">
        <v>72904</v>
      </c>
      <c r="H198" s="741">
        <v>5825</v>
      </c>
      <c r="I198" s="741">
        <v>883</v>
      </c>
      <c r="J198" s="741">
        <f t="shared" si="32"/>
        <v>2290418</v>
      </c>
      <c r="K198" s="741">
        <f t="shared" si="33"/>
        <v>175048</v>
      </c>
      <c r="L198" s="741">
        <f t="shared" si="34"/>
        <v>2465466</v>
      </c>
      <c r="M198" s="741">
        <v>2325</v>
      </c>
      <c r="N198" s="741">
        <f t="shared" si="35"/>
        <v>178</v>
      </c>
      <c r="O198" s="747">
        <f t="shared" si="36"/>
        <v>2467969</v>
      </c>
      <c r="Q198" s="748">
        <v>1511348</v>
      </c>
      <c r="R198" s="741">
        <v>1102820</v>
      </c>
      <c r="S198" s="741">
        <v>97552</v>
      </c>
      <c r="T198" s="741">
        <v>5825</v>
      </c>
      <c r="U198" s="741">
        <v>883</v>
      </c>
      <c r="V198" s="741">
        <f t="shared" si="37"/>
        <v>2718428</v>
      </c>
      <c r="W198" s="741">
        <f t="shared" si="38"/>
        <v>207759</v>
      </c>
      <c r="X198" s="741">
        <f t="shared" si="39"/>
        <v>2926187</v>
      </c>
      <c r="Y198" s="741">
        <v>2325</v>
      </c>
      <c r="Z198" s="741">
        <f t="shared" si="40"/>
        <v>178</v>
      </c>
      <c r="AA198" s="749">
        <f t="shared" si="41"/>
        <v>2928690</v>
      </c>
    </row>
    <row r="199" spans="1:27">
      <c r="A199" s="742">
        <f t="shared" si="42"/>
        <v>2032</v>
      </c>
      <c r="B199" s="742">
        <f t="shared" si="43"/>
        <v>2</v>
      </c>
      <c r="C199" s="746">
        <f t="shared" si="31"/>
        <v>48245</v>
      </c>
      <c r="D199" s="739"/>
      <c r="E199" s="748">
        <v>1138902</v>
      </c>
      <c r="F199" s="741">
        <v>842235</v>
      </c>
      <c r="G199" s="741">
        <v>65755</v>
      </c>
      <c r="H199" s="741">
        <v>5471</v>
      </c>
      <c r="I199" s="741">
        <v>835</v>
      </c>
      <c r="J199" s="741">
        <f t="shared" si="32"/>
        <v>2053198</v>
      </c>
      <c r="K199" s="741">
        <f t="shared" si="33"/>
        <v>156918</v>
      </c>
      <c r="L199" s="741">
        <f t="shared" si="34"/>
        <v>2210116</v>
      </c>
      <c r="M199" s="741">
        <v>2520</v>
      </c>
      <c r="N199" s="741">
        <f t="shared" si="35"/>
        <v>193</v>
      </c>
      <c r="O199" s="747">
        <f t="shared" si="36"/>
        <v>2212829</v>
      </c>
      <c r="Q199" s="748">
        <v>1285904</v>
      </c>
      <c r="R199" s="741">
        <v>1006558</v>
      </c>
      <c r="S199" s="741">
        <v>85134</v>
      </c>
      <c r="T199" s="741">
        <v>5471</v>
      </c>
      <c r="U199" s="741">
        <v>835</v>
      </c>
      <c r="V199" s="741">
        <f t="shared" si="37"/>
        <v>2383902</v>
      </c>
      <c r="W199" s="741">
        <f t="shared" si="38"/>
        <v>182193</v>
      </c>
      <c r="X199" s="741">
        <f t="shared" si="39"/>
        <v>2566095</v>
      </c>
      <c r="Y199" s="741">
        <v>2520</v>
      </c>
      <c r="Z199" s="741">
        <f t="shared" si="40"/>
        <v>193</v>
      </c>
      <c r="AA199" s="749">
        <f t="shared" si="41"/>
        <v>2568808</v>
      </c>
    </row>
    <row r="200" spans="1:27">
      <c r="A200" s="742">
        <f t="shared" si="42"/>
        <v>2032</v>
      </c>
      <c r="B200" s="742">
        <f t="shared" si="43"/>
        <v>3</v>
      </c>
      <c r="C200" s="746">
        <f t="shared" si="31"/>
        <v>48274</v>
      </c>
      <c r="D200" s="739"/>
      <c r="E200" s="748">
        <v>1085092</v>
      </c>
      <c r="F200" s="741">
        <v>850638</v>
      </c>
      <c r="G200" s="741">
        <v>67412</v>
      </c>
      <c r="H200" s="741">
        <v>5830</v>
      </c>
      <c r="I200" s="741">
        <v>825</v>
      </c>
      <c r="J200" s="741">
        <f t="shared" si="32"/>
        <v>2009797</v>
      </c>
      <c r="K200" s="741">
        <f t="shared" si="33"/>
        <v>153601</v>
      </c>
      <c r="L200" s="741">
        <f t="shared" si="34"/>
        <v>2163398</v>
      </c>
      <c r="M200" s="741">
        <v>2339</v>
      </c>
      <c r="N200" s="741">
        <f t="shared" si="35"/>
        <v>179</v>
      </c>
      <c r="O200" s="747">
        <f t="shared" si="36"/>
        <v>2165916</v>
      </c>
      <c r="Q200" s="748">
        <v>1282543</v>
      </c>
      <c r="R200" s="741">
        <v>1066086</v>
      </c>
      <c r="S200" s="741">
        <v>93708</v>
      </c>
      <c r="T200" s="741">
        <v>5830</v>
      </c>
      <c r="U200" s="741">
        <v>825</v>
      </c>
      <c r="V200" s="741">
        <f t="shared" si="37"/>
        <v>2448992</v>
      </c>
      <c r="W200" s="741">
        <f t="shared" si="38"/>
        <v>187167</v>
      </c>
      <c r="X200" s="741">
        <f t="shared" si="39"/>
        <v>2636159</v>
      </c>
      <c r="Y200" s="741">
        <v>2339</v>
      </c>
      <c r="Z200" s="741">
        <f t="shared" si="40"/>
        <v>179</v>
      </c>
      <c r="AA200" s="749">
        <f t="shared" si="41"/>
        <v>2638677</v>
      </c>
    </row>
    <row r="201" spans="1:27">
      <c r="A201" s="742">
        <f t="shared" si="42"/>
        <v>2032</v>
      </c>
      <c r="B201" s="742">
        <f t="shared" si="43"/>
        <v>4</v>
      </c>
      <c r="C201" s="746">
        <f t="shared" si="31"/>
        <v>48305</v>
      </c>
      <c r="D201" s="739"/>
      <c r="E201" s="748">
        <v>886571</v>
      </c>
      <c r="F201" s="741">
        <v>774610</v>
      </c>
      <c r="G201" s="741">
        <v>62230</v>
      </c>
      <c r="H201" s="741">
        <v>5141</v>
      </c>
      <c r="I201" s="741">
        <v>592</v>
      </c>
      <c r="J201" s="741">
        <f t="shared" si="32"/>
        <v>1729144</v>
      </c>
      <c r="K201" s="741">
        <f t="shared" si="33"/>
        <v>132152</v>
      </c>
      <c r="L201" s="741">
        <f t="shared" si="34"/>
        <v>1861296</v>
      </c>
      <c r="M201" s="741">
        <v>2172</v>
      </c>
      <c r="N201" s="741">
        <f t="shared" si="35"/>
        <v>166</v>
      </c>
      <c r="O201" s="747">
        <f t="shared" si="36"/>
        <v>1863634</v>
      </c>
      <c r="Q201" s="748">
        <v>1044434</v>
      </c>
      <c r="R201" s="741">
        <v>967391</v>
      </c>
      <c r="S201" s="741">
        <v>85314</v>
      </c>
      <c r="T201" s="741">
        <v>5141</v>
      </c>
      <c r="U201" s="741">
        <v>592</v>
      </c>
      <c r="V201" s="741">
        <f t="shared" si="37"/>
        <v>2102872</v>
      </c>
      <c r="W201" s="741">
        <f t="shared" si="38"/>
        <v>160715</v>
      </c>
      <c r="X201" s="741">
        <f t="shared" si="39"/>
        <v>2263587</v>
      </c>
      <c r="Y201" s="741">
        <v>2172</v>
      </c>
      <c r="Z201" s="741">
        <f t="shared" si="40"/>
        <v>166</v>
      </c>
      <c r="AA201" s="749">
        <f t="shared" si="41"/>
        <v>2265925</v>
      </c>
    </row>
    <row r="202" spans="1:27">
      <c r="A202" s="742">
        <f t="shared" si="42"/>
        <v>2032</v>
      </c>
      <c r="B202" s="742">
        <f t="shared" si="43"/>
        <v>5</v>
      </c>
      <c r="C202" s="746">
        <f t="shared" si="31"/>
        <v>48335</v>
      </c>
      <c r="D202" s="739"/>
      <c r="E202" s="748">
        <v>755454</v>
      </c>
      <c r="F202" s="741">
        <v>769390</v>
      </c>
      <c r="G202" s="741">
        <v>64945</v>
      </c>
      <c r="H202" s="741">
        <v>5438</v>
      </c>
      <c r="I202" s="741">
        <v>458</v>
      </c>
      <c r="J202" s="741">
        <f t="shared" si="32"/>
        <v>1595685</v>
      </c>
      <c r="K202" s="741">
        <f t="shared" si="33"/>
        <v>121952</v>
      </c>
      <c r="L202" s="741">
        <f t="shared" si="34"/>
        <v>1717637</v>
      </c>
      <c r="M202" s="741">
        <v>2174</v>
      </c>
      <c r="N202" s="741">
        <f t="shared" si="35"/>
        <v>166</v>
      </c>
      <c r="O202" s="747">
        <f t="shared" si="36"/>
        <v>1719977</v>
      </c>
      <c r="Q202" s="748">
        <v>900179</v>
      </c>
      <c r="R202" s="741">
        <v>960810</v>
      </c>
      <c r="S202" s="741">
        <v>89171</v>
      </c>
      <c r="T202" s="741">
        <v>5438</v>
      </c>
      <c r="U202" s="741">
        <v>458</v>
      </c>
      <c r="V202" s="741">
        <f t="shared" si="37"/>
        <v>1956056</v>
      </c>
      <c r="W202" s="741">
        <f t="shared" si="38"/>
        <v>149494</v>
      </c>
      <c r="X202" s="741">
        <f t="shared" si="39"/>
        <v>2105550</v>
      </c>
      <c r="Y202" s="741">
        <v>2174</v>
      </c>
      <c r="Z202" s="741">
        <f t="shared" si="40"/>
        <v>166</v>
      </c>
      <c r="AA202" s="749">
        <f t="shared" si="41"/>
        <v>2107890</v>
      </c>
    </row>
    <row r="203" spans="1:27">
      <c r="A203" s="742">
        <f t="shared" si="42"/>
        <v>2032</v>
      </c>
      <c r="B203" s="742">
        <f t="shared" si="43"/>
        <v>6</v>
      </c>
      <c r="C203" s="746">
        <f t="shared" si="31"/>
        <v>48366</v>
      </c>
      <c r="D203" s="739"/>
      <c r="E203" s="748">
        <v>688944</v>
      </c>
      <c r="F203" s="741">
        <v>763574</v>
      </c>
      <c r="G203" s="741">
        <v>65749</v>
      </c>
      <c r="H203" s="741">
        <v>5447</v>
      </c>
      <c r="I203" s="741">
        <v>356</v>
      </c>
      <c r="J203" s="741">
        <f t="shared" si="32"/>
        <v>1524070</v>
      </c>
      <c r="K203" s="741">
        <f t="shared" si="33"/>
        <v>116479</v>
      </c>
      <c r="L203" s="741">
        <f t="shared" si="34"/>
        <v>1640549</v>
      </c>
      <c r="M203" s="741">
        <v>1787</v>
      </c>
      <c r="N203" s="741">
        <f t="shared" si="35"/>
        <v>137</v>
      </c>
      <c r="O203" s="747">
        <f t="shared" si="36"/>
        <v>1642473</v>
      </c>
      <c r="Q203" s="748">
        <v>830436</v>
      </c>
      <c r="R203" s="741">
        <v>952927</v>
      </c>
      <c r="S203" s="741">
        <v>90000</v>
      </c>
      <c r="T203" s="741">
        <v>5447</v>
      </c>
      <c r="U203" s="741">
        <v>356</v>
      </c>
      <c r="V203" s="741">
        <f t="shared" si="37"/>
        <v>1879166</v>
      </c>
      <c r="W203" s="741">
        <f t="shared" si="38"/>
        <v>143618</v>
      </c>
      <c r="X203" s="741">
        <f t="shared" si="39"/>
        <v>2022784</v>
      </c>
      <c r="Y203" s="741">
        <v>1787</v>
      </c>
      <c r="Z203" s="741">
        <f t="shared" si="40"/>
        <v>137</v>
      </c>
      <c r="AA203" s="749">
        <f t="shared" si="41"/>
        <v>2024708</v>
      </c>
    </row>
    <row r="204" spans="1:27">
      <c r="A204" s="742">
        <f t="shared" si="42"/>
        <v>2032</v>
      </c>
      <c r="B204" s="742">
        <f t="shared" si="43"/>
        <v>7</v>
      </c>
      <c r="C204" s="746">
        <f t="shared" si="31"/>
        <v>48396</v>
      </c>
      <c r="D204" s="739"/>
      <c r="E204" s="748">
        <v>682083</v>
      </c>
      <c r="F204" s="741">
        <v>806010</v>
      </c>
      <c r="G204" s="741">
        <v>67688</v>
      </c>
      <c r="H204" s="741">
        <v>5234</v>
      </c>
      <c r="I204" s="741">
        <v>315</v>
      </c>
      <c r="J204" s="741">
        <f t="shared" si="32"/>
        <v>1561330</v>
      </c>
      <c r="K204" s="741">
        <f t="shared" si="33"/>
        <v>119327</v>
      </c>
      <c r="L204" s="741">
        <f t="shared" si="34"/>
        <v>1680657</v>
      </c>
      <c r="M204" s="741">
        <v>2889</v>
      </c>
      <c r="N204" s="741">
        <f t="shared" si="35"/>
        <v>221</v>
      </c>
      <c r="O204" s="747">
        <f t="shared" si="36"/>
        <v>1683767</v>
      </c>
      <c r="Q204" s="748">
        <v>833888</v>
      </c>
      <c r="R204" s="741">
        <v>1005610</v>
      </c>
      <c r="S204" s="741">
        <v>92553</v>
      </c>
      <c r="T204" s="741">
        <v>5234</v>
      </c>
      <c r="U204" s="741">
        <v>315</v>
      </c>
      <c r="V204" s="741">
        <f t="shared" si="37"/>
        <v>1937600</v>
      </c>
      <c r="W204" s="741">
        <f t="shared" si="38"/>
        <v>148084</v>
      </c>
      <c r="X204" s="741">
        <f t="shared" si="39"/>
        <v>2085684</v>
      </c>
      <c r="Y204" s="741">
        <v>2889</v>
      </c>
      <c r="Z204" s="741">
        <f t="shared" si="40"/>
        <v>221</v>
      </c>
      <c r="AA204" s="749">
        <f t="shared" si="41"/>
        <v>2088794</v>
      </c>
    </row>
    <row r="205" spans="1:27">
      <c r="A205" s="742">
        <f t="shared" si="42"/>
        <v>2032</v>
      </c>
      <c r="B205" s="742">
        <f t="shared" si="43"/>
        <v>8</v>
      </c>
      <c r="C205" s="746">
        <f t="shared" si="31"/>
        <v>48427</v>
      </c>
      <c r="D205" s="739"/>
      <c r="E205" s="748">
        <v>664501</v>
      </c>
      <c r="F205" s="741">
        <v>832326</v>
      </c>
      <c r="G205" s="741">
        <v>70118</v>
      </c>
      <c r="H205" s="741">
        <v>5399</v>
      </c>
      <c r="I205" s="741">
        <v>285</v>
      </c>
      <c r="J205" s="741">
        <f t="shared" si="32"/>
        <v>1572629</v>
      </c>
      <c r="K205" s="741">
        <f t="shared" si="33"/>
        <v>120190</v>
      </c>
      <c r="L205" s="741">
        <f t="shared" si="34"/>
        <v>1692819</v>
      </c>
      <c r="M205" s="741">
        <v>1634</v>
      </c>
      <c r="N205" s="741">
        <f t="shared" si="35"/>
        <v>125</v>
      </c>
      <c r="O205" s="747">
        <f t="shared" si="36"/>
        <v>1694578</v>
      </c>
      <c r="Q205" s="748">
        <v>816402</v>
      </c>
      <c r="R205" s="741">
        <v>1035682</v>
      </c>
      <c r="S205" s="741">
        <v>95633</v>
      </c>
      <c r="T205" s="741">
        <v>5399</v>
      </c>
      <c r="U205" s="741">
        <v>285</v>
      </c>
      <c r="V205" s="741">
        <f t="shared" si="37"/>
        <v>1953401</v>
      </c>
      <c r="W205" s="741">
        <f t="shared" si="38"/>
        <v>149291</v>
      </c>
      <c r="X205" s="741">
        <f t="shared" si="39"/>
        <v>2102692</v>
      </c>
      <c r="Y205" s="741">
        <v>1634</v>
      </c>
      <c r="Z205" s="741">
        <f t="shared" si="40"/>
        <v>125</v>
      </c>
      <c r="AA205" s="749">
        <f t="shared" si="41"/>
        <v>2104451</v>
      </c>
    </row>
    <row r="206" spans="1:27">
      <c r="A206" s="742">
        <f t="shared" si="42"/>
        <v>2032</v>
      </c>
      <c r="B206" s="742">
        <f t="shared" si="43"/>
        <v>9</v>
      </c>
      <c r="C206" s="746">
        <f t="shared" si="31"/>
        <v>48458</v>
      </c>
      <c r="D206" s="739"/>
      <c r="E206" s="748">
        <v>673489</v>
      </c>
      <c r="F206" s="741">
        <v>784198</v>
      </c>
      <c r="G206" s="741">
        <v>64306</v>
      </c>
      <c r="H206" s="741">
        <v>5262</v>
      </c>
      <c r="I206" s="741">
        <v>324</v>
      </c>
      <c r="J206" s="741">
        <f t="shared" si="32"/>
        <v>1527579</v>
      </c>
      <c r="K206" s="741">
        <f t="shared" si="33"/>
        <v>116747</v>
      </c>
      <c r="L206" s="741">
        <f t="shared" si="34"/>
        <v>1644326</v>
      </c>
      <c r="M206" s="741">
        <v>1428</v>
      </c>
      <c r="N206" s="741">
        <f t="shared" si="35"/>
        <v>109</v>
      </c>
      <c r="O206" s="747">
        <f t="shared" si="36"/>
        <v>1645863</v>
      </c>
      <c r="Q206" s="748">
        <v>821577</v>
      </c>
      <c r="R206" s="741">
        <v>978712</v>
      </c>
      <c r="S206" s="741">
        <v>88243</v>
      </c>
      <c r="T206" s="741">
        <v>5262</v>
      </c>
      <c r="U206" s="741">
        <v>324</v>
      </c>
      <c r="V206" s="741">
        <f t="shared" si="37"/>
        <v>1894118</v>
      </c>
      <c r="W206" s="741">
        <f t="shared" si="38"/>
        <v>144760</v>
      </c>
      <c r="X206" s="741">
        <f t="shared" si="39"/>
        <v>2038878</v>
      </c>
      <c r="Y206" s="741">
        <v>1428</v>
      </c>
      <c r="Z206" s="741">
        <f t="shared" si="40"/>
        <v>109</v>
      </c>
      <c r="AA206" s="749">
        <f t="shared" si="41"/>
        <v>2040415</v>
      </c>
    </row>
    <row r="207" spans="1:27">
      <c r="A207" s="742">
        <f t="shared" si="42"/>
        <v>2032</v>
      </c>
      <c r="B207" s="742">
        <f t="shared" si="43"/>
        <v>10</v>
      </c>
      <c r="C207" s="746">
        <f t="shared" si="31"/>
        <v>48488</v>
      </c>
      <c r="D207" s="739"/>
      <c r="E207" s="748">
        <v>850836</v>
      </c>
      <c r="F207" s="741">
        <v>804586</v>
      </c>
      <c r="G207" s="741">
        <v>67214</v>
      </c>
      <c r="H207" s="741">
        <v>5550</v>
      </c>
      <c r="I207" s="741">
        <v>483</v>
      </c>
      <c r="J207" s="741">
        <f t="shared" si="32"/>
        <v>1728669</v>
      </c>
      <c r="K207" s="741">
        <f t="shared" si="33"/>
        <v>132116</v>
      </c>
      <c r="L207" s="741">
        <f t="shared" si="34"/>
        <v>1860785</v>
      </c>
      <c r="M207" s="741">
        <v>1830</v>
      </c>
      <c r="N207" s="741">
        <f t="shared" si="35"/>
        <v>140</v>
      </c>
      <c r="O207" s="747">
        <f t="shared" si="36"/>
        <v>1862755</v>
      </c>
      <c r="Q207" s="748">
        <v>1021671</v>
      </c>
      <c r="R207" s="741">
        <v>1005897</v>
      </c>
      <c r="S207" s="741">
        <v>91431</v>
      </c>
      <c r="T207" s="741">
        <v>5550</v>
      </c>
      <c r="U207" s="741">
        <v>483</v>
      </c>
      <c r="V207" s="741">
        <f t="shared" si="37"/>
        <v>2125032</v>
      </c>
      <c r="W207" s="741">
        <f t="shared" si="38"/>
        <v>162408</v>
      </c>
      <c r="X207" s="741">
        <f t="shared" si="39"/>
        <v>2287440</v>
      </c>
      <c r="Y207" s="741">
        <v>1830</v>
      </c>
      <c r="Z207" s="741">
        <f t="shared" si="40"/>
        <v>140</v>
      </c>
      <c r="AA207" s="749">
        <f t="shared" si="41"/>
        <v>2289410</v>
      </c>
    </row>
    <row r="208" spans="1:27">
      <c r="A208" s="742">
        <f t="shared" si="42"/>
        <v>2032</v>
      </c>
      <c r="B208" s="742">
        <f t="shared" si="43"/>
        <v>11</v>
      </c>
      <c r="C208" s="746">
        <f t="shared" si="31"/>
        <v>48519</v>
      </c>
      <c r="D208" s="739"/>
      <c r="E208" s="748">
        <v>1064495</v>
      </c>
      <c r="F208" s="741">
        <v>845445</v>
      </c>
      <c r="G208" s="741">
        <v>61680</v>
      </c>
      <c r="H208" s="741">
        <v>5995</v>
      </c>
      <c r="I208" s="741">
        <v>698</v>
      </c>
      <c r="J208" s="741">
        <f t="shared" si="32"/>
        <v>1978313</v>
      </c>
      <c r="K208" s="741">
        <f t="shared" si="33"/>
        <v>151195</v>
      </c>
      <c r="L208" s="741">
        <f t="shared" si="34"/>
        <v>2129508</v>
      </c>
      <c r="M208" s="741">
        <v>1832</v>
      </c>
      <c r="N208" s="741">
        <f t="shared" si="35"/>
        <v>140</v>
      </c>
      <c r="O208" s="747">
        <f t="shared" si="36"/>
        <v>2131480</v>
      </c>
      <c r="Q208" s="748">
        <v>1254943</v>
      </c>
      <c r="R208" s="741">
        <v>1046447</v>
      </c>
      <c r="S208" s="741">
        <v>84845</v>
      </c>
      <c r="T208" s="741">
        <v>5995</v>
      </c>
      <c r="U208" s="741">
        <v>698</v>
      </c>
      <c r="V208" s="741">
        <f t="shared" si="37"/>
        <v>2392928</v>
      </c>
      <c r="W208" s="741">
        <f t="shared" si="38"/>
        <v>182883</v>
      </c>
      <c r="X208" s="741">
        <f t="shared" si="39"/>
        <v>2575811</v>
      </c>
      <c r="Y208" s="741">
        <v>1832</v>
      </c>
      <c r="Z208" s="741">
        <f t="shared" si="40"/>
        <v>140</v>
      </c>
      <c r="AA208" s="749">
        <f t="shared" si="41"/>
        <v>2577783</v>
      </c>
    </row>
    <row r="209" spans="1:27">
      <c r="A209" s="742">
        <f t="shared" si="42"/>
        <v>2032</v>
      </c>
      <c r="B209" s="742">
        <f t="shared" si="43"/>
        <v>12</v>
      </c>
      <c r="C209" s="746">
        <f t="shared" si="31"/>
        <v>48549</v>
      </c>
      <c r="D209" s="739"/>
      <c r="E209" s="748">
        <v>1359932</v>
      </c>
      <c r="F209" s="741">
        <v>930021</v>
      </c>
      <c r="G209" s="741">
        <v>60700</v>
      </c>
      <c r="H209" s="741">
        <v>5901</v>
      </c>
      <c r="I209" s="741">
        <v>1016</v>
      </c>
      <c r="J209" s="741">
        <f t="shared" si="32"/>
        <v>2357570</v>
      </c>
      <c r="K209" s="741">
        <f t="shared" si="33"/>
        <v>180180</v>
      </c>
      <c r="L209" s="741">
        <f t="shared" si="34"/>
        <v>2537750</v>
      </c>
      <c r="M209" s="741">
        <v>1718</v>
      </c>
      <c r="N209" s="741">
        <f t="shared" si="35"/>
        <v>131</v>
      </c>
      <c r="O209" s="747">
        <f t="shared" si="36"/>
        <v>2539599</v>
      </c>
      <c r="Q209" s="748">
        <v>1581571</v>
      </c>
      <c r="R209" s="741">
        <v>1144895</v>
      </c>
      <c r="S209" s="741">
        <v>84775</v>
      </c>
      <c r="T209" s="741">
        <v>5901</v>
      </c>
      <c r="U209" s="741">
        <v>1016</v>
      </c>
      <c r="V209" s="741">
        <f t="shared" si="37"/>
        <v>2818158</v>
      </c>
      <c r="W209" s="741">
        <f t="shared" si="38"/>
        <v>215381</v>
      </c>
      <c r="X209" s="741">
        <f t="shared" si="39"/>
        <v>3033539</v>
      </c>
      <c r="Y209" s="741">
        <v>1718</v>
      </c>
      <c r="Z209" s="741">
        <f t="shared" si="40"/>
        <v>131</v>
      </c>
      <c r="AA209" s="749">
        <f t="shared" si="41"/>
        <v>3035388</v>
      </c>
    </row>
    <row r="210" spans="1:27">
      <c r="A210" s="742">
        <f t="shared" si="42"/>
        <v>2033</v>
      </c>
      <c r="B210" s="742">
        <f t="shared" si="43"/>
        <v>1</v>
      </c>
      <c r="C210" s="746">
        <f t="shared" si="31"/>
        <v>48580</v>
      </c>
      <c r="D210" s="739"/>
      <c r="E210" s="748">
        <v>1323636</v>
      </c>
      <c r="F210" s="741">
        <v>913147</v>
      </c>
      <c r="G210" s="741">
        <v>71566</v>
      </c>
      <c r="H210" s="741">
        <v>5751</v>
      </c>
      <c r="I210" s="741">
        <v>883</v>
      </c>
      <c r="J210" s="741">
        <f t="shared" si="32"/>
        <v>2314983</v>
      </c>
      <c r="K210" s="741">
        <f t="shared" si="33"/>
        <v>176926</v>
      </c>
      <c r="L210" s="741">
        <f t="shared" si="34"/>
        <v>2491909</v>
      </c>
      <c r="M210" s="741">
        <v>2325</v>
      </c>
      <c r="N210" s="741">
        <f t="shared" si="35"/>
        <v>178</v>
      </c>
      <c r="O210" s="747">
        <f t="shared" si="36"/>
        <v>2494412</v>
      </c>
      <c r="Q210" s="748">
        <v>1533330</v>
      </c>
      <c r="R210" s="741">
        <v>1119449</v>
      </c>
      <c r="S210" s="741">
        <v>96871</v>
      </c>
      <c r="T210" s="741">
        <v>5751</v>
      </c>
      <c r="U210" s="741">
        <v>883</v>
      </c>
      <c r="V210" s="741">
        <f t="shared" si="37"/>
        <v>2756284</v>
      </c>
      <c r="W210" s="741">
        <f t="shared" si="38"/>
        <v>210652</v>
      </c>
      <c r="X210" s="741">
        <f t="shared" si="39"/>
        <v>2966936</v>
      </c>
      <c r="Y210" s="741">
        <v>2325</v>
      </c>
      <c r="Z210" s="741">
        <f t="shared" si="40"/>
        <v>178</v>
      </c>
      <c r="AA210" s="749">
        <f t="shared" si="41"/>
        <v>2969439</v>
      </c>
    </row>
    <row r="211" spans="1:27">
      <c r="A211" s="742">
        <f t="shared" si="42"/>
        <v>2033</v>
      </c>
      <c r="B211" s="742">
        <f t="shared" si="43"/>
        <v>2</v>
      </c>
      <c r="C211" s="746">
        <f t="shared" si="31"/>
        <v>48611</v>
      </c>
      <c r="D211" s="739"/>
      <c r="E211" s="748">
        <v>1105900</v>
      </c>
      <c r="F211" s="741">
        <v>819781</v>
      </c>
      <c r="G211" s="741">
        <v>60505</v>
      </c>
      <c r="H211" s="741">
        <v>5245</v>
      </c>
      <c r="I211" s="741">
        <v>817</v>
      </c>
      <c r="J211" s="741">
        <f t="shared" si="32"/>
        <v>1992248</v>
      </c>
      <c r="K211" s="741">
        <f t="shared" si="33"/>
        <v>152260</v>
      </c>
      <c r="L211" s="741">
        <f t="shared" si="34"/>
        <v>2144508</v>
      </c>
      <c r="M211" s="741">
        <v>2433</v>
      </c>
      <c r="N211" s="741">
        <f t="shared" si="35"/>
        <v>186</v>
      </c>
      <c r="O211" s="747">
        <f t="shared" si="36"/>
        <v>2147127</v>
      </c>
      <c r="Q211" s="748">
        <v>1281370</v>
      </c>
      <c r="R211" s="741">
        <v>1003871</v>
      </c>
      <c r="S211" s="741">
        <v>82249</v>
      </c>
      <c r="T211" s="741">
        <v>5245</v>
      </c>
      <c r="U211" s="741">
        <v>817</v>
      </c>
      <c r="V211" s="741">
        <f t="shared" si="37"/>
        <v>2373552</v>
      </c>
      <c r="W211" s="741">
        <f t="shared" si="38"/>
        <v>181402</v>
      </c>
      <c r="X211" s="741">
        <f t="shared" si="39"/>
        <v>2554954</v>
      </c>
      <c r="Y211" s="741">
        <v>2433</v>
      </c>
      <c r="Z211" s="741">
        <f t="shared" si="40"/>
        <v>186</v>
      </c>
      <c r="AA211" s="749">
        <f t="shared" si="41"/>
        <v>2557573</v>
      </c>
    </row>
    <row r="212" spans="1:27">
      <c r="A212" s="742">
        <f t="shared" si="42"/>
        <v>2033</v>
      </c>
      <c r="B212" s="742">
        <f t="shared" si="43"/>
        <v>3</v>
      </c>
      <c r="C212" s="746">
        <f t="shared" si="31"/>
        <v>48639</v>
      </c>
      <c r="D212" s="739"/>
      <c r="E212" s="748">
        <v>1097091</v>
      </c>
      <c r="F212" s="741">
        <v>858643</v>
      </c>
      <c r="G212" s="741">
        <v>67140</v>
      </c>
      <c r="H212" s="741">
        <v>5708</v>
      </c>
      <c r="I212" s="741">
        <v>814</v>
      </c>
      <c r="J212" s="741">
        <f t="shared" si="32"/>
        <v>2029396</v>
      </c>
      <c r="K212" s="741">
        <f t="shared" si="33"/>
        <v>155099</v>
      </c>
      <c r="L212" s="741">
        <f t="shared" si="34"/>
        <v>2184495</v>
      </c>
      <c r="M212" s="741">
        <v>2339</v>
      </c>
      <c r="N212" s="741">
        <f t="shared" si="35"/>
        <v>179</v>
      </c>
      <c r="O212" s="747">
        <f t="shared" si="36"/>
        <v>2187013</v>
      </c>
      <c r="Q212" s="748">
        <v>1279866</v>
      </c>
      <c r="R212" s="741">
        <v>1063474</v>
      </c>
      <c r="S212" s="741">
        <v>92269</v>
      </c>
      <c r="T212" s="741">
        <v>5708</v>
      </c>
      <c r="U212" s="741">
        <v>814</v>
      </c>
      <c r="V212" s="741">
        <f t="shared" si="37"/>
        <v>2442131</v>
      </c>
      <c r="W212" s="741">
        <f t="shared" si="38"/>
        <v>186643</v>
      </c>
      <c r="X212" s="741">
        <f t="shared" si="39"/>
        <v>2628774</v>
      </c>
      <c r="Y212" s="741">
        <v>2339</v>
      </c>
      <c r="Z212" s="741">
        <f t="shared" si="40"/>
        <v>179</v>
      </c>
      <c r="AA212" s="749">
        <f t="shared" si="41"/>
        <v>2631292</v>
      </c>
    </row>
    <row r="213" spans="1:27">
      <c r="A213" s="742">
        <f t="shared" si="42"/>
        <v>2033</v>
      </c>
      <c r="B213" s="742">
        <f t="shared" si="43"/>
        <v>4</v>
      </c>
      <c r="C213" s="746">
        <f t="shared" si="31"/>
        <v>48670</v>
      </c>
      <c r="D213" s="739"/>
      <c r="E213" s="748">
        <v>897065</v>
      </c>
      <c r="F213" s="741">
        <v>784939</v>
      </c>
      <c r="G213" s="741">
        <v>61027</v>
      </c>
      <c r="H213" s="741">
        <v>5067</v>
      </c>
      <c r="I213" s="741">
        <v>592</v>
      </c>
      <c r="J213" s="741">
        <f t="shared" si="32"/>
        <v>1748690</v>
      </c>
      <c r="K213" s="741">
        <f t="shared" si="33"/>
        <v>133646</v>
      </c>
      <c r="L213" s="741">
        <f t="shared" si="34"/>
        <v>1882336</v>
      </c>
      <c r="M213" s="741">
        <v>2172</v>
      </c>
      <c r="N213" s="741">
        <f t="shared" si="35"/>
        <v>166</v>
      </c>
      <c r="O213" s="747">
        <f t="shared" si="36"/>
        <v>1884674</v>
      </c>
      <c r="Q213" s="748">
        <v>1060532</v>
      </c>
      <c r="R213" s="741">
        <v>981590</v>
      </c>
      <c r="S213" s="741">
        <v>84703</v>
      </c>
      <c r="T213" s="741">
        <v>5067</v>
      </c>
      <c r="U213" s="741">
        <v>592</v>
      </c>
      <c r="V213" s="741">
        <f t="shared" si="37"/>
        <v>2132484</v>
      </c>
      <c r="W213" s="741">
        <f t="shared" si="38"/>
        <v>162978</v>
      </c>
      <c r="X213" s="741">
        <f t="shared" si="39"/>
        <v>2295462</v>
      </c>
      <c r="Y213" s="741">
        <v>2172</v>
      </c>
      <c r="Z213" s="741">
        <f t="shared" si="40"/>
        <v>166</v>
      </c>
      <c r="AA213" s="749">
        <f t="shared" si="41"/>
        <v>2297800</v>
      </c>
    </row>
    <row r="214" spans="1:27">
      <c r="A214" s="742">
        <f t="shared" si="42"/>
        <v>2033</v>
      </c>
      <c r="B214" s="742">
        <f t="shared" si="43"/>
        <v>5</v>
      </c>
      <c r="C214" s="746">
        <f t="shared" si="31"/>
        <v>48700</v>
      </c>
      <c r="D214" s="739"/>
      <c r="E214" s="748">
        <v>764669</v>
      </c>
      <c r="F214" s="741">
        <v>779729</v>
      </c>
      <c r="G214" s="741">
        <v>63686</v>
      </c>
      <c r="H214" s="741">
        <v>5361</v>
      </c>
      <c r="I214" s="741">
        <v>458</v>
      </c>
      <c r="J214" s="741">
        <f t="shared" si="32"/>
        <v>1613903</v>
      </c>
      <c r="K214" s="741">
        <f t="shared" si="33"/>
        <v>123345</v>
      </c>
      <c r="L214" s="741">
        <f t="shared" si="34"/>
        <v>1737248</v>
      </c>
      <c r="M214" s="741">
        <v>2174</v>
      </c>
      <c r="N214" s="741">
        <f t="shared" si="35"/>
        <v>166</v>
      </c>
      <c r="O214" s="747">
        <f t="shared" si="36"/>
        <v>1739588</v>
      </c>
      <c r="Q214" s="748">
        <v>914304</v>
      </c>
      <c r="R214" s="741">
        <v>974806</v>
      </c>
      <c r="S214" s="741">
        <v>88529</v>
      </c>
      <c r="T214" s="741">
        <v>5361</v>
      </c>
      <c r="U214" s="741">
        <v>458</v>
      </c>
      <c r="V214" s="741">
        <f t="shared" si="37"/>
        <v>1983458</v>
      </c>
      <c r="W214" s="741">
        <f t="shared" si="38"/>
        <v>151588</v>
      </c>
      <c r="X214" s="741">
        <f t="shared" si="39"/>
        <v>2135046</v>
      </c>
      <c r="Y214" s="741">
        <v>2174</v>
      </c>
      <c r="Z214" s="741">
        <f t="shared" si="40"/>
        <v>166</v>
      </c>
      <c r="AA214" s="749">
        <f t="shared" si="41"/>
        <v>2137386</v>
      </c>
    </row>
    <row r="215" spans="1:27">
      <c r="A215" s="742">
        <f t="shared" si="42"/>
        <v>2033</v>
      </c>
      <c r="B215" s="742">
        <f t="shared" si="43"/>
        <v>6</v>
      </c>
      <c r="C215" s="746">
        <f t="shared" si="31"/>
        <v>48731</v>
      </c>
      <c r="D215" s="739"/>
      <c r="E215" s="748">
        <v>697258</v>
      </c>
      <c r="F215" s="741">
        <v>773621</v>
      </c>
      <c r="G215" s="741">
        <v>64488</v>
      </c>
      <c r="H215" s="741">
        <v>5371</v>
      </c>
      <c r="I215" s="741">
        <v>356</v>
      </c>
      <c r="J215" s="741">
        <f t="shared" si="32"/>
        <v>1541094</v>
      </c>
      <c r="K215" s="741">
        <f t="shared" si="33"/>
        <v>117780</v>
      </c>
      <c r="L215" s="741">
        <f t="shared" si="34"/>
        <v>1658874</v>
      </c>
      <c r="M215" s="741">
        <v>1787</v>
      </c>
      <c r="N215" s="741">
        <f t="shared" si="35"/>
        <v>137</v>
      </c>
      <c r="O215" s="747">
        <f t="shared" si="36"/>
        <v>1660798</v>
      </c>
      <c r="Q215" s="748">
        <v>843459</v>
      </c>
      <c r="R215" s="741">
        <v>966530</v>
      </c>
      <c r="S215" s="741">
        <v>89352</v>
      </c>
      <c r="T215" s="741">
        <v>5371</v>
      </c>
      <c r="U215" s="741">
        <v>356</v>
      </c>
      <c r="V215" s="741">
        <f t="shared" si="37"/>
        <v>1905068</v>
      </c>
      <c r="W215" s="741">
        <f t="shared" si="38"/>
        <v>145597</v>
      </c>
      <c r="X215" s="741">
        <f t="shared" si="39"/>
        <v>2050665</v>
      </c>
      <c r="Y215" s="741">
        <v>1787</v>
      </c>
      <c r="Z215" s="741">
        <f t="shared" si="40"/>
        <v>137</v>
      </c>
      <c r="AA215" s="749">
        <f t="shared" si="41"/>
        <v>2052589</v>
      </c>
    </row>
    <row r="216" spans="1:27">
      <c r="A216" s="742">
        <f t="shared" si="42"/>
        <v>2033</v>
      </c>
      <c r="B216" s="742">
        <f t="shared" si="43"/>
        <v>7</v>
      </c>
      <c r="C216" s="746">
        <f t="shared" si="31"/>
        <v>48761</v>
      </c>
      <c r="D216" s="739"/>
      <c r="E216" s="748">
        <v>690042</v>
      </c>
      <c r="F216" s="741">
        <v>816405</v>
      </c>
      <c r="G216" s="741">
        <v>66399</v>
      </c>
      <c r="H216" s="741">
        <v>5161</v>
      </c>
      <c r="I216" s="741">
        <v>315</v>
      </c>
      <c r="J216" s="741">
        <f t="shared" si="32"/>
        <v>1578322</v>
      </c>
      <c r="K216" s="741">
        <f t="shared" si="33"/>
        <v>120625</v>
      </c>
      <c r="L216" s="741">
        <f t="shared" si="34"/>
        <v>1698947</v>
      </c>
      <c r="M216" s="741">
        <v>2889</v>
      </c>
      <c r="N216" s="741">
        <f t="shared" si="35"/>
        <v>221</v>
      </c>
      <c r="O216" s="747">
        <f t="shared" si="36"/>
        <v>1702057</v>
      </c>
      <c r="Q216" s="748">
        <v>846872</v>
      </c>
      <c r="R216" s="741">
        <v>1019719</v>
      </c>
      <c r="S216" s="741">
        <v>91888</v>
      </c>
      <c r="T216" s="741">
        <v>5161</v>
      </c>
      <c r="U216" s="741">
        <v>315</v>
      </c>
      <c r="V216" s="741">
        <f t="shared" si="37"/>
        <v>1963955</v>
      </c>
      <c r="W216" s="741">
        <f t="shared" si="38"/>
        <v>150098</v>
      </c>
      <c r="X216" s="741">
        <f t="shared" si="39"/>
        <v>2114053</v>
      </c>
      <c r="Y216" s="741">
        <v>2889</v>
      </c>
      <c r="Z216" s="741">
        <f t="shared" si="40"/>
        <v>221</v>
      </c>
      <c r="AA216" s="749">
        <f t="shared" si="41"/>
        <v>2117163</v>
      </c>
    </row>
    <row r="217" spans="1:27">
      <c r="A217" s="742">
        <f t="shared" si="42"/>
        <v>2033</v>
      </c>
      <c r="B217" s="742">
        <f t="shared" si="43"/>
        <v>8</v>
      </c>
      <c r="C217" s="746">
        <f t="shared" si="31"/>
        <v>48792</v>
      </c>
      <c r="D217" s="739"/>
      <c r="E217" s="748">
        <v>672044</v>
      </c>
      <c r="F217" s="741">
        <v>843299</v>
      </c>
      <c r="G217" s="741">
        <v>68802</v>
      </c>
      <c r="H217" s="741">
        <v>5325</v>
      </c>
      <c r="I217" s="741">
        <v>285</v>
      </c>
      <c r="J217" s="741">
        <f t="shared" si="32"/>
        <v>1589755</v>
      </c>
      <c r="K217" s="741">
        <f t="shared" si="33"/>
        <v>121499</v>
      </c>
      <c r="L217" s="741">
        <f t="shared" si="34"/>
        <v>1711254</v>
      </c>
      <c r="M217" s="741">
        <v>1634</v>
      </c>
      <c r="N217" s="741">
        <f t="shared" si="35"/>
        <v>125</v>
      </c>
      <c r="O217" s="747">
        <f t="shared" si="36"/>
        <v>1713013</v>
      </c>
      <c r="Q217" s="748">
        <v>828985</v>
      </c>
      <c r="R217" s="741">
        <v>1050466</v>
      </c>
      <c r="S217" s="741">
        <v>94949</v>
      </c>
      <c r="T217" s="741">
        <v>5325</v>
      </c>
      <c r="U217" s="741">
        <v>285</v>
      </c>
      <c r="V217" s="741">
        <f t="shared" si="37"/>
        <v>1980010</v>
      </c>
      <c r="W217" s="741">
        <f t="shared" si="38"/>
        <v>151325</v>
      </c>
      <c r="X217" s="741">
        <f t="shared" si="39"/>
        <v>2131335</v>
      </c>
      <c r="Y217" s="741">
        <v>1634</v>
      </c>
      <c r="Z217" s="741">
        <f t="shared" si="40"/>
        <v>125</v>
      </c>
      <c r="AA217" s="749">
        <f t="shared" si="41"/>
        <v>2133094</v>
      </c>
    </row>
    <row r="218" spans="1:27">
      <c r="A218" s="742">
        <f t="shared" si="42"/>
        <v>2033</v>
      </c>
      <c r="B218" s="742">
        <f t="shared" si="43"/>
        <v>9</v>
      </c>
      <c r="C218" s="746">
        <f t="shared" si="31"/>
        <v>48823</v>
      </c>
      <c r="D218" s="739"/>
      <c r="E218" s="748">
        <v>680985</v>
      </c>
      <c r="F218" s="741">
        <v>794667</v>
      </c>
      <c r="G218" s="741">
        <v>63092</v>
      </c>
      <c r="H218" s="741">
        <v>5191</v>
      </c>
      <c r="I218" s="741">
        <v>324</v>
      </c>
      <c r="J218" s="741">
        <f t="shared" si="32"/>
        <v>1544259</v>
      </c>
      <c r="K218" s="741">
        <f t="shared" si="33"/>
        <v>118022</v>
      </c>
      <c r="L218" s="741">
        <f t="shared" si="34"/>
        <v>1662281</v>
      </c>
      <c r="M218" s="741">
        <v>1428</v>
      </c>
      <c r="N218" s="741">
        <f t="shared" si="35"/>
        <v>109</v>
      </c>
      <c r="O218" s="747">
        <f t="shared" si="36"/>
        <v>1663818</v>
      </c>
      <c r="Q218" s="748">
        <v>834011</v>
      </c>
      <c r="R218" s="741">
        <v>992923</v>
      </c>
      <c r="S218" s="741">
        <v>87615</v>
      </c>
      <c r="T218" s="741">
        <v>5191</v>
      </c>
      <c r="U218" s="741">
        <v>324</v>
      </c>
      <c r="V218" s="741">
        <f t="shared" si="37"/>
        <v>1920064</v>
      </c>
      <c r="W218" s="741">
        <f t="shared" si="38"/>
        <v>146743</v>
      </c>
      <c r="X218" s="741">
        <f t="shared" si="39"/>
        <v>2066807</v>
      </c>
      <c r="Y218" s="741">
        <v>1428</v>
      </c>
      <c r="Z218" s="741">
        <f t="shared" si="40"/>
        <v>109</v>
      </c>
      <c r="AA218" s="749">
        <f t="shared" si="41"/>
        <v>2068344</v>
      </c>
    </row>
    <row r="219" spans="1:27">
      <c r="A219" s="742">
        <f t="shared" si="42"/>
        <v>2033</v>
      </c>
      <c r="B219" s="742">
        <f t="shared" si="43"/>
        <v>10</v>
      </c>
      <c r="C219" s="746">
        <f t="shared" si="31"/>
        <v>48853</v>
      </c>
      <c r="D219" s="739"/>
      <c r="E219" s="748">
        <v>859688</v>
      </c>
      <c r="F219" s="741">
        <v>815170</v>
      </c>
      <c r="G219" s="741">
        <v>65979</v>
      </c>
      <c r="H219" s="741">
        <v>5481</v>
      </c>
      <c r="I219" s="741">
        <v>483</v>
      </c>
      <c r="J219" s="741">
        <f t="shared" si="32"/>
        <v>1746801</v>
      </c>
      <c r="K219" s="741">
        <f t="shared" si="33"/>
        <v>133501</v>
      </c>
      <c r="L219" s="741">
        <f t="shared" si="34"/>
        <v>1880302</v>
      </c>
      <c r="M219" s="741">
        <v>1830</v>
      </c>
      <c r="N219" s="741">
        <f t="shared" si="35"/>
        <v>140</v>
      </c>
      <c r="O219" s="747">
        <f t="shared" si="36"/>
        <v>1882272</v>
      </c>
      <c r="Q219" s="748">
        <v>1036398</v>
      </c>
      <c r="R219" s="741">
        <v>1020526</v>
      </c>
      <c r="S219" s="741">
        <v>90787</v>
      </c>
      <c r="T219" s="741">
        <v>5481</v>
      </c>
      <c r="U219" s="741">
        <v>483</v>
      </c>
      <c r="V219" s="741">
        <f t="shared" si="37"/>
        <v>2153675</v>
      </c>
      <c r="W219" s="741">
        <f t="shared" si="38"/>
        <v>164597</v>
      </c>
      <c r="X219" s="741">
        <f t="shared" si="39"/>
        <v>2318272</v>
      </c>
      <c r="Y219" s="741">
        <v>1830</v>
      </c>
      <c r="Z219" s="741">
        <f t="shared" si="40"/>
        <v>140</v>
      </c>
      <c r="AA219" s="749">
        <f t="shared" si="41"/>
        <v>2320242</v>
      </c>
    </row>
    <row r="220" spans="1:27">
      <c r="A220" s="742">
        <f t="shared" si="42"/>
        <v>2033</v>
      </c>
      <c r="B220" s="742">
        <f t="shared" si="43"/>
        <v>11</v>
      </c>
      <c r="C220" s="746">
        <f t="shared" si="31"/>
        <v>48884</v>
      </c>
      <c r="D220" s="739"/>
      <c r="E220" s="748">
        <v>1074843</v>
      </c>
      <c r="F220" s="741">
        <v>856517</v>
      </c>
      <c r="G220" s="741">
        <v>60526</v>
      </c>
      <c r="H220" s="741">
        <v>5929</v>
      </c>
      <c r="I220" s="741">
        <v>698</v>
      </c>
      <c r="J220" s="741">
        <f t="shared" si="32"/>
        <v>1998513</v>
      </c>
      <c r="K220" s="741">
        <f t="shared" si="33"/>
        <v>152739</v>
      </c>
      <c r="L220" s="741">
        <f t="shared" si="34"/>
        <v>2151252</v>
      </c>
      <c r="M220" s="741">
        <v>1832</v>
      </c>
      <c r="N220" s="741">
        <f t="shared" si="35"/>
        <v>140</v>
      </c>
      <c r="O220" s="747">
        <f t="shared" si="36"/>
        <v>2153224</v>
      </c>
      <c r="Q220" s="748">
        <v>1272076</v>
      </c>
      <c r="R220" s="741">
        <v>1061773</v>
      </c>
      <c r="S220" s="741">
        <v>84254</v>
      </c>
      <c r="T220" s="741">
        <v>5929</v>
      </c>
      <c r="U220" s="741">
        <v>698</v>
      </c>
      <c r="V220" s="741">
        <f t="shared" si="37"/>
        <v>2424730</v>
      </c>
      <c r="W220" s="741">
        <f t="shared" si="38"/>
        <v>185313</v>
      </c>
      <c r="X220" s="741">
        <f t="shared" si="39"/>
        <v>2610043</v>
      </c>
      <c r="Y220" s="741">
        <v>1832</v>
      </c>
      <c r="Z220" s="741">
        <f t="shared" si="40"/>
        <v>140</v>
      </c>
      <c r="AA220" s="749">
        <f t="shared" si="41"/>
        <v>2612015</v>
      </c>
    </row>
    <row r="221" spans="1:27">
      <c r="A221" s="742">
        <f t="shared" si="42"/>
        <v>2033</v>
      </c>
      <c r="B221" s="742">
        <f t="shared" si="43"/>
        <v>12</v>
      </c>
      <c r="C221" s="746">
        <f t="shared" si="31"/>
        <v>48914</v>
      </c>
      <c r="D221" s="739"/>
      <c r="E221" s="748">
        <v>1372923</v>
      </c>
      <c r="F221" s="741">
        <v>942271</v>
      </c>
      <c r="G221" s="741">
        <v>59541</v>
      </c>
      <c r="H221" s="741">
        <v>5839</v>
      </c>
      <c r="I221" s="741">
        <v>1016</v>
      </c>
      <c r="J221" s="741">
        <f t="shared" si="32"/>
        <v>2381590</v>
      </c>
      <c r="K221" s="741">
        <f t="shared" si="33"/>
        <v>182016</v>
      </c>
      <c r="L221" s="741">
        <f t="shared" si="34"/>
        <v>2563606</v>
      </c>
      <c r="M221" s="741">
        <v>1718</v>
      </c>
      <c r="N221" s="741">
        <f t="shared" si="35"/>
        <v>131</v>
      </c>
      <c r="O221" s="747">
        <f t="shared" si="36"/>
        <v>2565455</v>
      </c>
      <c r="Q221" s="748">
        <v>1602511</v>
      </c>
      <c r="R221" s="741">
        <v>1161792</v>
      </c>
      <c r="S221" s="741">
        <v>84193</v>
      </c>
      <c r="T221" s="741">
        <v>5839</v>
      </c>
      <c r="U221" s="741">
        <v>1016</v>
      </c>
      <c r="V221" s="741">
        <f t="shared" si="37"/>
        <v>2855351</v>
      </c>
      <c r="W221" s="741">
        <f t="shared" si="38"/>
        <v>218224</v>
      </c>
      <c r="X221" s="741">
        <f t="shared" si="39"/>
        <v>3073575</v>
      </c>
      <c r="Y221" s="741">
        <v>1718</v>
      </c>
      <c r="Z221" s="741">
        <f t="shared" si="40"/>
        <v>131</v>
      </c>
      <c r="AA221" s="749">
        <f t="shared" si="41"/>
        <v>3075424</v>
      </c>
    </row>
    <row r="222" spans="1:27">
      <c r="A222" s="742">
        <f t="shared" si="42"/>
        <v>2034</v>
      </c>
      <c r="B222" s="742">
        <f t="shared" si="43"/>
        <v>1</v>
      </c>
      <c r="C222" s="746">
        <f t="shared" ref="C222:C285" si="44">DATE(A222,B222,1)</f>
        <v>48945</v>
      </c>
      <c r="D222" s="739"/>
      <c r="E222" s="748">
        <v>1336729</v>
      </c>
      <c r="F222" s="741">
        <v>925819</v>
      </c>
      <c r="G222" s="741">
        <v>70307</v>
      </c>
      <c r="H222" s="741">
        <v>5690</v>
      </c>
      <c r="I222" s="741">
        <v>883</v>
      </c>
      <c r="J222" s="741">
        <f t="shared" ref="J222:J285" si="45">SUM(E222:I222)</f>
        <v>2339428</v>
      </c>
      <c r="K222" s="741">
        <f t="shared" ref="K222:K285" si="46">L222-J222</f>
        <v>178794</v>
      </c>
      <c r="L222" s="741">
        <f t="shared" ref="L222:L285" si="47">ROUND(J222/0.929, 0)</f>
        <v>2518222</v>
      </c>
      <c r="M222" s="741">
        <v>2325</v>
      </c>
      <c r="N222" s="741">
        <f t="shared" ref="N222:N285" si="48">ROUND(M222/0.929-M222, 0)</f>
        <v>178</v>
      </c>
      <c r="O222" s="747">
        <f t="shared" ref="O222:O285" si="49">SUM(L222:N222)</f>
        <v>2520725</v>
      </c>
      <c r="Q222" s="748">
        <v>1553555</v>
      </c>
      <c r="R222" s="741">
        <v>1136005</v>
      </c>
      <c r="S222" s="741">
        <v>96219</v>
      </c>
      <c r="T222" s="741">
        <v>5690</v>
      </c>
      <c r="U222" s="741">
        <v>883</v>
      </c>
      <c r="V222" s="741">
        <f t="shared" ref="V222:V285" si="50">SUM(Q222:U222)</f>
        <v>2792352</v>
      </c>
      <c r="W222" s="741">
        <f t="shared" ref="W222:W285" si="51">X222-V222</f>
        <v>213409</v>
      </c>
      <c r="X222" s="741">
        <f t="shared" ref="X222:X285" si="52">ROUND(V222/0.929, 0)</f>
        <v>3005761</v>
      </c>
      <c r="Y222" s="741">
        <v>2325</v>
      </c>
      <c r="Z222" s="741">
        <f t="shared" ref="Z222:Z285" si="53">N222</f>
        <v>178</v>
      </c>
      <c r="AA222" s="749">
        <f t="shared" ref="AA222:AA285" si="54">SUM(X222:Z222)</f>
        <v>3008264</v>
      </c>
    </row>
    <row r="223" spans="1:27">
      <c r="A223" s="742">
        <f t="shared" ref="A223:A286" si="55">IF(B223=1,A222+1,A222)</f>
        <v>2034</v>
      </c>
      <c r="B223" s="742">
        <f t="shared" ref="B223:B286" si="56">IF(B222=12,1,B222+1)</f>
        <v>2</v>
      </c>
      <c r="C223" s="746">
        <f t="shared" si="44"/>
        <v>48976</v>
      </c>
      <c r="D223" s="739"/>
      <c r="E223" s="748">
        <v>1117443</v>
      </c>
      <c r="F223" s="741">
        <v>831695</v>
      </c>
      <c r="G223" s="741">
        <v>59451</v>
      </c>
      <c r="H223" s="741">
        <v>5186</v>
      </c>
      <c r="I223" s="741">
        <v>817</v>
      </c>
      <c r="J223" s="741">
        <f t="shared" si="45"/>
        <v>2014592</v>
      </c>
      <c r="K223" s="741">
        <f t="shared" si="46"/>
        <v>153968</v>
      </c>
      <c r="L223" s="741">
        <f t="shared" si="47"/>
        <v>2168560</v>
      </c>
      <c r="M223" s="741">
        <v>2433</v>
      </c>
      <c r="N223" s="741">
        <f t="shared" si="48"/>
        <v>186</v>
      </c>
      <c r="O223" s="747">
        <f t="shared" si="49"/>
        <v>2171179</v>
      </c>
      <c r="Q223" s="748">
        <v>1298510</v>
      </c>
      <c r="R223" s="741">
        <v>1018717</v>
      </c>
      <c r="S223" s="741">
        <v>81708</v>
      </c>
      <c r="T223" s="741">
        <v>5186</v>
      </c>
      <c r="U223" s="741">
        <v>817</v>
      </c>
      <c r="V223" s="741">
        <f t="shared" si="50"/>
        <v>2404938</v>
      </c>
      <c r="W223" s="741">
        <f t="shared" si="51"/>
        <v>183800</v>
      </c>
      <c r="X223" s="741">
        <f t="shared" si="52"/>
        <v>2588738</v>
      </c>
      <c r="Y223" s="741">
        <v>2433</v>
      </c>
      <c r="Z223" s="741">
        <f t="shared" si="53"/>
        <v>186</v>
      </c>
      <c r="AA223" s="749">
        <f t="shared" si="54"/>
        <v>2591357</v>
      </c>
    </row>
    <row r="224" spans="1:27">
      <c r="A224" s="742">
        <f t="shared" si="55"/>
        <v>2034</v>
      </c>
      <c r="B224" s="742">
        <f t="shared" si="56"/>
        <v>3</v>
      </c>
      <c r="C224" s="746">
        <f t="shared" si="44"/>
        <v>49004</v>
      </c>
      <c r="D224" s="739"/>
      <c r="E224" s="748">
        <v>1108757</v>
      </c>
      <c r="F224" s="741">
        <v>870814</v>
      </c>
      <c r="G224" s="741">
        <v>65980</v>
      </c>
      <c r="H224" s="741">
        <v>5638</v>
      </c>
      <c r="I224" s="741">
        <v>814</v>
      </c>
      <c r="J224" s="741">
        <f t="shared" si="45"/>
        <v>2052003</v>
      </c>
      <c r="K224" s="741">
        <f t="shared" si="46"/>
        <v>156827</v>
      </c>
      <c r="L224" s="741">
        <f t="shared" si="47"/>
        <v>2208830</v>
      </c>
      <c r="M224" s="741">
        <v>2339</v>
      </c>
      <c r="N224" s="741">
        <f t="shared" si="48"/>
        <v>179</v>
      </c>
      <c r="O224" s="747">
        <f t="shared" si="49"/>
        <v>2211348</v>
      </c>
      <c r="Q224" s="748">
        <v>1297380</v>
      </c>
      <c r="R224" s="741">
        <v>1079196</v>
      </c>
      <c r="S224" s="741">
        <v>91676</v>
      </c>
      <c r="T224" s="741">
        <v>5638</v>
      </c>
      <c r="U224" s="741">
        <v>814</v>
      </c>
      <c r="V224" s="741">
        <f t="shared" si="50"/>
        <v>2474704</v>
      </c>
      <c r="W224" s="741">
        <f t="shared" si="51"/>
        <v>189132</v>
      </c>
      <c r="X224" s="741">
        <f t="shared" si="52"/>
        <v>2663836</v>
      </c>
      <c r="Y224" s="741">
        <v>2339</v>
      </c>
      <c r="Z224" s="741">
        <f t="shared" si="53"/>
        <v>179</v>
      </c>
      <c r="AA224" s="749">
        <f t="shared" si="54"/>
        <v>2666354</v>
      </c>
    </row>
    <row r="225" spans="1:27">
      <c r="A225" s="742">
        <f t="shared" si="55"/>
        <v>2034</v>
      </c>
      <c r="B225" s="742">
        <f t="shared" si="56"/>
        <v>4</v>
      </c>
      <c r="C225" s="746">
        <f t="shared" si="44"/>
        <v>49035</v>
      </c>
      <c r="D225" s="739"/>
      <c r="E225" s="748">
        <v>906815</v>
      </c>
      <c r="F225" s="741">
        <v>795747</v>
      </c>
      <c r="G225" s="741">
        <v>59980</v>
      </c>
      <c r="H225" s="741">
        <v>5005</v>
      </c>
      <c r="I225" s="741">
        <v>592</v>
      </c>
      <c r="J225" s="741">
        <f t="shared" si="45"/>
        <v>1768139</v>
      </c>
      <c r="K225" s="741">
        <f t="shared" si="46"/>
        <v>135132</v>
      </c>
      <c r="L225" s="741">
        <f t="shared" si="47"/>
        <v>1903271</v>
      </c>
      <c r="M225" s="741">
        <v>2172</v>
      </c>
      <c r="N225" s="741">
        <f t="shared" si="48"/>
        <v>166</v>
      </c>
      <c r="O225" s="747">
        <f t="shared" si="49"/>
        <v>1905609</v>
      </c>
      <c r="Q225" s="748">
        <v>1075549</v>
      </c>
      <c r="R225" s="741">
        <v>996109</v>
      </c>
      <c r="S225" s="741">
        <v>84172</v>
      </c>
      <c r="T225" s="741">
        <v>5005</v>
      </c>
      <c r="U225" s="741">
        <v>592</v>
      </c>
      <c r="V225" s="741">
        <f t="shared" si="50"/>
        <v>2161427</v>
      </c>
      <c r="W225" s="741">
        <f t="shared" si="51"/>
        <v>165190</v>
      </c>
      <c r="X225" s="741">
        <f t="shared" si="52"/>
        <v>2326617</v>
      </c>
      <c r="Y225" s="741">
        <v>2172</v>
      </c>
      <c r="Z225" s="741">
        <f t="shared" si="53"/>
        <v>166</v>
      </c>
      <c r="AA225" s="749">
        <f t="shared" si="54"/>
        <v>2328955</v>
      </c>
    </row>
    <row r="226" spans="1:27">
      <c r="A226" s="742">
        <f t="shared" si="55"/>
        <v>2034</v>
      </c>
      <c r="B226" s="742">
        <f t="shared" si="56"/>
        <v>5</v>
      </c>
      <c r="C226" s="746">
        <f t="shared" si="44"/>
        <v>49065</v>
      </c>
      <c r="D226" s="739"/>
      <c r="E226" s="748">
        <v>773396</v>
      </c>
      <c r="F226" s="741">
        <v>790661</v>
      </c>
      <c r="G226" s="741">
        <v>62618</v>
      </c>
      <c r="H226" s="741">
        <v>5296</v>
      </c>
      <c r="I226" s="741">
        <v>458</v>
      </c>
      <c r="J226" s="741">
        <f t="shared" si="45"/>
        <v>1632429</v>
      </c>
      <c r="K226" s="741">
        <f t="shared" si="46"/>
        <v>124760</v>
      </c>
      <c r="L226" s="741">
        <f t="shared" si="47"/>
        <v>1757189</v>
      </c>
      <c r="M226" s="741">
        <v>2174</v>
      </c>
      <c r="N226" s="741">
        <f t="shared" si="48"/>
        <v>166</v>
      </c>
      <c r="O226" s="747">
        <f t="shared" si="49"/>
        <v>1759529</v>
      </c>
      <c r="Q226" s="748">
        <v>927694</v>
      </c>
      <c r="R226" s="741">
        <v>989274</v>
      </c>
      <c r="S226" s="741">
        <v>87988</v>
      </c>
      <c r="T226" s="741">
        <v>5296</v>
      </c>
      <c r="U226" s="741">
        <v>458</v>
      </c>
      <c r="V226" s="741">
        <f t="shared" si="50"/>
        <v>2010710</v>
      </c>
      <c r="W226" s="741">
        <f t="shared" si="51"/>
        <v>153671</v>
      </c>
      <c r="X226" s="741">
        <f t="shared" si="52"/>
        <v>2164381</v>
      </c>
      <c r="Y226" s="741">
        <v>2174</v>
      </c>
      <c r="Z226" s="741">
        <f t="shared" si="53"/>
        <v>166</v>
      </c>
      <c r="AA226" s="749">
        <f t="shared" si="54"/>
        <v>2166721</v>
      </c>
    </row>
    <row r="227" spans="1:27">
      <c r="A227" s="742">
        <f t="shared" si="55"/>
        <v>2034</v>
      </c>
      <c r="B227" s="742">
        <f t="shared" si="56"/>
        <v>6</v>
      </c>
      <c r="C227" s="746">
        <f t="shared" si="44"/>
        <v>49096</v>
      </c>
      <c r="D227" s="739"/>
      <c r="E227" s="748">
        <v>705476</v>
      </c>
      <c r="F227" s="741">
        <v>784439</v>
      </c>
      <c r="G227" s="741">
        <v>63440</v>
      </c>
      <c r="H227" s="741">
        <v>5306</v>
      </c>
      <c r="I227" s="741">
        <v>356</v>
      </c>
      <c r="J227" s="741">
        <f t="shared" si="45"/>
        <v>1559017</v>
      </c>
      <c r="K227" s="741">
        <f t="shared" si="46"/>
        <v>119150</v>
      </c>
      <c r="L227" s="741">
        <f t="shared" si="47"/>
        <v>1678167</v>
      </c>
      <c r="M227" s="741">
        <v>1787</v>
      </c>
      <c r="N227" s="741">
        <f t="shared" si="48"/>
        <v>137</v>
      </c>
      <c r="O227" s="747">
        <f t="shared" si="49"/>
        <v>1680091</v>
      </c>
      <c r="Q227" s="748">
        <v>856093</v>
      </c>
      <c r="R227" s="741">
        <v>980690</v>
      </c>
      <c r="S227" s="741">
        <v>88817</v>
      </c>
      <c r="T227" s="741">
        <v>5306</v>
      </c>
      <c r="U227" s="741">
        <v>356</v>
      </c>
      <c r="V227" s="741">
        <f t="shared" si="50"/>
        <v>1931262</v>
      </c>
      <c r="W227" s="741">
        <f t="shared" si="51"/>
        <v>147599</v>
      </c>
      <c r="X227" s="741">
        <f t="shared" si="52"/>
        <v>2078861</v>
      </c>
      <c r="Y227" s="741">
        <v>1787</v>
      </c>
      <c r="Z227" s="741">
        <f t="shared" si="53"/>
        <v>137</v>
      </c>
      <c r="AA227" s="749">
        <f t="shared" si="54"/>
        <v>2080785</v>
      </c>
    </row>
    <row r="228" spans="1:27">
      <c r="A228" s="742">
        <f t="shared" si="55"/>
        <v>2034</v>
      </c>
      <c r="B228" s="742">
        <f t="shared" si="56"/>
        <v>7</v>
      </c>
      <c r="C228" s="746">
        <f t="shared" si="44"/>
        <v>49126</v>
      </c>
      <c r="D228" s="739"/>
      <c r="E228" s="748">
        <v>698333</v>
      </c>
      <c r="F228" s="741">
        <v>827739</v>
      </c>
      <c r="G228" s="741">
        <v>65349</v>
      </c>
      <c r="H228" s="741">
        <v>5100</v>
      </c>
      <c r="I228" s="741">
        <v>315</v>
      </c>
      <c r="J228" s="741">
        <f t="shared" si="45"/>
        <v>1596836</v>
      </c>
      <c r="K228" s="741">
        <f t="shared" si="46"/>
        <v>122040</v>
      </c>
      <c r="L228" s="741">
        <f t="shared" si="47"/>
        <v>1718876</v>
      </c>
      <c r="M228" s="741">
        <v>2889</v>
      </c>
      <c r="N228" s="741">
        <f t="shared" si="48"/>
        <v>221</v>
      </c>
      <c r="O228" s="747">
        <f t="shared" si="49"/>
        <v>1721986</v>
      </c>
      <c r="Q228" s="748">
        <v>859819</v>
      </c>
      <c r="R228" s="741">
        <v>1034437</v>
      </c>
      <c r="S228" s="741">
        <v>91349</v>
      </c>
      <c r="T228" s="741">
        <v>5100</v>
      </c>
      <c r="U228" s="741">
        <v>315</v>
      </c>
      <c r="V228" s="741">
        <f t="shared" si="50"/>
        <v>1991020</v>
      </c>
      <c r="W228" s="741">
        <f t="shared" si="51"/>
        <v>152166</v>
      </c>
      <c r="X228" s="741">
        <f t="shared" si="52"/>
        <v>2143186</v>
      </c>
      <c r="Y228" s="741">
        <v>2889</v>
      </c>
      <c r="Z228" s="741">
        <f t="shared" si="53"/>
        <v>221</v>
      </c>
      <c r="AA228" s="749">
        <f t="shared" si="54"/>
        <v>2146296</v>
      </c>
    </row>
    <row r="229" spans="1:27">
      <c r="A229" s="742">
        <f t="shared" si="55"/>
        <v>2034</v>
      </c>
      <c r="B229" s="742">
        <f t="shared" si="56"/>
        <v>8</v>
      </c>
      <c r="C229" s="746">
        <f t="shared" si="44"/>
        <v>49157</v>
      </c>
      <c r="D229" s="739"/>
      <c r="E229" s="748">
        <v>680343</v>
      </c>
      <c r="F229" s="741">
        <v>855337</v>
      </c>
      <c r="G229" s="741">
        <v>67751</v>
      </c>
      <c r="H229" s="741">
        <v>5262</v>
      </c>
      <c r="I229" s="741">
        <v>285</v>
      </c>
      <c r="J229" s="741">
        <f t="shared" si="45"/>
        <v>1608978</v>
      </c>
      <c r="K229" s="741">
        <f t="shared" si="46"/>
        <v>122968</v>
      </c>
      <c r="L229" s="741">
        <f t="shared" si="47"/>
        <v>1731946</v>
      </c>
      <c r="M229" s="741">
        <v>1634</v>
      </c>
      <c r="N229" s="741">
        <f t="shared" si="48"/>
        <v>125</v>
      </c>
      <c r="O229" s="747">
        <f t="shared" si="49"/>
        <v>1733705</v>
      </c>
      <c r="Q229" s="748">
        <v>841907</v>
      </c>
      <c r="R229" s="741">
        <v>1065860</v>
      </c>
      <c r="S229" s="741">
        <v>94403</v>
      </c>
      <c r="T229" s="741">
        <v>5262</v>
      </c>
      <c r="U229" s="741">
        <v>285</v>
      </c>
      <c r="V229" s="741">
        <f t="shared" si="50"/>
        <v>2007717</v>
      </c>
      <c r="W229" s="741">
        <f t="shared" si="51"/>
        <v>153442</v>
      </c>
      <c r="X229" s="741">
        <f t="shared" si="52"/>
        <v>2161159</v>
      </c>
      <c r="Y229" s="741">
        <v>1634</v>
      </c>
      <c r="Z229" s="741">
        <f t="shared" si="53"/>
        <v>125</v>
      </c>
      <c r="AA229" s="749">
        <f t="shared" si="54"/>
        <v>2162918</v>
      </c>
    </row>
    <row r="230" spans="1:27">
      <c r="A230" s="742">
        <f t="shared" si="55"/>
        <v>2034</v>
      </c>
      <c r="B230" s="742">
        <f t="shared" si="56"/>
        <v>9</v>
      </c>
      <c r="C230" s="746">
        <f t="shared" si="44"/>
        <v>49188</v>
      </c>
      <c r="D230" s="739"/>
      <c r="E230" s="748">
        <v>689582</v>
      </c>
      <c r="F230" s="741">
        <v>806250</v>
      </c>
      <c r="G230" s="741">
        <v>62148</v>
      </c>
      <c r="H230" s="741">
        <v>5130</v>
      </c>
      <c r="I230" s="741">
        <v>324</v>
      </c>
      <c r="J230" s="741">
        <f t="shared" si="45"/>
        <v>1563434</v>
      </c>
      <c r="K230" s="741">
        <f t="shared" si="46"/>
        <v>119487</v>
      </c>
      <c r="L230" s="741">
        <f t="shared" si="47"/>
        <v>1682921</v>
      </c>
      <c r="M230" s="741">
        <v>1428</v>
      </c>
      <c r="N230" s="741">
        <f t="shared" si="48"/>
        <v>109</v>
      </c>
      <c r="O230" s="747">
        <f t="shared" si="49"/>
        <v>1684458</v>
      </c>
      <c r="Q230" s="748">
        <v>847117</v>
      </c>
      <c r="R230" s="741">
        <v>1007684</v>
      </c>
      <c r="S230" s="741">
        <v>87124</v>
      </c>
      <c r="T230" s="741">
        <v>5130</v>
      </c>
      <c r="U230" s="741">
        <v>324</v>
      </c>
      <c r="V230" s="741">
        <f t="shared" si="50"/>
        <v>1947379</v>
      </c>
      <c r="W230" s="741">
        <f t="shared" si="51"/>
        <v>148831</v>
      </c>
      <c r="X230" s="741">
        <f t="shared" si="52"/>
        <v>2096210</v>
      </c>
      <c r="Y230" s="741">
        <v>1428</v>
      </c>
      <c r="Z230" s="741">
        <f t="shared" si="53"/>
        <v>109</v>
      </c>
      <c r="AA230" s="749">
        <f t="shared" si="54"/>
        <v>2097747</v>
      </c>
    </row>
    <row r="231" spans="1:27">
      <c r="A231" s="742">
        <f t="shared" si="55"/>
        <v>2034</v>
      </c>
      <c r="B231" s="742">
        <f t="shared" si="56"/>
        <v>10</v>
      </c>
      <c r="C231" s="746">
        <f t="shared" si="44"/>
        <v>49218</v>
      </c>
      <c r="D231" s="739"/>
      <c r="E231" s="748">
        <v>870108</v>
      </c>
      <c r="F231" s="741">
        <v>827042</v>
      </c>
      <c r="G231" s="741">
        <v>65035</v>
      </c>
      <c r="H231" s="741">
        <v>5421</v>
      </c>
      <c r="I231" s="741">
        <v>483</v>
      </c>
      <c r="J231" s="741">
        <f t="shared" si="45"/>
        <v>1768089</v>
      </c>
      <c r="K231" s="741">
        <f t="shared" si="46"/>
        <v>135128</v>
      </c>
      <c r="L231" s="741">
        <f t="shared" si="47"/>
        <v>1903217</v>
      </c>
      <c r="M231" s="741">
        <v>1830</v>
      </c>
      <c r="N231" s="741">
        <f t="shared" si="48"/>
        <v>140</v>
      </c>
      <c r="O231" s="747">
        <f t="shared" si="49"/>
        <v>1905187</v>
      </c>
      <c r="Q231" s="748">
        <v>1052161</v>
      </c>
      <c r="R231" s="741">
        <v>1035723</v>
      </c>
      <c r="S231" s="741">
        <v>90287</v>
      </c>
      <c r="T231" s="741">
        <v>5421</v>
      </c>
      <c r="U231" s="741">
        <v>483</v>
      </c>
      <c r="V231" s="741">
        <f t="shared" si="50"/>
        <v>2184075</v>
      </c>
      <c r="W231" s="741">
        <f t="shared" si="51"/>
        <v>166921</v>
      </c>
      <c r="X231" s="741">
        <f t="shared" si="52"/>
        <v>2350996</v>
      </c>
      <c r="Y231" s="741">
        <v>1830</v>
      </c>
      <c r="Z231" s="741">
        <f t="shared" si="53"/>
        <v>140</v>
      </c>
      <c r="AA231" s="749">
        <f t="shared" si="54"/>
        <v>2352966</v>
      </c>
    </row>
    <row r="232" spans="1:27">
      <c r="A232" s="742">
        <f t="shared" si="55"/>
        <v>2034</v>
      </c>
      <c r="B232" s="742">
        <f t="shared" si="56"/>
        <v>11</v>
      </c>
      <c r="C232" s="746">
        <f t="shared" si="44"/>
        <v>49249</v>
      </c>
      <c r="D232" s="739"/>
      <c r="E232" s="748">
        <v>1087138</v>
      </c>
      <c r="F232" s="741">
        <v>869036</v>
      </c>
      <c r="G232" s="741">
        <v>59664</v>
      </c>
      <c r="H232" s="741">
        <v>5872</v>
      </c>
      <c r="I232" s="741">
        <v>698</v>
      </c>
      <c r="J232" s="741">
        <f t="shared" si="45"/>
        <v>2022408</v>
      </c>
      <c r="K232" s="741">
        <f t="shared" si="46"/>
        <v>154565</v>
      </c>
      <c r="L232" s="741">
        <f t="shared" si="47"/>
        <v>2176973</v>
      </c>
      <c r="M232" s="741">
        <v>1832</v>
      </c>
      <c r="N232" s="741">
        <f t="shared" si="48"/>
        <v>140</v>
      </c>
      <c r="O232" s="747">
        <f t="shared" si="49"/>
        <v>2178945</v>
      </c>
      <c r="Q232" s="748">
        <v>1290491</v>
      </c>
      <c r="R232" s="741">
        <v>1077688</v>
      </c>
      <c r="S232" s="741">
        <v>83800</v>
      </c>
      <c r="T232" s="741">
        <v>5872</v>
      </c>
      <c r="U232" s="741">
        <v>698</v>
      </c>
      <c r="V232" s="741">
        <f t="shared" si="50"/>
        <v>2458549</v>
      </c>
      <c r="W232" s="741">
        <f t="shared" si="51"/>
        <v>187898</v>
      </c>
      <c r="X232" s="741">
        <f t="shared" si="52"/>
        <v>2646447</v>
      </c>
      <c r="Y232" s="741">
        <v>1832</v>
      </c>
      <c r="Z232" s="741">
        <f t="shared" si="53"/>
        <v>140</v>
      </c>
      <c r="AA232" s="749">
        <f t="shared" si="54"/>
        <v>2648419</v>
      </c>
    </row>
    <row r="233" spans="1:27">
      <c r="A233" s="742">
        <f t="shared" si="55"/>
        <v>2034</v>
      </c>
      <c r="B233" s="742">
        <f t="shared" si="56"/>
        <v>12</v>
      </c>
      <c r="C233" s="746">
        <f t="shared" si="44"/>
        <v>49279</v>
      </c>
      <c r="D233" s="739"/>
      <c r="E233" s="748">
        <v>1388376</v>
      </c>
      <c r="F233" s="741">
        <v>956201</v>
      </c>
      <c r="G233" s="741">
        <v>58687</v>
      </c>
      <c r="H233" s="741">
        <v>5784</v>
      </c>
      <c r="I233" s="741">
        <v>1016</v>
      </c>
      <c r="J233" s="741">
        <f t="shared" si="45"/>
        <v>2410064</v>
      </c>
      <c r="K233" s="741">
        <f t="shared" si="46"/>
        <v>184192</v>
      </c>
      <c r="L233" s="741">
        <f t="shared" si="47"/>
        <v>2594256</v>
      </c>
      <c r="M233" s="741">
        <v>1718</v>
      </c>
      <c r="N233" s="741">
        <f t="shared" si="48"/>
        <v>131</v>
      </c>
      <c r="O233" s="747">
        <f t="shared" si="49"/>
        <v>2596105</v>
      </c>
      <c r="Q233" s="748">
        <v>1625091</v>
      </c>
      <c r="R233" s="741">
        <v>1179355</v>
      </c>
      <c r="S233" s="741">
        <v>83748</v>
      </c>
      <c r="T233" s="741">
        <v>5784</v>
      </c>
      <c r="U233" s="741">
        <v>1016</v>
      </c>
      <c r="V233" s="741">
        <f t="shared" si="50"/>
        <v>2894994</v>
      </c>
      <c r="W233" s="741">
        <f t="shared" si="51"/>
        <v>221254</v>
      </c>
      <c r="X233" s="741">
        <f t="shared" si="52"/>
        <v>3116248</v>
      </c>
      <c r="Y233" s="741">
        <v>1718</v>
      </c>
      <c r="Z233" s="741">
        <f t="shared" si="53"/>
        <v>131</v>
      </c>
      <c r="AA233" s="747">
        <f t="shared" si="54"/>
        <v>3118097</v>
      </c>
    </row>
    <row r="234" spans="1:27">
      <c r="A234" s="742">
        <f t="shared" si="55"/>
        <v>2035</v>
      </c>
      <c r="B234" s="742">
        <f t="shared" si="56"/>
        <v>1</v>
      </c>
      <c r="C234" s="746">
        <f t="shared" si="44"/>
        <v>49310</v>
      </c>
      <c r="D234" s="739"/>
      <c r="E234" s="748">
        <v>1352258</v>
      </c>
      <c r="F234" s="741">
        <v>939742</v>
      </c>
      <c r="G234" s="741">
        <v>69385</v>
      </c>
      <c r="H234" s="741">
        <v>5636</v>
      </c>
      <c r="I234" s="741">
        <v>883</v>
      </c>
      <c r="J234" s="741">
        <f t="shared" si="45"/>
        <v>2367904</v>
      </c>
      <c r="K234" s="741">
        <f t="shared" si="46"/>
        <v>180970</v>
      </c>
      <c r="L234" s="741">
        <f t="shared" si="47"/>
        <v>2548874</v>
      </c>
      <c r="M234" s="741">
        <v>2325</v>
      </c>
      <c r="N234" s="741">
        <f t="shared" si="48"/>
        <v>178</v>
      </c>
      <c r="O234" s="747">
        <f t="shared" si="49"/>
        <v>2551377</v>
      </c>
      <c r="Q234" s="748">
        <v>1575614</v>
      </c>
      <c r="R234" s="741">
        <v>1153313</v>
      </c>
      <c r="S234" s="741">
        <v>95710</v>
      </c>
      <c r="T234" s="741">
        <v>5636</v>
      </c>
      <c r="U234" s="741">
        <v>883</v>
      </c>
      <c r="V234" s="741">
        <f t="shared" si="50"/>
        <v>2831156</v>
      </c>
      <c r="W234" s="741">
        <f t="shared" si="51"/>
        <v>216375</v>
      </c>
      <c r="X234" s="741">
        <f t="shared" si="52"/>
        <v>3047531</v>
      </c>
      <c r="Y234" s="741">
        <v>2325</v>
      </c>
      <c r="Z234" s="741">
        <f t="shared" si="53"/>
        <v>178</v>
      </c>
      <c r="AA234" s="747">
        <f t="shared" si="54"/>
        <v>3050034</v>
      </c>
    </row>
    <row r="235" spans="1:27">
      <c r="A235" s="742">
        <f t="shared" si="55"/>
        <v>2035</v>
      </c>
      <c r="B235" s="742">
        <f t="shared" si="56"/>
        <v>2</v>
      </c>
      <c r="C235" s="746">
        <f t="shared" si="44"/>
        <v>49341</v>
      </c>
      <c r="D235" s="739"/>
      <c r="E235" s="748">
        <v>1131222</v>
      </c>
      <c r="F235" s="741">
        <v>844559</v>
      </c>
      <c r="G235" s="741">
        <v>58681</v>
      </c>
      <c r="H235" s="741">
        <v>5133</v>
      </c>
      <c r="I235" s="741">
        <v>817</v>
      </c>
      <c r="J235" s="741">
        <f t="shared" si="45"/>
        <v>2040412</v>
      </c>
      <c r="K235" s="741">
        <f t="shared" si="46"/>
        <v>155941</v>
      </c>
      <c r="L235" s="741">
        <f t="shared" si="47"/>
        <v>2196353</v>
      </c>
      <c r="M235" s="741">
        <v>2433</v>
      </c>
      <c r="N235" s="741">
        <f t="shared" si="48"/>
        <v>186</v>
      </c>
      <c r="O235" s="747">
        <f t="shared" si="49"/>
        <v>2198972</v>
      </c>
      <c r="Q235" s="748">
        <v>1317468</v>
      </c>
      <c r="R235" s="741">
        <v>1034373</v>
      </c>
      <c r="S235" s="741">
        <v>81282</v>
      </c>
      <c r="T235" s="741">
        <v>5133</v>
      </c>
      <c r="U235" s="741">
        <v>817</v>
      </c>
      <c r="V235" s="741">
        <f t="shared" si="50"/>
        <v>2439073</v>
      </c>
      <c r="W235" s="741">
        <f t="shared" si="51"/>
        <v>186409</v>
      </c>
      <c r="X235" s="741">
        <f t="shared" si="52"/>
        <v>2625482</v>
      </c>
      <c r="Y235" s="741">
        <v>2433</v>
      </c>
      <c r="Z235" s="741">
        <f t="shared" si="53"/>
        <v>186</v>
      </c>
      <c r="AA235" s="747">
        <f t="shared" si="54"/>
        <v>2628101</v>
      </c>
    </row>
    <row r="236" spans="1:27">
      <c r="A236" s="742">
        <f t="shared" si="55"/>
        <v>2035</v>
      </c>
      <c r="B236" s="742">
        <f t="shared" si="56"/>
        <v>3</v>
      </c>
      <c r="C236" s="746">
        <f t="shared" si="44"/>
        <v>49369</v>
      </c>
      <c r="D236" s="739"/>
      <c r="E236" s="748">
        <v>1123182</v>
      </c>
      <c r="F236" s="741">
        <v>884688</v>
      </c>
      <c r="G236" s="741">
        <v>65111</v>
      </c>
      <c r="H236" s="741">
        <v>5575</v>
      </c>
      <c r="I236" s="741">
        <v>814</v>
      </c>
      <c r="J236" s="741">
        <f t="shared" si="45"/>
        <v>2079370</v>
      </c>
      <c r="K236" s="741">
        <f t="shared" si="46"/>
        <v>158918</v>
      </c>
      <c r="L236" s="741">
        <f t="shared" si="47"/>
        <v>2238288</v>
      </c>
      <c r="M236" s="741">
        <v>2339</v>
      </c>
      <c r="N236" s="741">
        <f t="shared" si="48"/>
        <v>179</v>
      </c>
      <c r="O236" s="747">
        <f t="shared" si="49"/>
        <v>2240806</v>
      </c>
      <c r="Q236" s="748">
        <v>1317074</v>
      </c>
      <c r="R236" s="741">
        <v>1095956</v>
      </c>
      <c r="S236" s="741">
        <v>91204</v>
      </c>
      <c r="T236" s="741">
        <v>5575</v>
      </c>
      <c r="U236" s="741">
        <v>814</v>
      </c>
      <c r="V236" s="741">
        <f t="shared" si="50"/>
        <v>2510623</v>
      </c>
      <c r="W236" s="741">
        <f t="shared" si="51"/>
        <v>191878</v>
      </c>
      <c r="X236" s="741">
        <f t="shared" si="52"/>
        <v>2702501</v>
      </c>
      <c r="Y236" s="741">
        <v>2339</v>
      </c>
      <c r="Z236" s="741">
        <f t="shared" si="53"/>
        <v>179</v>
      </c>
      <c r="AA236" s="747">
        <f t="shared" si="54"/>
        <v>2705019</v>
      </c>
    </row>
    <row r="237" spans="1:27">
      <c r="A237" s="742">
        <f t="shared" si="55"/>
        <v>2035</v>
      </c>
      <c r="B237" s="742">
        <f t="shared" si="56"/>
        <v>4</v>
      </c>
      <c r="C237" s="746">
        <f t="shared" si="44"/>
        <v>49400</v>
      </c>
      <c r="D237" s="739"/>
      <c r="E237" s="748">
        <v>919357</v>
      </c>
      <c r="F237" s="741">
        <v>808623</v>
      </c>
      <c r="G237" s="741">
        <v>59190</v>
      </c>
      <c r="H237" s="741">
        <v>4948</v>
      </c>
      <c r="I237" s="741">
        <v>592</v>
      </c>
      <c r="J237" s="741">
        <f t="shared" si="45"/>
        <v>1792710</v>
      </c>
      <c r="K237" s="741">
        <f t="shared" si="46"/>
        <v>137010</v>
      </c>
      <c r="L237" s="741">
        <f t="shared" si="47"/>
        <v>1929720</v>
      </c>
      <c r="M237" s="741">
        <v>2172</v>
      </c>
      <c r="N237" s="741">
        <f t="shared" si="48"/>
        <v>166</v>
      </c>
      <c r="O237" s="747">
        <f t="shared" si="49"/>
        <v>1932058</v>
      </c>
      <c r="Q237" s="748">
        <v>1092784</v>
      </c>
      <c r="R237" s="741">
        <v>1011765</v>
      </c>
      <c r="S237" s="741">
        <v>83745</v>
      </c>
      <c r="T237" s="741">
        <v>4948</v>
      </c>
      <c r="U237" s="741">
        <v>592</v>
      </c>
      <c r="V237" s="741">
        <f t="shared" si="50"/>
        <v>2193834</v>
      </c>
      <c r="W237" s="741">
        <f t="shared" si="51"/>
        <v>167667</v>
      </c>
      <c r="X237" s="741">
        <f t="shared" si="52"/>
        <v>2361501</v>
      </c>
      <c r="Y237" s="741">
        <v>2172</v>
      </c>
      <c r="Z237" s="741">
        <f t="shared" si="53"/>
        <v>166</v>
      </c>
      <c r="AA237" s="747">
        <f t="shared" si="54"/>
        <v>2363839</v>
      </c>
    </row>
    <row r="238" spans="1:27">
      <c r="A238" s="742">
        <f t="shared" si="55"/>
        <v>2035</v>
      </c>
      <c r="B238" s="742">
        <f t="shared" si="56"/>
        <v>5</v>
      </c>
      <c r="C238" s="746">
        <f t="shared" si="44"/>
        <v>49430</v>
      </c>
      <c r="D238" s="739"/>
      <c r="E238" s="748">
        <v>784812</v>
      </c>
      <c r="F238" s="741">
        <v>803637</v>
      </c>
      <c r="G238" s="741">
        <v>61803</v>
      </c>
      <c r="H238" s="741">
        <v>5235</v>
      </c>
      <c r="I238" s="741">
        <v>458</v>
      </c>
      <c r="J238" s="741">
        <f t="shared" si="45"/>
        <v>1655945</v>
      </c>
      <c r="K238" s="741">
        <f t="shared" si="46"/>
        <v>126558</v>
      </c>
      <c r="L238" s="741">
        <f t="shared" si="47"/>
        <v>1782503</v>
      </c>
      <c r="M238" s="741">
        <v>2174</v>
      </c>
      <c r="N238" s="741">
        <f t="shared" si="48"/>
        <v>166</v>
      </c>
      <c r="O238" s="747">
        <f t="shared" si="49"/>
        <v>1784843</v>
      </c>
      <c r="Q238" s="748">
        <v>943281</v>
      </c>
      <c r="R238" s="741">
        <v>1004993</v>
      </c>
      <c r="S238" s="741">
        <v>87543</v>
      </c>
      <c r="T238" s="741">
        <v>5235</v>
      </c>
      <c r="U238" s="741">
        <v>458</v>
      </c>
      <c r="V238" s="741">
        <f t="shared" si="50"/>
        <v>2041510</v>
      </c>
      <c r="W238" s="741">
        <f t="shared" si="51"/>
        <v>156025</v>
      </c>
      <c r="X238" s="741">
        <f t="shared" si="52"/>
        <v>2197535</v>
      </c>
      <c r="Y238" s="741">
        <v>2174</v>
      </c>
      <c r="Z238" s="741">
        <f t="shared" si="53"/>
        <v>166</v>
      </c>
      <c r="AA238" s="747">
        <f t="shared" si="54"/>
        <v>2199875</v>
      </c>
    </row>
    <row r="239" spans="1:27">
      <c r="A239" s="742">
        <f t="shared" si="55"/>
        <v>2035</v>
      </c>
      <c r="B239" s="742">
        <f t="shared" si="56"/>
        <v>6</v>
      </c>
      <c r="C239" s="746">
        <f t="shared" si="44"/>
        <v>49461</v>
      </c>
      <c r="D239" s="739"/>
      <c r="E239" s="748">
        <v>716310</v>
      </c>
      <c r="F239" s="741">
        <v>797319</v>
      </c>
      <c r="G239" s="741">
        <v>62627</v>
      </c>
      <c r="H239" s="741">
        <v>5245</v>
      </c>
      <c r="I239" s="741">
        <v>356</v>
      </c>
      <c r="J239" s="741">
        <f t="shared" si="45"/>
        <v>1581857</v>
      </c>
      <c r="K239" s="741">
        <f t="shared" si="46"/>
        <v>120895</v>
      </c>
      <c r="L239" s="741">
        <f t="shared" si="47"/>
        <v>1702752</v>
      </c>
      <c r="M239" s="741">
        <v>1787</v>
      </c>
      <c r="N239" s="741">
        <f t="shared" si="48"/>
        <v>137</v>
      </c>
      <c r="O239" s="747">
        <f t="shared" si="49"/>
        <v>1704676</v>
      </c>
      <c r="Q239" s="748">
        <v>870884</v>
      </c>
      <c r="R239" s="741">
        <v>996188</v>
      </c>
      <c r="S239" s="741">
        <v>88367</v>
      </c>
      <c r="T239" s="741">
        <v>5245</v>
      </c>
      <c r="U239" s="741">
        <v>356</v>
      </c>
      <c r="V239" s="741">
        <f t="shared" si="50"/>
        <v>1961040</v>
      </c>
      <c r="W239" s="741">
        <f t="shared" si="51"/>
        <v>149875</v>
      </c>
      <c r="X239" s="741">
        <f t="shared" si="52"/>
        <v>2110915</v>
      </c>
      <c r="Y239" s="741">
        <v>1787</v>
      </c>
      <c r="Z239" s="741">
        <f t="shared" si="53"/>
        <v>137</v>
      </c>
      <c r="AA239" s="747">
        <f t="shared" si="54"/>
        <v>2112839</v>
      </c>
    </row>
    <row r="240" spans="1:27">
      <c r="A240" s="742">
        <f t="shared" si="55"/>
        <v>2035</v>
      </c>
      <c r="B240" s="742">
        <f t="shared" si="56"/>
        <v>7</v>
      </c>
      <c r="C240" s="746">
        <f t="shared" si="44"/>
        <v>49491</v>
      </c>
      <c r="D240" s="739"/>
      <c r="E240" s="748">
        <v>709293</v>
      </c>
      <c r="F240" s="741">
        <v>841276</v>
      </c>
      <c r="G240" s="741">
        <v>64521</v>
      </c>
      <c r="H240" s="741">
        <v>5041</v>
      </c>
      <c r="I240" s="741">
        <v>315</v>
      </c>
      <c r="J240" s="741">
        <f t="shared" si="45"/>
        <v>1620446</v>
      </c>
      <c r="K240" s="741">
        <f t="shared" si="46"/>
        <v>123845</v>
      </c>
      <c r="L240" s="741">
        <f t="shared" si="47"/>
        <v>1744291</v>
      </c>
      <c r="M240" s="741">
        <v>2889</v>
      </c>
      <c r="N240" s="741">
        <f t="shared" si="48"/>
        <v>221</v>
      </c>
      <c r="O240" s="747">
        <f t="shared" si="49"/>
        <v>1747401</v>
      </c>
      <c r="Q240" s="748">
        <v>874955</v>
      </c>
      <c r="R240" s="741">
        <v>1050659</v>
      </c>
      <c r="S240" s="741">
        <v>90882</v>
      </c>
      <c r="T240" s="741">
        <v>5041</v>
      </c>
      <c r="U240" s="741">
        <v>315</v>
      </c>
      <c r="V240" s="741">
        <f t="shared" si="50"/>
        <v>2021852</v>
      </c>
      <c r="W240" s="741">
        <f t="shared" si="51"/>
        <v>154523</v>
      </c>
      <c r="X240" s="741">
        <f t="shared" si="52"/>
        <v>2176375</v>
      </c>
      <c r="Y240" s="741">
        <v>2889</v>
      </c>
      <c r="Z240" s="741">
        <f t="shared" si="53"/>
        <v>221</v>
      </c>
      <c r="AA240" s="747">
        <f t="shared" si="54"/>
        <v>2179485</v>
      </c>
    </row>
    <row r="241" spans="1:27">
      <c r="A241" s="742">
        <f t="shared" si="55"/>
        <v>2035</v>
      </c>
      <c r="B241" s="742">
        <f t="shared" si="56"/>
        <v>8</v>
      </c>
      <c r="C241" s="746">
        <f t="shared" si="44"/>
        <v>49522</v>
      </c>
      <c r="D241" s="739"/>
      <c r="E241" s="748">
        <v>691181</v>
      </c>
      <c r="F241" s="741">
        <v>869666</v>
      </c>
      <c r="G241" s="741">
        <v>66912</v>
      </c>
      <c r="H241" s="741">
        <v>5201</v>
      </c>
      <c r="I241" s="741">
        <v>285</v>
      </c>
      <c r="J241" s="741">
        <f t="shared" si="45"/>
        <v>1633245</v>
      </c>
      <c r="K241" s="741">
        <f t="shared" si="46"/>
        <v>124823</v>
      </c>
      <c r="L241" s="741">
        <f t="shared" si="47"/>
        <v>1758068</v>
      </c>
      <c r="M241" s="741">
        <v>1634</v>
      </c>
      <c r="N241" s="741">
        <f t="shared" si="48"/>
        <v>125</v>
      </c>
      <c r="O241" s="747">
        <f t="shared" si="49"/>
        <v>1759827</v>
      </c>
      <c r="Q241" s="748">
        <v>856901</v>
      </c>
      <c r="R241" s="741">
        <v>1082897</v>
      </c>
      <c r="S241" s="741">
        <v>93921</v>
      </c>
      <c r="T241" s="741">
        <v>5201</v>
      </c>
      <c r="U241" s="741">
        <v>285</v>
      </c>
      <c r="V241" s="741">
        <f t="shared" si="50"/>
        <v>2039205</v>
      </c>
      <c r="W241" s="741">
        <f t="shared" si="51"/>
        <v>155849</v>
      </c>
      <c r="X241" s="741">
        <f t="shared" si="52"/>
        <v>2195054</v>
      </c>
      <c r="Y241" s="741">
        <v>1634</v>
      </c>
      <c r="Z241" s="741">
        <f t="shared" si="53"/>
        <v>125</v>
      </c>
      <c r="AA241" s="747">
        <f t="shared" si="54"/>
        <v>2196813</v>
      </c>
    </row>
    <row r="242" spans="1:27">
      <c r="A242" s="742">
        <f t="shared" si="55"/>
        <v>2035</v>
      </c>
      <c r="B242" s="742">
        <f t="shared" si="56"/>
        <v>9</v>
      </c>
      <c r="C242" s="746">
        <f t="shared" si="44"/>
        <v>49553</v>
      </c>
      <c r="D242" s="739"/>
      <c r="E242" s="748">
        <v>700475</v>
      </c>
      <c r="F242" s="741">
        <v>820054</v>
      </c>
      <c r="G242" s="741">
        <v>61386</v>
      </c>
      <c r="H242" s="741">
        <v>5071</v>
      </c>
      <c r="I242" s="741">
        <v>324</v>
      </c>
      <c r="J242" s="741">
        <f t="shared" si="45"/>
        <v>1587310</v>
      </c>
      <c r="K242" s="741">
        <f t="shared" si="46"/>
        <v>121312</v>
      </c>
      <c r="L242" s="741">
        <f t="shared" si="47"/>
        <v>1708622</v>
      </c>
      <c r="M242" s="741">
        <v>1428</v>
      </c>
      <c r="N242" s="741">
        <f t="shared" si="48"/>
        <v>109</v>
      </c>
      <c r="O242" s="747">
        <f t="shared" si="49"/>
        <v>1710159</v>
      </c>
      <c r="Q242" s="748">
        <v>862113</v>
      </c>
      <c r="R242" s="741">
        <v>1024100</v>
      </c>
      <c r="S242" s="741">
        <v>86682</v>
      </c>
      <c r="T242" s="741">
        <v>5071</v>
      </c>
      <c r="U242" s="741">
        <v>324</v>
      </c>
      <c r="V242" s="741">
        <f t="shared" si="50"/>
        <v>1978290</v>
      </c>
      <c r="W242" s="741">
        <f t="shared" si="51"/>
        <v>151193</v>
      </c>
      <c r="X242" s="741">
        <f t="shared" si="52"/>
        <v>2129483</v>
      </c>
      <c r="Y242" s="741">
        <v>1428</v>
      </c>
      <c r="Z242" s="741">
        <f t="shared" si="53"/>
        <v>109</v>
      </c>
      <c r="AA242" s="747">
        <f t="shared" si="54"/>
        <v>2131020</v>
      </c>
    </row>
    <row r="243" spans="1:27">
      <c r="A243" s="742">
        <f t="shared" si="55"/>
        <v>2035</v>
      </c>
      <c r="B243" s="742">
        <f t="shared" si="56"/>
        <v>10</v>
      </c>
      <c r="C243" s="746">
        <f t="shared" si="44"/>
        <v>49583</v>
      </c>
      <c r="D243" s="739"/>
      <c r="E243" s="748">
        <v>882820</v>
      </c>
      <c r="F243" s="741">
        <v>841151</v>
      </c>
      <c r="G243" s="741">
        <v>64259</v>
      </c>
      <c r="H243" s="741">
        <v>5364</v>
      </c>
      <c r="I243" s="741">
        <v>483</v>
      </c>
      <c r="J243" s="741">
        <f t="shared" si="45"/>
        <v>1794077</v>
      </c>
      <c r="K243" s="741">
        <f t="shared" si="46"/>
        <v>137115</v>
      </c>
      <c r="L243" s="741">
        <f t="shared" si="47"/>
        <v>1931192</v>
      </c>
      <c r="M243" s="741">
        <v>1830</v>
      </c>
      <c r="N243" s="741">
        <f t="shared" si="48"/>
        <v>140</v>
      </c>
      <c r="O243" s="747">
        <f t="shared" si="49"/>
        <v>1933162</v>
      </c>
      <c r="Q243" s="748">
        <v>1069765</v>
      </c>
      <c r="R243" s="741">
        <v>1052631</v>
      </c>
      <c r="S243" s="741">
        <v>89826</v>
      </c>
      <c r="T243" s="741">
        <v>5364</v>
      </c>
      <c r="U243" s="741">
        <v>483</v>
      </c>
      <c r="V243" s="741">
        <f t="shared" si="50"/>
        <v>2218069</v>
      </c>
      <c r="W243" s="741">
        <f t="shared" si="51"/>
        <v>169519</v>
      </c>
      <c r="X243" s="741">
        <f t="shared" si="52"/>
        <v>2387588</v>
      </c>
      <c r="Y243" s="741">
        <v>1830</v>
      </c>
      <c r="Z243" s="741">
        <f t="shared" si="53"/>
        <v>140</v>
      </c>
      <c r="AA243" s="747">
        <f t="shared" si="54"/>
        <v>2389558</v>
      </c>
    </row>
    <row r="244" spans="1:27">
      <c r="A244" s="742">
        <f t="shared" si="55"/>
        <v>2035</v>
      </c>
      <c r="B244" s="742">
        <f t="shared" si="56"/>
        <v>11</v>
      </c>
      <c r="C244" s="746">
        <f t="shared" si="44"/>
        <v>49614</v>
      </c>
      <c r="D244" s="739"/>
      <c r="E244" s="748">
        <v>1101554</v>
      </c>
      <c r="F244" s="741">
        <v>883651</v>
      </c>
      <c r="G244" s="741">
        <v>58942</v>
      </c>
      <c r="H244" s="741">
        <v>5815</v>
      </c>
      <c r="I244" s="741">
        <v>698</v>
      </c>
      <c r="J244" s="741">
        <f t="shared" si="45"/>
        <v>2050660</v>
      </c>
      <c r="K244" s="741">
        <f t="shared" si="46"/>
        <v>156724</v>
      </c>
      <c r="L244" s="741">
        <f t="shared" si="47"/>
        <v>2207384</v>
      </c>
      <c r="M244" s="741">
        <v>1832</v>
      </c>
      <c r="N244" s="741">
        <f t="shared" si="48"/>
        <v>140</v>
      </c>
      <c r="O244" s="747">
        <f t="shared" si="49"/>
        <v>2209356</v>
      </c>
      <c r="Q244" s="748">
        <v>1310528</v>
      </c>
      <c r="R244" s="741">
        <v>1095244</v>
      </c>
      <c r="S244" s="741">
        <v>83373</v>
      </c>
      <c r="T244" s="741">
        <v>5815</v>
      </c>
      <c r="U244" s="741">
        <v>698</v>
      </c>
      <c r="V244" s="741">
        <f t="shared" si="50"/>
        <v>2495658</v>
      </c>
      <c r="W244" s="741">
        <f t="shared" si="51"/>
        <v>190734</v>
      </c>
      <c r="X244" s="741">
        <f t="shared" si="52"/>
        <v>2686392</v>
      </c>
      <c r="Y244" s="741">
        <v>1832</v>
      </c>
      <c r="Z244" s="741">
        <f t="shared" si="53"/>
        <v>140</v>
      </c>
      <c r="AA244" s="747">
        <f t="shared" si="54"/>
        <v>2688364</v>
      </c>
    </row>
    <row r="245" spans="1:27">
      <c r="A245" s="742">
        <f t="shared" si="55"/>
        <v>2035</v>
      </c>
      <c r="B245" s="742">
        <f t="shared" si="56"/>
        <v>12</v>
      </c>
      <c r="C245" s="746">
        <f t="shared" si="44"/>
        <v>49644</v>
      </c>
      <c r="D245" s="739"/>
      <c r="E245" s="748">
        <v>1405946</v>
      </c>
      <c r="F245" s="741">
        <v>972248</v>
      </c>
      <c r="G245" s="741">
        <v>57961</v>
      </c>
      <c r="H245" s="741">
        <v>5730</v>
      </c>
      <c r="I245" s="741">
        <v>1016</v>
      </c>
      <c r="J245" s="741">
        <f t="shared" si="45"/>
        <v>2442901</v>
      </c>
      <c r="K245" s="741">
        <f t="shared" si="46"/>
        <v>186702</v>
      </c>
      <c r="L245" s="741">
        <f t="shared" si="47"/>
        <v>2629603</v>
      </c>
      <c r="M245" s="741">
        <v>1718</v>
      </c>
      <c r="N245" s="741">
        <f t="shared" si="48"/>
        <v>131</v>
      </c>
      <c r="O245" s="747">
        <f t="shared" si="49"/>
        <v>2631452</v>
      </c>
      <c r="Q245" s="748">
        <v>1649227</v>
      </c>
      <c r="R245" s="741">
        <v>1198616</v>
      </c>
      <c r="S245" s="741">
        <v>83319</v>
      </c>
      <c r="T245" s="741">
        <v>5730</v>
      </c>
      <c r="U245" s="741">
        <v>1016</v>
      </c>
      <c r="V245" s="741">
        <f t="shared" si="50"/>
        <v>2937908</v>
      </c>
      <c r="W245" s="741">
        <f t="shared" si="51"/>
        <v>224533</v>
      </c>
      <c r="X245" s="741">
        <f t="shared" si="52"/>
        <v>3162441</v>
      </c>
      <c r="Y245" s="741">
        <v>1718</v>
      </c>
      <c r="Z245" s="741">
        <f t="shared" si="53"/>
        <v>131</v>
      </c>
      <c r="AA245" s="747">
        <f t="shared" si="54"/>
        <v>3164290</v>
      </c>
    </row>
    <row r="246" spans="1:27">
      <c r="A246" s="742">
        <f t="shared" si="55"/>
        <v>2036</v>
      </c>
      <c r="B246" s="742">
        <f t="shared" si="56"/>
        <v>1</v>
      </c>
      <c r="C246" s="746">
        <f t="shared" si="44"/>
        <v>49675</v>
      </c>
      <c r="D246" s="739"/>
      <c r="E246" s="748">
        <v>1369494</v>
      </c>
      <c r="F246" s="741">
        <v>955656</v>
      </c>
      <c r="G246" s="741">
        <v>68575</v>
      </c>
      <c r="H246" s="741">
        <v>5581</v>
      </c>
      <c r="I246" s="741">
        <v>883</v>
      </c>
      <c r="J246" s="741">
        <f t="shared" si="45"/>
        <v>2400189</v>
      </c>
      <c r="K246" s="741">
        <f t="shared" si="46"/>
        <v>183437</v>
      </c>
      <c r="L246" s="741">
        <f t="shared" si="47"/>
        <v>2583626</v>
      </c>
      <c r="M246" s="741">
        <v>2325</v>
      </c>
      <c r="N246" s="741">
        <f t="shared" si="48"/>
        <v>178</v>
      </c>
      <c r="O246" s="747">
        <f t="shared" si="49"/>
        <v>2586129</v>
      </c>
      <c r="Q246" s="748">
        <v>1599005</v>
      </c>
      <c r="R246" s="741">
        <v>1172324</v>
      </c>
      <c r="S246" s="741">
        <v>95205</v>
      </c>
      <c r="T246" s="741">
        <v>5581</v>
      </c>
      <c r="U246" s="741">
        <v>883</v>
      </c>
      <c r="V246" s="741">
        <f t="shared" si="50"/>
        <v>2872998</v>
      </c>
      <c r="W246" s="741">
        <f t="shared" si="51"/>
        <v>219573</v>
      </c>
      <c r="X246" s="741">
        <f t="shared" si="52"/>
        <v>3092571</v>
      </c>
      <c r="Y246" s="741">
        <v>2325</v>
      </c>
      <c r="Z246" s="741">
        <f t="shared" si="53"/>
        <v>178</v>
      </c>
      <c r="AA246" s="747">
        <f t="shared" si="54"/>
        <v>3095074</v>
      </c>
    </row>
    <row r="247" spans="1:27">
      <c r="A247" s="742">
        <f t="shared" si="55"/>
        <v>2036</v>
      </c>
      <c r="B247" s="742">
        <f t="shared" si="56"/>
        <v>2</v>
      </c>
      <c r="C247" s="746">
        <f t="shared" si="44"/>
        <v>49706</v>
      </c>
      <c r="D247" s="739"/>
      <c r="E247" s="748">
        <v>1193006</v>
      </c>
      <c r="F247" s="741">
        <v>893869</v>
      </c>
      <c r="G247" s="741">
        <v>61933</v>
      </c>
      <c r="H247" s="741">
        <v>5230</v>
      </c>
      <c r="I247" s="741">
        <v>835</v>
      </c>
      <c r="J247" s="741">
        <f t="shared" si="45"/>
        <v>2154873</v>
      </c>
      <c r="K247" s="741">
        <f t="shared" si="46"/>
        <v>164689</v>
      </c>
      <c r="L247" s="741">
        <f t="shared" si="47"/>
        <v>2319562</v>
      </c>
      <c r="M247" s="741">
        <v>2433</v>
      </c>
      <c r="N247" s="741">
        <f t="shared" si="48"/>
        <v>186</v>
      </c>
      <c r="O247" s="747">
        <f t="shared" si="49"/>
        <v>2322181</v>
      </c>
      <c r="Q247" s="748">
        <v>1361791</v>
      </c>
      <c r="R247" s="741">
        <v>1070241</v>
      </c>
      <c r="S247" s="741">
        <v>83092</v>
      </c>
      <c r="T247" s="741">
        <v>5230</v>
      </c>
      <c r="U247" s="741">
        <v>835</v>
      </c>
      <c r="V247" s="741">
        <f t="shared" si="50"/>
        <v>2521189</v>
      </c>
      <c r="W247" s="741">
        <f t="shared" si="51"/>
        <v>192685</v>
      </c>
      <c r="X247" s="741">
        <f t="shared" si="52"/>
        <v>2713874</v>
      </c>
      <c r="Y247" s="741">
        <v>2433</v>
      </c>
      <c r="Z247" s="741">
        <f t="shared" si="53"/>
        <v>186</v>
      </c>
      <c r="AA247" s="747">
        <f t="shared" si="54"/>
        <v>2716493</v>
      </c>
    </row>
    <row r="248" spans="1:27">
      <c r="A248" s="742">
        <f t="shared" si="55"/>
        <v>2036</v>
      </c>
      <c r="B248" s="742">
        <f t="shared" si="56"/>
        <v>3</v>
      </c>
      <c r="C248" s="746">
        <f t="shared" si="44"/>
        <v>49735</v>
      </c>
      <c r="D248" s="739"/>
      <c r="E248" s="748">
        <v>1138779</v>
      </c>
      <c r="F248" s="741">
        <v>903389</v>
      </c>
      <c r="G248" s="741">
        <v>63381</v>
      </c>
      <c r="H248" s="741">
        <v>5548</v>
      </c>
      <c r="I248" s="741">
        <v>825</v>
      </c>
      <c r="J248" s="741">
        <f t="shared" si="45"/>
        <v>2111922</v>
      </c>
      <c r="K248" s="741">
        <f t="shared" si="46"/>
        <v>161406</v>
      </c>
      <c r="L248" s="741">
        <f t="shared" si="47"/>
        <v>2273328</v>
      </c>
      <c r="M248" s="741">
        <v>2339</v>
      </c>
      <c r="N248" s="741">
        <f t="shared" si="48"/>
        <v>179</v>
      </c>
      <c r="O248" s="747">
        <f t="shared" si="49"/>
        <v>2275846</v>
      </c>
      <c r="Q248" s="748">
        <v>1360472</v>
      </c>
      <c r="R248" s="741">
        <v>1133782</v>
      </c>
      <c r="S248" s="741">
        <v>91466</v>
      </c>
      <c r="T248" s="741">
        <v>5548</v>
      </c>
      <c r="U248" s="741">
        <v>825</v>
      </c>
      <c r="V248" s="741">
        <f t="shared" si="50"/>
        <v>2592093</v>
      </c>
      <c r="W248" s="741">
        <f t="shared" si="51"/>
        <v>198104</v>
      </c>
      <c r="X248" s="741">
        <f t="shared" si="52"/>
        <v>2790197</v>
      </c>
      <c r="Y248" s="741">
        <v>2339</v>
      </c>
      <c r="Z248" s="741">
        <f t="shared" si="53"/>
        <v>179</v>
      </c>
      <c r="AA248" s="747">
        <f t="shared" si="54"/>
        <v>2792715</v>
      </c>
    </row>
    <row r="249" spans="1:27">
      <c r="A249" s="742">
        <f t="shared" si="55"/>
        <v>2036</v>
      </c>
      <c r="B249" s="742">
        <f t="shared" si="56"/>
        <v>4</v>
      </c>
      <c r="C249" s="746">
        <f t="shared" si="44"/>
        <v>49766</v>
      </c>
      <c r="D249" s="739"/>
      <c r="E249" s="748">
        <v>932900</v>
      </c>
      <c r="F249" s="741">
        <v>823123</v>
      </c>
      <c r="G249" s="741">
        <v>58460</v>
      </c>
      <c r="H249" s="741">
        <v>4888</v>
      </c>
      <c r="I249" s="741">
        <v>592</v>
      </c>
      <c r="J249" s="741">
        <f t="shared" si="45"/>
        <v>1819963</v>
      </c>
      <c r="K249" s="741">
        <f t="shared" si="46"/>
        <v>139093</v>
      </c>
      <c r="L249" s="741">
        <f t="shared" si="47"/>
        <v>1959056</v>
      </c>
      <c r="M249" s="741">
        <v>2172</v>
      </c>
      <c r="N249" s="741">
        <f t="shared" si="48"/>
        <v>166</v>
      </c>
      <c r="O249" s="747">
        <f t="shared" si="49"/>
        <v>1961394</v>
      </c>
      <c r="Q249" s="748">
        <v>1110788</v>
      </c>
      <c r="R249" s="741">
        <v>1028887</v>
      </c>
      <c r="S249" s="741">
        <v>83280</v>
      </c>
      <c r="T249" s="741">
        <v>4888</v>
      </c>
      <c r="U249" s="741">
        <v>592</v>
      </c>
      <c r="V249" s="741">
        <f t="shared" si="50"/>
        <v>2228435</v>
      </c>
      <c r="W249" s="741">
        <f t="shared" si="51"/>
        <v>170311</v>
      </c>
      <c r="X249" s="741">
        <f t="shared" si="52"/>
        <v>2398746</v>
      </c>
      <c r="Y249" s="741">
        <v>2172</v>
      </c>
      <c r="Z249" s="741">
        <f t="shared" si="53"/>
        <v>166</v>
      </c>
      <c r="AA249" s="747">
        <f t="shared" si="54"/>
        <v>2401084</v>
      </c>
    </row>
    <row r="250" spans="1:27">
      <c r="A250" s="742">
        <f t="shared" si="55"/>
        <v>2036</v>
      </c>
      <c r="B250" s="742">
        <f t="shared" si="56"/>
        <v>5</v>
      </c>
      <c r="C250" s="746">
        <f t="shared" si="44"/>
        <v>49796</v>
      </c>
      <c r="D250" s="739"/>
      <c r="E250" s="748">
        <v>797061</v>
      </c>
      <c r="F250" s="741">
        <v>817939</v>
      </c>
      <c r="G250" s="741">
        <v>61035</v>
      </c>
      <c r="H250" s="741">
        <v>5170</v>
      </c>
      <c r="I250" s="741">
        <v>458</v>
      </c>
      <c r="J250" s="741">
        <f t="shared" si="45"/>
        <v>1681663</v>
      </c>
      <c r="K250" s="741">
        <f t="shared" si="46"/>
        <v>128523</v>
      </c>
      <c r="L250" s="741">
        <f t="shared" si="47"/>
        <v>1810186</v>
      </c>
      <c r="M250" s="741">
        <v>2174</v>
      </c>
      <c r="N250" s="741">
        <f t="shared" si="48"/>
        <v>166</v>
      </c>
      <c r="O250" s="747">
        <f t="shared" si="49"/>
        <v>1812526</v>
      </c>
      <c r="Q250" s="748">
        <v>959422</v>
      </c>
      <c r="R250" s="741">
        <v>1021785</v>
      </c>
      <c r="S250" s="741">
        <v>87046</v>
      </c>
      <c r="T250" s="741">
        <v>5170</v>
      </c>
      <c r="U250" s="741">
        <v>458</v>
      </c>
      <c r="V250" s="741">
        <f t="shared" si="50"/>
        <v>2073881</v>
      </c>
      <c r="W250" s="741">
        <f t="shared" si="51"/>
        <v>158499</v>
      </c>
      <c r="X250" s="741">
        <f t="shared" si="52"/>
        <v>2232380</v>
      </c>
      <c r="Y250" s="741">
        <v>2174</v>
      </c>
      <c r="Z250" s="741">
        <f t="shared" si="53"/>
        <v>166</v>
      </c>
      <c r="AA250" s="747">
        <f t="shared" si="54"/>
        <v>2234720</v>
      </c>
    </row>
    <row r="251" spans="1:27">
      <c r="A251" s="742">
        <f t="shared" si="55"/>
        <v>2036</v>
      </c>
      <c r="B251" s="742">
        <f t="shared" si="56"/>
        <v>6</v>
      </c>
      <c r="C251" s="746">
        <f t="shared" si="44"/>
        <v>49827</v>
      </c>
      <c r="D251" s="739"/>
      <c r="E251" s="748">
        <v>727768</v>
      </c>
      <c r="F251" s="741">
        <v>811048</v>
      </c>
      <c r="G251" s="741">
        <v>61845</v>
      </c>
      <c r="H251" s="741">
        <v>5179</v>
      </c>
      <c r="I251" s="741">
        <v>356</v>
      </c>
      <c r="J251" s="741">
        <f t="shared" si="45"/>
        <v>1606196</v>
      </c>
      <c r="K251" s="741">
        <f t="shared" si="46"/>
        <v>122756</v>
      </c>
      <c r="L251" s="741">
        <f t="shared" si="47"/>
        <v>1728952</v>
      </c>
      <c r="M251" s="741">
        <v>1787</v>
      </c>
      <c r="N251" s="741">
        <f t="shared" si="48"/>
        <v>137</v>
      </c>
      <c r="O251" s="747">
        <f t="shared" si="49"/>
        <v>1730876</v>
      </c>
      <c r="Q251" s="748">
        <v>886030</v>
      </c>
      <c r="R251" s="741">
        <v>1012321</v>
      </c>
      <c r="S251" s="741">
        <v>87854</v>
      </c>
      <c r="T251" s="741">
        <v>5179</v>
      </c>
      <c r="U251" s="741">
        <v>356</v>
      </c>
      <c r="V251" s="741">
        <f t="shared" si="50"/>
        <v>1991740</v>
      </c>
      <c r="W251" s="741">
        <f t="shared" si="51"/>
        <v>152221</v>
      </c>
      <c r="X251" s="741">
        <f t="shared" si="52"/>
        <v>2143961</v>
      </c>
      <c r="Y251" s="741">
        <v>1787</v>
      </c>
      <c r="Z251" s="741">
        <f t="shared" si="53"/>
        <v>137</v>
      </c>
      <c r="AA251" s="747">
        <f t="shared" si="54"/>
        <v>2145885</v>
      </c>
    </row>
    <row r="252" spans="1:27">
      <c r="A252" s="742">
        <f t="shared" si="55"/>
        <v>2036</v>
      </c>
      <c r="B252" s="742">
        <f t="shared" si="56"/>
        <v>7</v>
      </c>
      <c r="C252" s="746">
        <f t="shared" si="44"/>
        <v>49857</v>
      </c>
      <c r="D252" s="739"/>
      <c r="E252" s="748">
        <v>720710</v>
      </c>
      <c r="F252" s="741">
        <v>855246</v>
      </c>
      <c r="G252" s="741">
        <v>63710</v>
      </c>
      <c r="H252" s="741">
        <v>4975</v>
      </c>
      <c r="I252" s="741">
        <v>315</v>
      </c>
      <c r="J252" s="741">
        <f t="shared" si="45"/>
        <v>1644956</v>
      </c>
      <c r="K252" s="741">
        <f t="shared" si="46"/>
        <v>125718</v>
      </c>
      <c r="L252" s="741">
        <f t="shared" si="47"/>
        <v>1770674</v>
      </c>
      <c r="M252" s="741">
        <v>2889</v>
      </c>
      <c r="N252" s="741">
        <f t="shared" si="48"/>
        <v>221</v>
      </c>
      <c r="O252" s="747">
        <f t="shared" si="49"/>
        <v>1773784</v>
      </c>
      <c r="Q252" s="748">
        <v>890252</v>
      </c>
      <c r="R252" s="741">
        <v>1067127</v>
      </c>
      <c r="S252" s="741">
        <v>90343</v>
      </c>
      <c r="T252" s="741">
        <v>4975</v>
      </c>
      <c r="U252" s="741">
        <v>315</v>
      </c>
      <c r="V252" s="741">
        <f t="shared" si="50"/>
        <v>2053012</v>
      </c>
      <c r="W252" s="741">
        <f t="shared" si="51"/>
        <v>156904</v>
      </c>
      <c r="X252" s="741">
        <f t="shared" si="52"/>
        <v>2209916</v>
      </c>
      <c r="Y252" s="741">
        <v>2889</v>
      </c>
      <c r="Z252" s="741">
        <f t="shared" si="53"/>
        <v>221</v>
      </c>
      <c r="AA252" s="747">
        <f t="shared" si="54"/>
        <v>2213026</v>
      </c>
    </row>
    <row r="253" spans="1:27">
      <c r="A253" s="742">
        <f t="shared" si="55"/>
        <v>2036</v>
      </c>
      <c r="B253" s="742">
        <f t="shared" si="56"/>
        <v>8</v>
      </c>
      <c r="C253" s="746">
        <f t="shared" si="44"/>
        <v>49888</v>
      </c>
      <c r="D253" s="739"/>
      <c r="E253" s="748">
        <v>702226</v>
      </c>
      <c r="F253" s="741">
        <v>884019</v>
      </c>
      <c r="G253" s="741">
        <v>66071</v>
      </c>
      <c r="H253" s="741">
        <v>5132</v>
      </c>
      <c r="I253" s="741">
        <v>285</v>
      </c>
      <c r="J253" s="741">
        <f t="shared" si="45"/>
        <v>1657733</v>
      </c>
      <c r="K253" s="741">
        <f t="shared" si="46"/>
        <v>126694</v>
      </c>
      <c r="L253" s="741">
        <f t="shared" si="47"/>
        <v>1784427</v>
      </c>
      <c r="M253" s="741">
        <v>1634</v>
      </c>
      <c r="N253" s="741">
        <f t="shared" si="48"/>
        <v>125</v>
      </c>
      <c r="O253" s="747">
        <f t="shared" si="49"/>
        <v>1786186</v>
      </c>
      <c r="Q253" s="748">
        <v>871831</v>
      </c>
      <c r="R253" s="741">
        <v>1099807</v>
      </c>
      <c r="S253" s="741">
        <v>93353</v>
      </c>
      <c r="T253" s="741">
        <v>5132</v>
      </c>
      <c r="U253" s="741">
        <v>285</v>
      </c>
      <c r="V253" s="741">
        <f t="shared" si="50"/>
        <v>2070408</v>
      </c>
      <c r="W253" s="741">
        <f t="shared" si="51"/>
        <v>158234</v>
      </c>
      <c r="X253" s="741">
        <f t="shared" si="52"/>
        <v>2228642</v>
      </c>
      <c r="Y253" s="741">
        <v>1634</v>
      </c>
      <c r="Z253" s="741">
        <f t="shared" si="53"/>
        <v>125</v>
      </c>
      <c r="AA253" s="747">
        <f t="shared" si="54"/>
        <v>2230401</v>
      </c>
    </row>
    <row r="254" spans="1:27">
      <c r="A254" s="742">
        <f t="shared" si="55"/>
        <v>2036</v>
      </c>
      <c r="B254" s="742">
        <f t="shared" si="56"/>
        <v>9</v>
      </c>
      <c r="C254" s="746">
        <f t="shared" si="44"/>
        <v>49919</v>
      </c>
      <c r="D254" s="739"/>
      <c r="E254" s="748">
        <v>711309</v>
      </c>
      <c r="F254" s="741">
        <v>833507</v>
      </c>
      <c r="G254" s="741">
        <v>60603</v>
      </c>
      <c r="H254" s="741">
        <v>5002</v>
      </c>
      <c r="I254" s="741">
        <v>324</v>
      </c>
      <c r="J254" s="741">
        <f t="shared" si="45"/>
        <v>1610745</v>
      </c>
      <c r="K254" s="741">
        <f t="shared" si="46"/>
        <v>123103</v>
      </c>
      <c r="L254" s="741">
        <f t="shared" si="47"/>
        <v>1733848</v>
      </c>
      <c r="M254" s="741">
        <v>1428</v>
      </c>
      <c r="N254" s="741">
        <f t="shared" si="48"/>
        <v>109</v>
      </c>
      <c r="O254" s="747">
        <f t="shared" si="49"/>
        <v>1735385</v>
      </c>
      <c r="Q254" s="748">
        <v>876816</v>
      </c>
      <c r="R254" s="741">
        <v>1040056</v>
      </c>
      <c r="S254" s="741">
        <v>86148</v>
      </c>
      <c r="T254" s="741">
        <v>5002</v>
      </c>
      <c r="U254" s="741">
        <v>324</v>
      </c>
      <c r="V254" s="741">
        <f t="shared" si="50"/>
        <v>2008346</v>
      </c>
      <c r="W254" s="741">
        <f t="shared" si="51"/>
        <v>153490</v>
      </c>
      <c r="X254" s="741">
        <f t="shared" si="52"/>
        <v>2161836</v>
      </c>
      <c r="Y254" s="741">
        <v>1428</v>
      </c>
      <c r="Z254" s="741">
        <f t="shared" si="53"/>
        <v>109</v>
      </c>
      <c r="AA254" s="747">
        <f t="shared" si="54"/>
        <v>2163373</v>
      </c>
    </row>
    <row r="255" spans="1:27">
      <c r="A255" s="742">
        <f t="shared" si="55"/>
        <v>2036</v>
      </c>
      <c r="B255" s="742">
        <f t="shared" si="56"/>
        <v>10</v>
      </c>
      <c r="C255" s="746">
        <f t="shared" si="44"/>
        <v>49949</v>
      </c>
      <c r="D255" s="739"/>
      <c r="E255" s="748">
        <v>895257</v>
      </c>
      <c r="F255" s="741">
        <v>854592</v>
      </c>
      <c r="G255" s="741">
        <v>63443</v>
      </c>
      <c r="H255" s="741">
        <v>5293</v>
      </c>
      <c r="I255" s="741">
        <v>483</v>
      </c>
      <c r="J255" s="741">
        <f t="shared" si="45"/>
        <v>1819068</v>
      </c>
      <c r="K255" s="741">
        <f t="shared" si="46"/>
        <v>139025</v>
      </c>
      <c r="L255" s="741">
        <f t="shared" si="47"/>
        <v>1958093</v>
      </c>
      <c r="M255" s="741">
        <v>1830</v>
      </c>
      <c r="N255" s="741">
        <f t="shared" si="48"/>
        <v>140</v>
      </c>
      <c r="O255" s="747">
        <f t="shared" si="49"/>
        <v>1960063</v>
      </c>
      <c r="Q255" s="748">
        <v>1086800</v>
      </c>
      <c r="R255" s="741">
        <v>1068783</v>
      </c>
      <c r="S255" s="741">
        <v>89259</v>
      </c>
      <c r="T255" s="741">
        <v>5293</v>
      </c>
      <c r="U255" s="741">
        <v>483</v>
      </c>
      <c r="V255" s="741">
        <f t="shared" si="50"/>
        <v>2250618</v>
      </c>
      <c r="W255" s="741">
        <f t="shared" si="51"/>
        <v>172006</v>
      </c>
      <c r="X255" s="741">
        <f t="shared" si="52"/>
        <v>2422624</v>
      </c>
      <c r="Y255" s="741">
        <v>1830</v>
      </c>
      <c r="Z255" s="741">
        <f t="shared" si="53"/>
        <v>140</v>
      </c>
      <c r="AA255" s="747">
        <f t="shared" si="54"/>
        <v>2424594</v>
      </c>
    </row>
    <row r="256" spans="1:27">
      <c r="A256" s="742">
        <f t="shared" si="55"/>
        <v>2036</v>
      </c>
      <c r="B256" s="742">
        <f t="shared" si="56"/>
        <v>11</v>
      </c>
      <c r="C256" s="746">
        <f t="shared" si="44"/>
        <v>49980</v>
      </c>
      <c r="D256" s="739"/>
      <c r="E256" s="748">
        <v>1115516</v>
      </c>
      <c r="F256" s="741">
        <v>897414</v>
      </c>
      <c r="G256" s="741">
        <v>58165</v>
      </c>
      <c r="H256" s="741">
        <v>5744</v>
      </c>
      <c r="I256" s="741">
        <v>698</v>
      </c>
      <c r="J256" s="741">
        <f t="shared" si="45"/>
        <v>2077537</v>
      </c>
      <c r="K256" s="741">
        <f t="shared" si="46"/>
        <v>158778</v>
      </c>
      <c r="L256" s="741">
        <f t="shared" si="47"/>
        <v>2236315</v>
      </c>
      <c r="M256" s="741">
        <v>1832</v>
      </c>
      <c r="N256" s="741">
        <f t="shared" si="48"/>
        <v>140</v>
      </c>
      <c r="O256" s="747">
        <f t="shared" si="49"/>
        <v>2238287</v>
      </c>
      <c r="Q256" s="748">
        <v>1329746</v>
      </c>
      <c r="R256" s="741">
        <v>1111886</v>
      </c>
      <c r="S256" s="741">
        <v>82835</v>
      </c>
      <c r="T256" s="741">
        <v>5744</v>
      </c>
      <c r="U256" s="741">
        <v>698</v>
      </c>
      <c r="V256" s="741">
        <f t="shared" si="50"/>
        <v>2530909</v>
      </c>
      <c r="W256" s="741">
        <f t="shared" si="51"/>
        <v>193428</v>
      </c>
      <c r="X256" s="741">
        <f t="shared" si="52"/>
        <v>2724337</v>
      </c>
      <c r="Y256" s="741">
        <v>1832</v>
      </c>
      <c r="Z256" s="741">
        <f t="shared" si="53"/>
        <v>140</v>
      </c>
      <c r="AA256" s="747">
        <f t="shared" si="54"/>
        <v>2726309</v>
      </c>
    </row>
    <row r="257" spans="1:27">
      <c r="A257" s="742">
        <f t="shared" si="55"/>
        <v>2036</v>
      </c>
      <c r="B257" s="742">
        <f t="shared" si="56"/>
        <v>12</v>
      </c>
      <c r="C257" s="746">
        <f t="shared" si="44"/>
        <v>50010</v>
      </c>
      <c r="D257" s="739"/>
      <c r="E257" s="748">
        <v>1422793</v>
      </c>
      <c r="F257" s="741">
        <v>987253</v>
      </c>
      <c r="G257" s="741">
        <v>57166</v>
      </c>
      <c r="H257" s="741">
        <v>5660</v>
      </c>
      <c r="I257" s="741">
        <v>1016</v>
      </c>
      <c r="J257" s="741">
        <f t="shared" si="45"/>
        <v>2473888</v>
      </c>
      <c r="K257" s="741">
        <f t="shared" si="46"/>
        <v>189070</v>
      </c>
      <c r="L257" s="741">
        <f t="shared" si="47"/>
        <v>2662958</v>
      </c>
      <c r="M257" s="741">
        <v>1718</v>
      </c>
      <c r="N257" s="741">
        <f t="shared" si="48"/>
        <v>131</v>
      </c>
      <c r="O257" s="747">
        <f t="shared" si="49"/>
        <v>2664807</v>
      </c>
      <c r="Q257" s="748">
        <v>1672203</v>
      </c>
      <c r="R257" s="741">
        <v>1216803</v>
      </c>
      <c r="S257" s="741">
        <v>82769</v>
      </c>
      <c r="T257" s="741">
        <v>5660</v>
      </c>
      <c r="U257" s="741">
        <v>1016</v>
      </c>
      <c r="V257" s="741">
        <f t="shared" si="50"/>
        <v>2978451</v>
      </c>
      <c r="W257" s="741">
        <f t="shared" si="51"/>
        <v>227632</v>
      </c>
      <c r="X257" s="741">
        <f t="shared" si="52"/>
        <v>3206083</v>
      </c>
      <c r="Y257" s="741">
        <v>1718</v>
      </c>
      <c r="Z257" s="741">
        <f t="shared" si="53"/>
        <v>131</v>
      </c>
      <c r="AA257" s="747">
        <f t="shared" si="54"/>
        <v>3207932</v>
      </c>
    </row>
    <row r="258" spans="1:27">
      <c r="A258" s="742">
        <f t="shared" si="55"/>
        <v>2037</v>
      </c>
      <c r="B258" s="742">
        <f t="shared" si="56"/>
        <v>1</v>
      </c>
      <c r="C258" s="746">
        <f t="shared" si="44"/>
        <v>50041</v>
      </c>
      <c r="D258" s="739"/>
      <c r="E258" s="748">
        <v>1385368</v>
      </c>
      <c r="F258" s="741">
        <v>970015</v>
      </c>
      <c r="G258" s="741">
        <v>67680</v>
      </c>
      <c r="H258" s="741">
        <v>5509</v>
      </c>
      <c r="I258" s="741">
        <v>883</v>
      </c>
      <c r="J258" s="741">
        <f t="shared" si="45"/>
        <v>2429455</v>
      </c>
      <c r="K258" s="741">
        <f t="shared" si="46"/>
        <v>185674</v>
      </c>
      <c r="L258" s="741">
        <f t="shared" si="47"/>
        <v>2615129</v>
      </c>
      <c r="M258" s="741">
        <v>2325</v>
      </c>
      <c r="N258" s="741">
        <f t="shared" si="48"/>
        <v>178</v>
      </c>
      <c r="O258" s="747">
        <f t="shared" si="49"/>
        <v>2617632</v>
      </c>
      <c r="Q258" s="748">
        <v>1621001</v>
      </c>
      <c r="R258" s="741">
        <v>1190239</v>
      </c>
      <c r="S258" s="741">
        <v>94562</v>
      </c>
      <c r="T258" s="741">
        <v>5509</v>
      </c>
      <c r="U258" s="741">
        <v>883</v>
      </c>
      <c r="V258" s="741">
        <f t="shared" si="50"/>
        <v>2912194</v>
      </c>
      <c r="W258" s="741">
        <f t="shared" si="51"/>
        <v>222568</v>
      </c>
      <c r="X258" s="741">
        <f t="shared" si="52"/>
        <v>3134762</v>
      </c>
      <c r="Y258" s="741">
        <v>2325</v>
      </c>
      <c r="Z258" s="741">
        <f t="shared" si="53"/>
        <v>178</v>
      </c>
      <c r="AA258" s="747">
        <f t="shared" si="54"/>
        <v>3137265</v>
      </c>
    </row>
    <row r="259" spans="1:27">
      <c r="A259" s="742">
        <f t="shared" si="55"/>
        <v>2037</v>
      </c>
      <c r="B259" s="742">
        <f t="shared" si="56"/>
        <v>2</v>
      </c>
      <c r="C259" s="746">
        <f t="shared" si="44"/>
        <v>50072</v>
      </c>
      <c r="D259" s="739"/>
      <c r="E259" s="748">
        <v>1159137</v>
      </c>
      <c r="F259" s="741">
        <v>871698</v>
      </c>
      <c r="G259" s="741">
        <v>57212</v>
      </c>
      <c r="H259" s="741">
        <v>5012</v>
      </c>
      <c r="I259" s="741">
        <v>817</v>
      </c>
      <c r="J259" s="741">
        <f t="shared" si="45"/>
        <v>2093876</v>
      </c>
      <c r="K259" s="741">
        <f t="shared" si="46"/>
        <v>160027</v>
      </c>
      <c r="L259" s="741">
        <f t="shared" si="47"/>
        <v>2253903</v>
      </c>
      <c r="M259" s="741">
        <v>2433</v>
      </c>
      <c r="N259" s="741">
        <f t="shared" si="48"/>
        <v>186</v>
      </c>
      <c r="O259" s="747">
        <f t="shared" si="49"/>
        <v>2256522</v>
      </c>
      <c r="Q259" s="748">
        <v>1355973</v>
      </c>
      <c r="R259" s="741">
        <v>1067902</v>
      </c>
      <c r="S259" s="741">
        <v>80286</v>
      </c>
      <c r="T259" s="741">
        <v>5012</v>
      </c>
      <c r="U259" s="741">
        <v>817</v>
      </c>
      <c r="V259" s="741">
        <f t="shared" si="50"/>
        <v>2509990</v>
      </c>
      <c r="W259" s="741">
        <f t="shared" si="51"/>
        <v>191829</v>
      </c>
      <c r="X259" s="741">
        <f t="shared" si="52"/>
        <v>2701819</v>
      </c>
      <c r="Y259" s="741">
        <v>2433</v>
      </c>
      <c r="Z259" s="741">
        <f t="shared" si="53"/>
        <v>186</v>
      </c>
      <c r="AA259" s="747">
        <f t="shared" si="54"/>
        <v>2704438</v>
      </c>
    </row>
    <row r="260" spans="1:27">
      <c r="A260" s="742">
        <f t="shared" si="55"/>
        <v>2037</v>
      </c>
      <c r="B260" s="742">
        <f t="shared" si="56"/>
        <v>3</v>
      </c>
      <c r="C260" s="746">
        <f t="shared" si="44"/>
        <v>50100</v>
      </c>
      <c r="D260" s="739"/>
      <c r="E260" s="748">
        <v>1151957</v>
      </c>
      <c r="F260" s="741">
        <v>914017</v>
      </c>
      <c r="G260" s="741">
        <v>63439</v>
      </c>
      <c r="H260" s="741">
        <v>5431</v>
      </c>
      <c r="I260" s="741">
        <v>814</v>
      </c>
      <c r="J260" s="741">
        <f t="shared" si="45"/>
        <v>2135658</v>
      </c>
      <c r="K260" s="741">
        <f t="shared" si="46"/>
        <v>163220</v>
      </c>
      <c r="L260" s="741">
        <f t="shared" si="47"/>
        <v>2298878</v>
      </c>
      <c r="M260" s="741">
        <v>2339</v>
      </c>
      <c r="N260" s="741">
        <f t="shared" si="48"/>
        <v>179</v>
      </c>
      <c r="O260" s="747">
        <f t="shared" si="49"/>
        <v>2301396</v>
      </c>
      <c r="Q260" s="748">
        <v>1356483</v>
      </c>
      <c r="R260" s="741">
        <v>1131819</v>
      </c>
      <c r="S260" s="741">
        <v>90063</v>
      </c>
      <c r="T260" s="741">
        <v>5431</v>
      </c>
      <c r="U260" s="741">
        <v>814</v>
      </c>
      <c r="V260" s="741">
        <f t="shared" si="50"/>
        <v>2584610</v>
      </c>
      <c r="W260" s="741">
        <f t="shared" si="51"/>
        <v>197532</v>
      </c>
      <c r="X260" s="741">
        <f t="shared" si="52"/>
        <v>2782142</v>
      </c>
      <c r="Y260" s="741">
        <v>2339</v>
      </c>
      <c r="Z260" s="741">
        <f t="shared" si="53"/>
        <v>179</v>
      </c>
      <c r="AA260" s="747">
        <f t="shared" si="54"/>
        <v>2784660</v>
      </c>
    </row>
    <row r="261" spans="1:27">
      <c r="A261" s="742">
        <f t="shared" si="55"/>
        <v>2037</v>
      </c>
      <c r="B261" s="742">
        <f t="shared" si="56"/>
        <v>4</v>
      </c>
      <c r="C261" s="746">
        <f t="shared" si="44"/>
        <v>50131</v>
      </c>
      <c r="D261" s="739"/>
      <c r="E261" s="748">
        <v>944386</v>
      </c>
      <c r="F261" s="741">
        <v>836249</v>
      </c>
      <c r="G261" s="741">
        <v>57640</v>
      </c>
      <c r="H261" s="741">
        <v>4818</v>
      </c>
      <c r="I261" s="741">
        <v>592</v>
      </c>
      <c r="J261" s="741">
        <f t="shared" si="45"/>
        <v>1843685</v>
      </c>
      <c r="K261" s="741">
        <f t="shared" si="46"/>
        <v>140906</v>
      </c>
      <c r="L261" s="741">
        <f t="shared" si="47"/>
        <v>1984591</v>
      </c>
      <c r="M261" s="741">
        <v>2172</v>
      </c>
      <c r="N261" s="741">
        <f t="shared" si="48"/>
        <v>166</v>
      </c>
      <c r="O261" s="747">
        <f t="shared" si="49"/>
        <v>1986929</v>
      </c>
      <c r="Q261" s="748">
        <v>1126616</v>
      </c>
      <c r="R261" s="741">
        <v>1044837</v>
      </c>
      <c r="S261" s="741">
        <v>82675</v>
      </c>
      <c r="T261" s="741">
        <v>4818</v>
      </c>
      <c r="U261" s="741">
        <v>592</v>
      </c>
      <c r="V261" s="741">
        <f t="shared" si="50"/>
        <v>2259538</v>
      </c>
      <c r="W261" s="741">
        <f t="shared" si="51"/>
        <v>172688</v>
      </c>
      <c r="X261" s="741">
        <f t="shared" si="52"/>
        <v>2432226</v>
      </c>
      <c r="Y261" s="741">
        <v>2172</v>
      </c>
      <c r="Z261" s="741">
        <f t="shared" si="53"/>
        <v>166</v>
      </c>
      <c r="AA261" s="747">
        <f t="shared" si="54"/>
        <v>2434564</v>
      </c>
    </row>
    <row r="262" spans="1:27">
      <c r="A262" s="742">
        <f t="shared" si="55"/>
        <v>2037</v>
      </c>
      <c r="B262" s="742">
        <f t="shared" si="56"/>
        <v>5</v>
      </c>
      <c r="C262" s="746">
        <f t="shared" si="44"/>
        <v>50161</v>
      </c>
      <c r="D262" s="739"/>
      <c r="E262" s="748">
        <v>807033</v>
      </c>
      <c r="F262" s="741">
        <v>831034</v>
      </c>
      <c r="G262" s="741">
        <v>60170</v>
      </c>
      <c r="H262" s="741">
        <v>5097</v>
      </c>
      <c r="I262" s="741">
        <v>458</v>
      </c>
      <c r="J262" s="741">
        <f t="shared" si="45"/>
        <v>1703792</v>
      </c>
      <c r="K262" s="741">
        <f t="shared" si="46"/>
        <v>130214</v>
      </c>
      <c r="L262" s="741">
        <f t="shared" si="47"/>
        <v>1834006</v>
      </c>
      <c r="M262" s="741">
        <v>2174</v>
      </c>
      <c r="N262" s="741">
        <f t="shared" si="48"/>
        <v>166</v>
      </c>
      <c r="O262" s="747">
        <f t="shared" si="49"/>
        <v>1836346</v>
      </c>
      <c r="Q262" s="748">
        <v>973204</v>
      </c>
      <c r="R262" s="741">
        <v>1037530</v>
      </c>
      <c r="S262" s="741">
        <v>86401</v>
      </c>
      <c r="T262" s="741">
        <v>5097</v>
      </c>
      <c r="U262" s="741">
        <v>458</v>
      </c>
      <c r="V262" s="741">
        <f t="shared" si="50"/>
        <v>2102690</v>
      </c>
      <c r="W262" s="741">
        <f t="shared" si="51"/>
        <v>160701</v>
      </c>
      <c r="X262" s="741">
        <f t="shared" si="52"/>
        <v>2263391</v>
      </c>
      <c r="Y262" s="741">
        <v>2174</v>
      </c>
      <c r="Z262" s="741">
        <f t="shared" si="53"/>
        <v>166</v>
      </c>
      <c r="AA262" s="747">
        <f t="shared" si="54"/>
        <v>2265731</v>
      </c>
    </row>
    <row r="263" spans="1:27">
      <c r="A263" s="742">
        <f t="shared" si="55"/>
        <v>2037</v>
      </c>
      <c r="B263" s="742">
        <f t="shared" si="56"/>
        <v>6</v>
      </c>
      <c r="C263" s="746">
        <f t="shared" si="44"/>
        <v>50192</v>
      </c>
      <c r="D263" s="739"/>
      <c r="E263" s="748">
        <v>736749</v>
      </c>
      <c r="F263" s="741">
        <v>823713</v>
      </c>
      <c r="G263" s="741">
        <v>60968</v>
      </c>
      <c r="H263" s="741">
        <v>5107</v>
      </c>
      <c r="I263" s="741">
        <v>356</v>
      </c>
      <c r="J263" s="741">
        <f t="shared" si="45"/>
        <v>1626893</v>
      </c>
      <c r="K263" s="741">
        <f t="shared" si="46"/>
        <v>124337</v>
      </c>
      <c r="L263" s="741">
        <f t="shared" si="47"/>
        <v>1751230</v>
      </c>
      <c r="M263" s="741">
        <v>1787</v>
      </c>
      <c r="N263" s="741">
        <f t="shared" si="48"/>
        <v>137</v>
      </c>
      <c r="O263" s="747">
        <f t="shared" si="49"/>
        <v>1753154</v>
      </c>
      <c r="Q263" s="748">
        <v>898649</v>
      </c>
      <c r="R263" s="741">
        <v>1027584</v>
      </c>
      <c r="S263" s="741">
        <v>87195</v>
      </c>
      <c r="T263" s="741">
        <v>5107</v>
      </c>
      <c r="U263" s="741">
        <v>356</v>
      </c>
      <c r="V263" s="741">
        <f t="shared" si="50"/>
        <v>2018891</v>
      </c>
      <c r="W263" s="741">
        <f t="shared" si="51"/>
        <v>154296</v>
      </c>
      <c r="X263" s="741">
        <f t="shared" si="52"/>
        <v>2173187</v>
      </c>
      <c r="Y263" s="741">
        <v>1787</v>
      </c>
      <c r="Z263" s="741">
        <f t="shared" si="53"/>
        <v>137</v>
      </c>
      <c r="AA263" s="747">
        <f t="shared" si="54"/>
        <v>2175111</v>
      </c>
    </row>
    <row r="264" spans="1:27">
      <c r="A264" s="742">
        <f t="shared" si="55"/>
        <v>2037</v>
      </c>
      <c r="B264" s="742">
        <f t="shared" si="56"/>
        <v>7</v>
      </c>
      <c r="C264" s="746">
        <f t="shared" si="44"/>
        <v>50222</v>
      </c>
      <c r="D264" s="739"/>
      <c r="E264" s="748">
        <v>729378</v>
      </c>
      <c r="F264" s="741">
        <v>868237</v>
      </c>
      <c r="G264" s="741">
        <v>62808</v>
      </c>
      <c r="H264" s="741">
        <v>4908</v>
      </c>
      <c r="I264" s="741">
        <v>315</v>
      </c>
      <c r="J264" s="741">
        <f t="shared" si="45"/>
        <v>1665646</v>
      </c>
      <c r="K264" s="741">
        <f t="shared" si="46"/>
        <v>127299</v>
      </c>
      <c r="L264" s="741">
        <f t="shared" si="47"/>
        <v>1792945</v>
      </c>
      <c r="M264" s="741">
        <v>2889</v>
      </c>
      <c r="N264" s="741">
        <f t="shared" si="48"/>
        <v>221</v>
      </c>
      <c r="O264" s="747">
        <f t="shared" si="49"/>
        <v>1796055</v>
      </c>
      <c r="Q264" s="748">
        <v>902748</v>
      </c>
      <c r="R264" s="741">
        <v>1082858</v>
      </c>
      <c r="S264" s="741">
        <v>89661</v>
      </c>
      <c r="T264" s="741">
        <v>4908</v>
      </c>
      <c r="U264" s="741">
        <v>315</v>
      </c>
      <c r="V264" s="741">
        <f t="shared" si="50"/>
        <v>2080490</v>
      </c>
      <c r="W264" s="741">
        <f t="shared" si="51"/>
        <v>159004</v>
      </c>
      <c r="X264" s="741">
        <f t="shared" si="52"/>
        <v>2239494</v>
      </c>
      <c r="Y264" s="741">
        <v>2889</v>
      </c>
      <c r="Z264" s="741">
        <f t="shared" si="53"/>
        <v>221</v>
      </c>
      <c r="AA264" s="747">
        <f t="shared" si="54"/>
        <v>2242604</v>
      </c>
    </row>
    <row r="265" spans="1:27">
      <c r="A265" s="742">
        <f t="shared" si="55"/>
        <v>2037</v>
      </c>
      <c r="B265" s="742">
        <f t="shared" si="56"/>
        <v>8</v>
      </c>
      <c r="C265" s="746">
        <f t="shared" si="44"/>
        <v>50253</v>
      </c>
      <c r="D265" s="739"/>
      <c r="E265" s="748">
        <v>710373</v>
      </c>
      <c r="F265" s="741">
        <v>897514</v>
      </c>
      <c r="G265" s="741">
        <v>65140</v>
      </c>
      <c r="H265" s="741">
        <v>5063</v>
      </c>
      <c r="I265" s="741">
        <v>285</v>
      </c>
      <c r="J265" s="741">
        <f t="shared" si="45"/>
        <v>1678375</v>
      </c>
      <c r="K265" s="741">
        <f t="shared" si="46"/>
        <v>128272</v>
      </c>
      <c r="L265" s="741">
        <f t="shared" si="47"/>
        <v>1806647</v>
      </c>
      <c r="M265" s="741">
        <v>1634</v>
      </c>
      <c r="N265" s="741">
        <f t="shared" si="48"/>
        <v>125</v>
      </c>
      <c r="O265" s="747">
        <f t="shared" si="49"/>
        <v>1808406</v>
      </c>
      <c r="Q265" s="748">
        <v>883865</v>
      </c>
      <c r="R265" s="741">
        <v>1116150</v>
      </c>
      <c r="S265" s="741">
        <v>92643</v>
      </c>
      <c r="T265" s="741">
        <v>5063</v>
      </c>
      <c r="U265" s="741">
        <v>285</v>
      </c>
      <c r="V265" s="741">
        <f t="shared" si="50"/>
        <v>2098006</v>
      </c>
      <c r="W265" s="741">
        <f t="shared" si="51"/>
        <v>160343</v>
      </c>
      <c r="X265" s="741">
        <f t="shared" si="52"/>
        <v>2258349</v>
      </c>
      <c r="Y265" s="741">
        <v>1634</v>
      </c>
      <c r="Z265" s="741">
        <f t="shared" si="53"/>
        <v>125</v>
      </c>
      <c r="AA265" s="747">
        <f t="shared" si="54"/>
        <v>2260108</v>
      </c>
    </row>
    <row r="266" spans="1:27">
      <c r="A266" s="742">
        <f t="shared" si="55"/>
        <v>2037</v>
      </c>
      <c r="B266" s="742">
        <f t="shared" si="56"/>
        <v>9</v>
      </c>
      <c r="C266" s="746">
        <f t="shared" si="44"/>
        <v>50284</v>
      </c>
      <c r="D266" s="739"/>
      <c r="E266" s="748">
        <v>719229</v>
      </c>
      <c r="F266" s="741">
        <v>846237</v>
      </c>
      <c r="G266" s="741">
        <v>59741</v>
      </c>
      <c r="H266" s="741">
        <v>4936</v>
      </c>
      <c r="I266" s="741">
        <v>324</v>
      </c>
      <c r="J266" s="741">
        <f t="shared" si="45"/>
        <v>1630467</v>
      </c>
      <c r="K266" s="741">
        <f t="shared" si="46"/>
        <v>124611</v>
      </c>
      <c r="L266" s="741">
        <f t="shared" si="47"/>
        <v>1755078</v>
      </c>
      <c r="M266" s="741">
        <v>1428</v>
      </c>
      <c r="N266" s="741">
        <f t="shared" si="48"/>
        <v>109</v>
      </c>
      <c r="O266" s="747">
        <f t="shared" si="49"/>
        <v>1756615</v>
      </c>
      <c r="Q266" s="748">
        <v>888654</v>
      </c>
      <c r="R266" s="741">
        <v>1055615</v>
      </c>
      <c r="S266" s="741">
        <v>85489</v>
      </c>
      <c r="T266" s="741">
        <v>4936</v>
      </c>
      <c r="U266" s="741">
        <v>324</v>
      </c>
      <c r="V266" s="741">
        <f t="shared" si="50"/>
        <v>2035018</v>
      </c>
      <c r="W266" s="741">
        <f t="shared" si="51"/>
        <v>155529</v>
      </c>
      <c r="X266" s="741">
        <f t="shared" si="52"/>
        <v>2190547</v>
      </c>
      <c r="Y266" s="741">
        <v>1428</v>
      </c>
      <c r="Z266" s="741">
        <f t="shared" si="53"/>
        <v>109</v>
      </c>
      <c r="AA266" s="747">
        <f t="shared" si="54"/>
        <v>2192084</v>
      </c>
    </row>
    <row r="267" spans="1:27">
      <c r="A267" s="742">
        <f t="shared" si="55"/>
        <v>2037</v>
      </c>
      <c r="B267" s="742">
        <f t="shared" si="56"/>
        <v>10</v>
      </c>
      <c r="C267" s="746">
        <f t="shared" si="44"/>
        <v>50314</v>
      </c>
      <c r="D267" s="739"/>
      <c r="E267" s="748">
        <v>904640</v>
      </c>
      <c r="F267" s="741">
        <v>867349</v>
      </c>
      <c r="G267" s="741">
        <v>62560</v>
      </c>
      <c r="H267" s="741">
        <v>5230</v>
      </c>
      <c r="I267" s="741">
        <v>483</v>
      </c>
      <c r="J267" s="741">
        <f t="shared" si="45"/>
        <v>1840262</v>
      </c>
      <c r="K267" s="741">
        <f t="shared" si="46"/>
        <v>140644</v>
      </c>
      <c r="L267" s="741">
        <f t="shared" si="47"/>
        <v>1980906</v>
      </c>
      <c r="M267" s="741">
        <v>1830</v>
      </c>
      <c r="N267" s="741">
        <f t="shared" si="48"/>
        <v>140</v>
      </c>
      <c r="O267" s="747">
        <f t="shared" si="49"/>
        <v>1982876</v>
      </c>
      <c r="Q267" s="748">
        <v>1100833</v>
      </c>
      <c r="R267" s="741">
        <v>1084642</v>
      </c>
      <c r="S267" s="741">
        <v>88580</v>
      </c>
      <c r="T267" s="741">
        <v>5230</v>
      </c>
      <c r="U267" s="741">
        <v>483</v>
      </c>
      <c r="V267" s="741">
        <f t="shared" si="50"/>
        <v>2279768</v>
      </c>
      <c r="W267" s="741">
        <f t="shared" si="51"/>
        <v>174234</v>
      </c>
      <c r="X267" s="741">
        <f t="shared" si="52"/>
        <v>2454002</v>
      </c>
      <c r="Y267" s="741">
        <v>1830</v>
      </c>
      <c r="Z267" s="741">
        <f t="shared" si="53"/>
        <v>140</v>
      </c>
      <c r="AA267" s="747">
        <f t="shared" si="54"/>
        <v>2455972</v>
      </c>
    </row>
    <row r="268" spans="1:27">
      <c r="A268" s="742">
        <f t="shared" si="55"/>
        <v>2037</v>
      </c>
      <c r="B268" s="742">
        <f t="shared" si="56"/>
        <v>11</v>
      </c>
      <c r="C268" s="746">
        <f t="shared" si="44"/>
        <v>50345</v>
      </c>
      <c r="D268" s="739"/>
      <c r="E268" s="748">
        <v>1126614</v>
      </c>
      <c r="F268" s="741">
        <v>910542</v>
      </c>
      <c r="G268" s="741">
        <v>57338</v>
      </c>
      <c r="H268" s="741">
        <v>5684</v>
      </c>
      <c r="I268" s="741">
        <v>698</v>
      </c>
      <c r="J268" s="741">
        <f t="shared" si="45"/>
        <v>2100876</v>
      </c>
      <c r="K268" s="741">
        <f t="shared" si="46"/>
        <v>160562</v>
      </c>
      <c r="L268" s="741">
        <f t="shared" si="47"/>
        <v>2261438</v>
      </c>
      <c r="M268" s="741">
        <v>1832</v>
      </c>
      <c r="N268" s="741">
        <f t="shared" si="48"/>
        <v>140</v>
      </c>
      <c r="O268" s="747">
        <f t="shared" si="49"/>
        <v>2263410</v>
      </c>
      <c r="Q268" s="748">
        <v>1346147</v>
      </c>
      <c r="R268" s="741">
        <v>1128350</v>
      </c>
      <c r="S268" s="741">
        <v>82207</v>
      </c>
      <c r="T268" s="741">
        <v>5684</v>
      </c>
      <c r="U268" s="741">
        <v>698</v>
      </c>
      <c r="V268" s="741">
        <f t="shared" si="50"/>
        <v>2563086</v>
      </c>
      <c r="W268" s="741">
        <f t="shared" si="51"/>
        <v>195887</v>
      </c>
      <c r="X268" s="741">
        <f t="shared" si="52"/>
        <v>2758973</v>
      </c>
      <c r="Y268" s="741">
        <v>1832</v>
      </c>
      <c r="Z268" s="741">
        <f t="shared" si="53"/>
        <v>140</v>
      </c>
      <c r="AA268" s="747">
        <f t="shared" si="54"/>
        <v>2760945</v>
      </c>
    </row>
    <row r="269" spans="1:27">
      <c r="A269" s="742">
        <f t="shared" si="55"/>
        <v>2037</v>
      </c>
      <c r="B269" s="742">
        <f t="shared" si="56"/>
        <v>12</v>
      </c>
      <c r="C269" s="746">
        <f t="shared" si="44"/>
        <v>50375</v>
      </c>
      <c r="D269" s="739"/>
      <c r="E269" s="748">
        <v>1436668</v>
      </c>
      <c r="F269" s="741">
        <v>1001540</v>
      </c>
      <c r="G269" s="741">
        <v>56336</v>
      </c>
      <c r="H269" s="741">
        <v>5602</v>
      </c>
      <c r="I269" s="741">
        <v>1016</v>
      </c>
      <c r="J269" s="741">
        <f t="shared" si="45"/>
        <v>2501162</v>
      </c>
      <c r="K269" s="741">
        <f t="shared" si="46"/>
        <v>191154</v>
      </c>
      <c r="L269" s="741">
        <f t="shared" si="47"/>
        <v>2692316</v>
      </c>
      <c r="M269" s="741">
        <v>1718</v>
      </c>
      <c r="N269" s="741">
        <f t="shared" si="48"/>
        <v>131</v>
      </c>
      <c r="O269" s="747">
        <f t="shared" si="49"/>
        <v>2694165</v>
      </c>
      <c r="Q269" s="748">
        <v>1692317</v>
      </c>
      <c r="R269" s="741">
        <v>1234802</v>
      </c>
      <c r="S269" s="741">
        <v>82147</v>
      </c>
      <c r="T269" s="741">
        <v>5602</v>
      </c>
      <c r="U269" s="741">
        <v>1016</v>
      </c>
      <c r="V269" s="741">
        <f t="shared" si="50"/>
        <v>3015884</v>
      </c>
      <c r="W269" s="741">
        <f t="shared" si="51"/>
        <v>230493</v>
      </c>
      <c r="X269" s="741">
        <f t="shared" si="52"/>
        <v>3246377</v>
      </c>
      <c r="Y269" s="741">
        <v>1718</v>
      </c>
      <c r="Z269" s="741">
        <f t="shared" si="53"/>
        <v>131</v>
      </c>
      <c r="AA269" s="747">
        <f t="shared" si="54"/>
        <v>3248226</v>
      </c>
    </row>
    <row r="270" spans="1:27">
      <c r="A270" s="742">
        <f t="shared" si="55"/>
        <v>2038</v>
      </c>
      <c r="B270" s="742">
        <f t="shared" si="56"/>
        <v>1</v>
      </c>
      <c r="C270" s="746">
        <f t="shared" si="44"/>
        <v>50406</v>
      </c>
      <c r="D270" s="739"/>
      <c r="E270" s="748">
        <v>1399378</v>
      </c>
      <c r="F270" s="741">
        <v>984593</v>
      </c>
      <c r="G270" s="741">
        <v>66766</v>
      </c>
      <c r="H270" s="741">
        <v>5454</v>
      </c>
      <c r="I270" s="741">
        <v>883</v>
      </c>
      <c r="J270" s="741">
        <f t="shared" si="45"/>
        <v>2457074</v>
      </c>
      <c r="K270" s="741">
        <f t="shared" si="46"/>
        <v>187785</v>
      </c>
      <c r="L270" s="741">
        <f t="shared" si="47"/>
        <v>2644859</v>
      </c>
      <c r="M270" s="741">
        <v>2325</v>
      </c>
      <c r="N270" s="741">
        <f t="shared" si="48"/>
        <v>178</v>
      </c>
      <c r="O270" s="747">
        <f t="shared" si="49"/>
        <v>2647362</v>
      </c>
      <c r="Q270" s="748">
        <v>1640431</v>
      </c>
      <c r="R270" s="741">
        <v>1207742</v>
      </c>
      <c r="S270" s="741">
        <v>93866</v>
      </c>
      <c r="T270" s="741">
        <v>5454</v>
      </c>
      <c r="U270" s="741">
        <v>883</v>
      </c>
      <c r="V270" s="741">
        <f t="shared" si="50"/>
        <v>2948376</v>
      </c>
      <c r="W270" s="741">
        <f t="shared" si="51"/>
        <v>225333</v>
      </c>
      <c r="X270" s="741">
        <f t="shared" si="52"/>
        <v>3173709</v>
      </c>
      <c r="Y270" s="741">
        <v>2325</v>
      </c>
      <c r="Z270" s="741">
        <f t="shared" si="53"/>
        <v>178</v>
      </c>
      <c r="AA270" s="747">
        <f t="shared" si="54"/>
        <v>3176212</v>
      </c>
    </row>
    <row r="271" spans="1:27">
      <c r="A271" s="742">
        <f t="shared" si="55"/>
        <v>2038</v>
      </c>
      <c r="B271" s="742">
        <f t="shared" si="56"/>
        <v>2</v>
      </c>
      <c r="C271" s="746">
        <f t="shared" si="44"/>
        <v>50437</v>
      </c>
      <c r="D271" s="739"/>
      <c r="E271" s="748">
        <v>1171371</v>
      </c>
      <c r="F271" s="741">
        <v>885219</v>
      </c>
      <c r="G271" s="741">
        <v>56443</v>
      </c>
      <c r="H271" s="741">
        <v>4959</v>
      </c>
      <c r="I271" s="741">
        <v>817</v>
      </c>
      <c r="J271" s="741">
        <f t="shared" si="45"/>
        <v>2118809</v>
      </c>
      <c r="K271" s="741">
        <f t="shared" si="46"/>
        <v>161933</v>
      </c>
      <c r="L271" s="741">
        <f t="shared" si="47"/>
        <v>2280742</v>
      </c>
      <c r="M271" s="741">
        <v>2433</v>
      </c>
      <c r="N271" s="741">
        <f t="shared" si="48"/>
        <v>186</v>
      </c>
      <c r="O271" s="747">
        <f t="shared" si="49"/>
        <v>2283361</v>
      </c>
      <c r="Q271" s="748">
        <v>1372415</v>
      </c>
      <c r="R271" s="741">
        <v>1083491</v>
      </c>
      <c r="S271" s="741">
        <v>79706</v>
      </c>
      <c r="T271" s="741">
        <v>4959</v>
      </c>
      <c r="U271" s="741">
        <v>817</v>
      </c>
      <c r="V271" s="741">
        <f t="shared" si="50"/>
        <v>2541388</v>
      </c>
      <c r="W271" s="741">
        <f t="shared" si="51"/>
        <v>194229</v>
      </c>
      <c r="X271" s="741">
        <f t="shared" si="52"/>
        <v>2735617</v>
      </c>
      <c r="Y271" s="741">
        <v>2433</v>
      </c>
      <c r="Z271" s="741">
        <f t="shared" si="53"/>
        <v>186</v>
      </c>
      <c r="AA271" s="747">
        <f t="shared" si="54"/>
        <v>2738236</v>
      </c>
    </row>
    <row r="272" spans="1:27">
      <c r="A272" s="742">
        <f t="shared" si="55"/>
        <v>2038</v>
      </c>
      <c r="B272" s="742">
        <f t="shared" si="56"/>
        <v>3</v>
      </c>
      <c r="C272" s="746">
        <f t="shared" si="44"/>
        <v>50465</v>
      </c>
      <c r="D272" s="739"/>
      <c r="E272" s="748">
        <v>1163936</v>
      </c>
      <c r="F272" s="741">
        <v>927642</v>
      </c>
      <c r="G272" s="741">
        <v>62583</v>
      </c>
      <c r="H272" s="741">
        <v>5368</v>
      </c>
      <c r="I272" s="741">
        <v>814</v>
      </c>
      <c r="J272" s="741">
        <f t="shared" si="45"/>
        <v>2160343</v>
      </c>
      <c r="K272" s="741">
        <f t="shared" si="46"/>
        <v>165107</v>
      </c>
      <c r="L272" s="741">
        <f t="shared" si="47"/>
        <v>2325450</v>
      </c>
      <c r="M272" s="741">
        <v>2339</v>
      </c>
      <c r="N272" s="741">
        <f t="shared" si="48"/>
        <v>179</v>
      </c>
      <c r="O272" s="747">
        <f t="shared" si="49"/>
        <v>2327968</v>
      </c>
      <c r="Q272" s="748">
        <v>1373261</v>
      </c>
      <c r="R272" s="741">
        <v>1148210</v>
      </c>
      <c r="S272" s="741">
        <v>89425</v>
      </c>
      <c r="T272" s="741">
        <v>5368</v>
      </c>
      <c r="U272" s="741">
        <v>814</v>
      </c>
      <c r="V272" s="741">
        <f t="shared" si="50"/>
        <v>2617078</v>
      </c>
      <c r="W272" s="741">
        <f t="shared" si="51"/>
        <v>200013</v>
      </c>
      <c r="X272" s="741">
        <f t="shared" si="52"/>
        <v>2817091</v>
      </c>
      <c r="Y272" s="741">
        <v>2339</v>
      </c>
      <c r="Z272" s="741">
        <f t="shared" si="53"/>
        <v>179</v>
      </c>
      <c r="AA272" s="747">
        <f t="shared" si="54"/>
        <v>2819609</v>
      </c>
    </row>
    <row r="273" spans="1:27">
      <c r="A273" s="742">
        <f t="shared" si="55"/>
        <v>2038</v>
      </c>
      <c r="B273" s="742">
        <f t="shared" si="56"/>
        <v>4</v>
      </c>
      <c r="C273" s="746">
        <f t="shared" si="44"/>
        <v>50496</v>
      </c>
      <c r="D273" s="739"/>
      <c r="E273" s="748">
        <v>954192</v>
      </c>
      <c r="F273" s="741">
        <v>848244</v>
      </c>
      <c r="G273" s="741">
        <v>56869</v>
      </c>
      <c r="H273" s="741">
        <v>4761</v>
      </c>
      <c r="I273" s="741">
        <v>592</v>
      </c>
      <c r="J273" s="741">
        <f t="shared" si="45"/>
        <v>1864658</v>
      </c>
      <c r="K273" s="741">
        <f t="shared" si="46"/>
        <v>142509</v>
      </c>
      <c r="L273" s="741">
        <f t="shared" si="47"/>
        <v>2007167</v>
      </c>
      <c r="M273" s="741">
        <v>2172</v>
      </c>
      <c r="N273" s="741">
        <f t="shared" si="48"/>
        <v>166</v>
      </c>
      <c r="O273" s="747">
        <f t="shared" si="49"/>
        <v>2009505</v>
      </c>
      <c r="Q273" s="748">
        <v>1140987</v>
      </c>
      <c r="R273" s="741">
        <v>1059891</v>
      </c>
      <c r="S273" s="741">
        <v>82103</v>
      </c>
      <c r="T273" s="741">
        <v>4761</v>
      </c>
      <c r="U273" s="741">
        <v>592</v>
      </c>
      <c r="V273" s="741">
        <f t="shared" si="50"/>
        <v>2288334</v>
      </c>
      <c r="W273" s="741">
        <f t="shared" si="51"/>
        <v>174889</v>
      </c>
      <c r="X273" s="741">
        <f t="shared" si="52"/>
        <v>2463223</v>
      </c>
      <c r="Y273" s="741">
        <v>2172</v>
      </c>
      <c r="Z273" s="741">
        <f t="shared" si="53"/>
        <v>166</v>
      </c>
      <c r="AA273" s="747">
        <f t="shared" si="54"/>
        <v>2465561</v>
      </c>
    </row>
    <row r="274" spans="1:27">
      <c r="A274" s="742">
        <f t="shared" si="55"/>
        <v>2038</v>
      </c>
      <c r="B274" s="742">
        <f t="shared" si="56"/>
        <v>5</v>
      </c>
      <c r="C274" s="746">
        <f t="shared" si="44"/>
        <v>50526</v>
      </c>
      <c r="D274" s="739"/>
      <c r="E274" s="748">
        <v>815802</v>
      </c>
      <c r="F274" s="741">
        <v>843082</v>
      </c>
      <c r="G274" s="741">
        <v>59377</v>
      </c>
      <c r="H274" s="741">
        <v>5037</v>
      </c>
      <c r="I274" s="741">
        <v>458</v>
      </c>
      <c r="J274" s="741">
        <f t="shared" si="45"/>
        <v>1723756</v>
      </c>
      <c r="K274" s="741">
        <f t="shared" si="46"/>
        <v>131740</v>
      </c>
      <c r="L274" s="741">
        <f t="shared" si="47"/>
        <v>1855496</v>
      </c>
      <c r="M274" s="741">
        <v>2174</v>
      </c>
      <c r="N274" s="741">
        <f t="shared" si="48"/>
        <v>166</v>
      </c>
      <c r="O274" s="747">
        <f t="shared" si="49"/>
        <v>1857836</v>
      </c>
      <c r="Q274" s="748">
        <v>986035</v>
      </c>
      <c r="R274" s="741">
        <v>1052504</v>
      </c>
      <c r="S274" s="741">
        <v>85819</v>
      </c>
      <c r="T274" s="741">
        <v>5037</v>
      </c>
      <c r="U274" s="741">
        <v>458</v>
      </c>
      <c r="V274" s="741">
        <f t="shared" si="50"/>
        <v>2129853</v>
      </c>
      <c r="W274" s="741">
        <f t="shared" si="51"/>
        <v>162777</v>
      </c>
      <c r="X274" s="741">
        <f t="shared" si="52"/>
        <v>2292630</v>
      </c>
      <c r="Y274" s="741">
        <v>2174</v>
      </c>
      <c r="Z274" s="741">
        <f t="shared" si="53"/>
        <v>166</v>
      </c>
      <c r="AA274" s="747">
        <f t="shared" si="54"/>
        <v>2294970</v>
      </c>
    </row>
    <row r="275" spans="1:27">
      <c r="A275" s="742">
        <f t="shared" si="55"/>
        <v>2038</v>
      </c>
      <c r="B275" s="742">
        <f t="shared" si="56"/>
        <v>6</v>
      </c>
      <c r="C275" s="746">
        <f t="shared" si="44"/>
        <v>50557</v>
      </c>
      <c r="D275" s="739"/>
      <c r="E275" s="748">
        <v>745026</v>
      </c>
      <c r="F275" s="741">
        <v>835563</v>
      </c>
      <c r="G275" s="741">
        <v>60178</v>
      </c>
      <c r="H275" s="741">
        <v>5047</v>
      </c>
      <c r="I275" s="741">
        <v>356</v>
      </c>
      <c r="J275" s="741">
        <f t="shared" si="45"/>
        <v>1646170</v>
      </c>
      <c r="K275" s="741">
        <f t="shared" si="46"/>
        <v>125811</v>
      </c>
      <c r="L275" s="741">
        <f t="shared" si="47"/>
        <v>1771981</v>
      </c>
      <c r="M275" s="741">
        <v>1787</v>
      </c>
      <c r="N275" s="741">
        <f t="shared" si="48"/>
        <v>137</v>
      </c>
      <c r="O275" s="747">
        <f t="shared" si="49"/>
        <v>1773905</v>
      </c>
      <c r="Q275" s="748">
        <v>910799</v>
      </c>
      <c r="R275" s="741">
        <v>1042252</v>
      </c>
      <c r="S275" s="741">
        <v>86621</v>
      </c>
      <c r="T275" s="741">
        <v>5047</v>
      </c>
      <c r="U275" s="741">
        <v>356</v>
      </c>
      <c r="V275" s="741">
        <f t="shared" si="50"/>
        <v>2045075</v>
      </c>
      <c r="W275" s="741">
        <f t="shared" si="51"/>
        <v>156297</v>
      </c>
      <c r="X275" s="741">
        <f t="shared" si="52"/>
        <v>2201372</v>
      </c>
      <c r="Y275" s="741">
        <v>1787</v>
      </c>
      <c r="Z275" s="741">
        <f t="shared" si="53"/>
        <v>137</v>
      </c>
      <c r="AA275" s="747">
        <f t="shared" si="54"/>
        <v>2203296</v>
      </c>
    </row>
    <row r="276" spans="1:27">
      <c r="A276" s="742">
        <f t="shared" si="55"/>
        <v>2038</v>
      </c>
      <c r="B276" s="742">
        <f t="shared" si="56"/>
        <v>7</v>
      </c>
      <c r="C276" s="746">
        <f t="shared" si="44"/>
        <v>50587</v>
      </c>
      <c r="D276" s="739"/>
      <c r="E276" s="748">
        <v>737804</v>
      </c>
      <c r="F276" s="741">
        <v>880657</v>
      </c>
      <c r="G276" s="741">
        <v>62004</v>
      </c>
      <c r="H276" s="741">
        <v>4850</v>
      </c>
      <c r="I276" s="741">
        <v>315</v>
      </c>
      <c r="J276" s="741">
        <f t="shared" si="45"/>
        <v>1685630</v>
      </c>
      <c r="K276" s="741">
        <f t="shared" si="46"/>
        <v>128826</v>
      </c>
      <c r="L276" s="741">
        <f t="shared" si="47"/>
        <v>1814456</v>
      </c>
      <c r="M276" s="741">
        <v>2889</v>
      </c>
      <c r="N276" s="741">
        <f t="shared" si="48"/>
        <v>221</v>
      </c>
      <c r="O276" s="747">
        <f t="shared" si="49"/>
        <v>1817566</v>
      </c>
      <c r="Q276" s="748">
        <v>915253</v>
      </c>
      <c r="R276" s="741">
        <v>1098191</v>
      </c>
      <c r="S276" s="741">
        <v>89082</v>
      </c>
      <c r="T276" s="741">
        <v>4850</v>
      </c>
      <c r="U276" s="741">
        <v>315</v>
      </c>
      <c r="V276" s="741">
        <f t="shared" si="50"/>
        <v>2107691</v>
      </c>
      <c r="W276" s="741">
        <f t="shared" si="51"/>
        <v>161083</v>
      </c>
      <c r="X276" s="741">
        <f t="shared" si="52"/>
        <v>2268774</v>
      </c>
      <c r="Y276" s="741">
        <v>2889</v>
      </c>
      <c r="Z276" s="741">
        <f t="shared" si="53"/>
        <v>221</v>
      </c>
      <c r="AA276" s="747">
        <f t="shared" si="54"/>
        <v>2271884</v>
      </c>
    </row>
    <row r="277" spans="1:27">
      <c r="A277" s="742">
        <f t="shared" si="55"/>
        <v>2038</v>
      </c>
      <c r="B277" s="742">
        <f t="shared" si="56"/>
        <v>8</v>
      </c>
      <c r="C277" s="746">
        <f t="shared" si="44"/>
        <v>50618</v>
      </c>
      <c r="D277" s="739"/>
      <c r="E277" s="748">
        <v>718790</v>
      </c>
      <c r="F277" s="741">
        <v>910772</v>
      </c>
      <c r="G277" s="741">
        <v>64316</v>
      </c>
      <c r="H277" s="741">
        <v>5004</v>
      </c>
      <c r="I277" s="741">
        <v>285</v>
      </c>
      <c r="J277" s="741">
        <f t="shared" si="45"/>
        <v>1699167</v>
      </c>
      <c r="K277" s="741">
        <f t="shared" si="46"/>
        <v>129861</v>
      </c>
      <c r="L277" s="741">
        <f t="shared" si="47"/>
        <v>1829028</v>
      </c>
      <c r="M277" s="741">
        <v>1634</v>
      </c>
      <c r="N277" s="741">
        <f t="shared" si="48"/>
        <v>125</v>
      </c>
      <c r="O277" s="747">
        <f t="shared" si="49"/>
        <v>1830787</v>
      </c>
      <c r="Q277" s="748">
        <v>896403</v>
      </c>
      <c r="R277" s="741">
        <v>1132374</v>
      </c>
      <c r="S277" s="741">
        <v>92056</v>
      </c>
      <c r="T277" s="741">
        <v>5004</v>
      </c>
      <c r="U277" s="741">
        <v>285</v>
      </c>
      <c r="V277" s="741">
        <f t="shared" si="50"/>
        <v>2126122</v>
      </c>
      <c r="W277" s="741">
        <f t="shared" si="51"/>
        <v>162492</v>
      </c>
      <c r="X277" s="741">
        <f t="shared" si="52"/>
        <v>2288614</v>
      </c>
      <c r="Y277" s="741">
        <v>1634</v>
      </c>
      <c r="Z277" s="741">
        <f t="shared" si="53"/>
        <v>125</v>
      </c>
      <c r="AA277" s="747">
        <f t="shared" si="54"/>
        <v>2290373</v>
      </c>
    </row>
    <row r="278" spans="1:27">
      <c r="A278" s="742">
        <f t="shared" si="55"/>
        <v>2038</v>
      </c>
      <c r="B278" s="742">
        <f t="shared" si="56"/>
        <v>9</v>
      </c>
      <c r="C278" s="746">
        <f t="shared" si="44"/>
        <v>50649</v>
      </c>
      <c r="D278" s="739"/>
      <c r="E278" s="748">
        <v>727862</v>
      </c>
      <c r="F278" s="741">
        <v>859055</v>
      </c>
      <c r="G278" s="741">
        <v>58982</v>
      </c>
      <c r="H278" s="741">
        <v>4879</v>
      </c>
      <c r="I278" s="741">
        <v>324</v>
      </c>
      <c r="J278" s="741">
        <f t="shared" si="45"/>
        <v>1651102</v>
      </c>
      <c r="K278" s="741">
        <f t="shared" si="46"/>
        <v>126188</v>
      </c>
      <c r="L278" s="741">
        <f t="shared" si="47"/>
        <v>1777290</v>
      </c>
      <c r="M278" s="741">
        <v>1428</v>
      </c>
      <c r="N278" s="741">
        <f t="shared" si="48"/>
        <v>109</v>
      </c>
      <c r="O278" s="747">
        <f t="shared" si="49"/>
        <v>1778827</v>
      </c>
      <c r="Q278" s="748">
        <v>901435</v>
      </c>
      <c r="R278" s="741">
        <v>1071316</v>
      </c>
      <c r="S278" s="741">
        <v>84958</v>
      </c>
      <c r="T278" s="741">
        <v>4879</v>
      </c>
      <c r="U278" s="741">
        <v>324</v>
      </c>
      <c r="V278" s="741">
        <f t="shared" si="50"/>
        <v>2062912</v>
      </c>
      <c r="W278" s="741">
        <f t="shared" si="51"/>
        <v>157661</v>
      </c>
      <c r="X278" s="741">
        <f t="shared" si="52"/>
        <v>2220573</v>
      </c>
      <c r="Y278" s="741">
        <v>1428</v>
      </c>
      <c r="Z278" s="741">
        <f t="shared" si="53"/>
        <v>109</v>
      </c>
      <c r="AA278" s="747">
        <f t="shared" si="54"/>
        <v>2222110</v>
      </c>
    </row>
    <row r="279" spans="1:27">
      <c r="A279" s="742">
        <f t="shared" si="55"/>
        <v>2038</v>
      </c>
      <c r="B279" s="742">
        <f t="shared" si="56"/>
        <v>10</v>
      </c>
      <c r="C279" s="746">
        <f t="shared" si="44"/>
        <v>50679</v>
      </c>
      <c r="D279" s="739"/>
      <c r="E279" s="748">
        <v>915154</v>
      </c>
      <c r="F279" s="741">
        <v>880494</v>
      </c>
      <c r="G279" s="741">
        <v>61776</v>
      </c>
      <c r="H279" s="741">
        <v>5174</v>
      </c>
      <c r="I279" s="741">
        <v>483</v>
      </c>
      <c r="J279" s="741">
        <f t="shared" si="45"/>
        <v>1863081</v>
      </c>
      <c r="K279" s="741">
        <f t="shared" si="46"/>
        <v>142388</v>
      </c>
      <c r="L279" s="741">
        <f t="shared" si="47"/>
        <v>2005469</v>
      </c>
      <c r="M279" s="741">
        <v>1830</v>
      </c>
      <c r="N279" s="741">
        <f t="shared" si="48"/>
        <v>140</v>
      </c>
      <c r="O279" s="747">
        <f t="shared" si="49"/>
        <v>2007439</v>
      </c>
      <c r="Q279" s="748">
        <v>1116307</v>
      </c>
      <c r="R279" s="741">
        <v>1100887</v>
      </c>
      <c r="S279" s="741">
        <v>88036</v>
      </c>
      <c r="T279" s="741">
        <v>5174</v>
      </c>
      <c r="U279" s="741">
        <v>483</v>
      </c>
      <c r="V279" s="741">
        <f t="shared" si="50"/>
        <v>2310887</v>
      </c>
      <c r="W279" s="741">
        <f t="shared" si="51"/>
        <v>176612</v>
      </c>
      <c r="X279" s="741">
        <f t="shared" si="52"/>
        <v>2487499</v>
      </c>
      <c r="Y279" s="741">
        <v>1830</v>
      </c>
      <c r="Z279" s="741">
        <f t="shared" si="53"/>
        <v>140</v>
      </c>
      <c r="AA279" s="747">
        <f t="shared" si="54"/>
        <v>2489469</v>
      </c>
    </row>
    <row r="280" spans="1:27">
      <c r="A280" s="742">
        <f t="shared" si="55"/>
        <v>2038</v>
      </c>
      <c r="B280" s="742">
        <f t="shared" si="56"/>
        <v>11</v>
      </c>
      <c r="C280" s="746">
        <f t="shared" si="44"/>
        <v>50710</v>
      </c>
      <c r="D280" s="739"/>
      <c r="E280" s="748">
        <v>1139092</v>
      </c>
      <c r="F280" s="741">
        <v>924319</v>
      </c>
      <c r="G280" s="741">
        <v>56596</v>
      </c>
      <c r="H280" s="741">
        <v>5629</v>
      </c>
      <c r="I280" s="741">
        <v>698</v>
      </c>
      <c r="J280" s="741">
        <f t="shared" si="45"/>
        <v>2126334</v>
      </c>
      <c r="K280" s="741">
        <f t="shared" si="46"/>
        <v>162508</v>
      </c>
      <c r="L280" s="741">
        <f t="shared" si="47"/>
        <v>2288842</v>
      </c>
      <c r="M280" s="741">
        <v>1832</v>
      </c>
      <c r="N280" s="741">
        <f t="shared" si="48"/>
        <v>140</v>
      </c>
      <c r="O280" s="747">
        <f t="shared" si="49"/>
        <v>2290814</v>
      </c>
      <c r="Q280" s="748">
        <v>1364329</v>
      </c>
      <c r="R280" s="741">
        <v>1145396</v>
      </c>
      <c r="S280" s="741">
        <v>81710</v>
      </c>
      <c r="T280" s="741">
        <v>5629</v>
      </c>
      <c r="U280" s="741">
        <v>698</v>
      </c>
      <c r="V280" s="741">
        <f t="shared" si="50"/>
        <v>2597762</v>
      </c>
      <c r="W280" s="741">
        <f t="shared" si="51"/>
        <v>198537</v>
      </c>
      <c r="X280" s="741">
        <f t="shared" si="52"/>
        <v>2796299</v>
      </c>
      <c r="Y280" s="741">
        <v>1832</v>
      </c>
      <c r="Z280" s="741">
        <f t="shared" si="53"/>
        <v>140</v>
      </c>
      <c r="AA280" s="747">
        <f t="shared" si="54"/>
        <v>2798271</v>
      </c>
    </row>
    <row r="281" spans="1:27">
      <c r="A281" s="742">
        <f t="shared" si="55"/>
        <v>2038</v>
      </c>
      <c r="B281" s="742">
        <f t="shared" si="56"/>
        <v>12</v>
      </c>
      <c r="C281" s="746">
        <f t="shared" si="44"/>
        <v>50740</v>
      </c>
      <c r="D281" s="739"/>
      <c r="E281" s="748">
        <v>1452330</v>
      </c>
      <c r="F281" s="741">
        <v>1016779</v>
      </c>
      <c r="G281" s="741">
        <v>55586</v>
      </c>
      <c r="H281" s="741">
        <v>5550</v>
      </c>
      <c r="I281" s="741">
        <v>1016</v>
      </c>
      <c r="J281" s="741">
        <f t="shared" si="45"/>
        <v>2531261</v>
      </c>
      <c r="K281" s="741">
        <f t="shared" si="46"/>
        <v>193455</v>
      </c>
      <c r="L281" s="741">
        <f t="shared" si="47"/>
        <v>2724716</v>
      </c>
      <c r="M281" s="741">
        <v>1718</v>
      </c>
      <c r="N281" s="741">
        <f t="shared" si="48"/>
        <v>131</v>
      </c>
      <c r="O281" s="747">
        <f t="shared" si="49"/>
        <v>2726565</v>
      </c>
      <c r="Q281" s="748">
        <v>1714693</v>
      </c>
      <c r="R281" s="741">
        <v>1253633</v>
      </c>
      <c r="S281" s="741">
        <v>81657</v>
      </c>
      <c r="T281" s="741">
        <v>5550</v>
      </c>
      <c r="U281" s="741">
        <v>1016</v>
      </c>
      <c r="V281" s="741">
        <f t="shared" si="50"/>
        <v>3056549</v>
      </c>
      <c r="W281" s="741">
        <f t="shared" si="51"/>
        <v>233601</v>
      </c>
      <c r="X281" s="741">
        <f t="shared" si="52"/>
        <v>3290150</v>
      </c>
      <c r="Y281" s="741">
        <v>1718</v>
      </c>
      <c r="Z281" s="741">
        <f t="shared" si="53"/>
        <v>131</v>
      </c>
      <c r="AA281" s="747">
        <f t="shared" si="54"/>
        <v>3291999</v>
      </c>
    </row>
    <row r="282" spans="1:27">
      <c r="A282" s="742">
        <f t="shared" si="55"/>
        <v>2039</v>
      </c>
      <c r="B282" s="742">
        <f t="shared" si="56"/>
        <v>1</v>
      </c>
      <c r="C282" s="746">
        <f t="shared" si="44"/>
        <v>50771</v>
      </c>
      <c r="D282" s="739"/>
      <c r="E282" s="748">
        <v>1415001</v>
      </c>
      <c r="F282" s="741">
        <v>999787</v>
      </c>
      <c r="G282" s="741">
        <v>65938</v>
      </c>
      <c r="H282" s="741">
        <v>5401</v>
      </c>
      <c r="I282" s="741">
        <v>883</v>
      </c>
      <c r="J282" s="741">
        <f t="shared" si="45"/>
        <v>2487010</v>
      </c>
      <c r="K282" s="741">
        <f t="shared" si="46"/>
        <v>190073</v>
      </c>
      <c r="L282" s="741">
        <f t="shared" si="47"/>
        <v>2677083</v>
      </c>
      <c r="M282" s="741">
        <v>2325</v>
      </c>
      <c r="N282" s="741">
        <f t="shared" si="48"/>
        <v>178</v>
      </c>
      <c r="O282" s="747">
        <f t="shared" si="49"/>
        <v>2679586</v>
      </c>
      <c r="Q282" s="748">
        <v>1662336</v>
      </c>
      <c r="R282" s="741">
        <v>1226327</v>
      </c>
      <c r="S282" s="741">
        <v>93307</v>
      </c>
      <c r="T282" s="741">
        <v>5401</v>
      </c>
      <c r="U282" s="741">
        <v>883</v>
      </c>
      <c r="V282" s="741">
        <f t="shared" si="50"/>
        <v>2988254</v>
      </c>
      <c r="W282" s="741">
        <f t="shared" si="51"/>
        <v>228381</v>
      </c>
      <c r="X282" s="741">
        <f t="shared" si="52"/>
        <v>3216635</v>
      </c>
      <c r="Y282" s="741">
        <v>2325</v>
      </c>
      <c r="Z282" s="741">
        <f t="shared" si="53"/>
        <v>178</v>
      </c>
      <c r="AA282" s="747">
        <f t="shared" si="54"/>
        <v>3219138</v>
      </c>
    </row>
    <row r="283" spans="1:27">
      <c r="A283" s="742">
        <f t="shared" si="55"/>
        <v>2039</v>
      </c>
      <c r="B283" s="742">
        <f t="shared" si="56"/>
        <v>2</v>
      </c>
      <c r="C283" s="746">
        <f t="shared" si="44"/>
        <v>50802</v>
      </c>
      <c r="D283" s="739"/>
      <c r="E283" s="748">
        <v>1184969</v>
      </c>
      <c r="F283" s="741">
        <v>899059</v>
      </c>
      <c r="G283" s="741">
        <v>55743</v>
      </c>
      <c r="H283" s="741">
        <v>4908</v>
      </c>
      <c r="I283" s="741">
        <v>817</v>
      </c>
      <c r="J283" s="741">
        <f t="shared" si="45"/>
        <v>2145496</v>
      </c>
      <c r="K283" s="741">
        <f t="shared" si="46"/>
        <v>163972</v>
      </c>
      <c r="L283" s="741">
        <f t="shared" si="47"/>
        <v>2309468</v>
      </c>
      <c r="M283" s="741">
        <v>2433</v>
      </c>
      <c r="N283" s="741">
        <f t="shared" si="48"/>
        <v>186</v>
      </c>
      <c r="O283" s="747">
        <f t="shared" si="49"/>
        <v>2312087</v>
      </c>
      <c r="Q283" s="748">
        <v>1391269</v>
      </c>
      <c r="R283" s="741">
        <v>1100325</v>
      </c>
      <c r="S283" s="741">
        <v>79235</v>
      </c>
      <c r="T283" s="741">
        <v>4908</v>
      </c>
      <c r="U283" s="741">
        <v>817</v>
      </c>
      <c r="V283" s="741">
        <f t="shared" si="50"/>
        <v>2576554</v>
      </c>
      <c r="W283" s="741">
        <f t="shared" si="51"/>
        <v>196916</v>
      </c>
      <c r="X283" s="741">
        <f t="shared" si="52"/>
        <v>2773470</v>
      </c>
      <c r="Y283" s="741">
        <v>2433</v>
      </c>
      <c r="Z283" s="741">
        <f t="shared" si="53"/>
        <v>186</v>
      </c>
      <c r="AA283" s="747">
        <f t="shared" si="54"/>
        <v>2776089</v>
      </c>
    </row>
    <row r="284" spans="1:27">
      <c r="A284" s="742">
        <f t="shared" si="55"/>
        <v>2039</v>
      </c>
      <c r="B284" s="742">
        <f t="shared" si="56"/>
        <v>3</v>
      </c>
      <c r="C284" s="746">
        <f t="shared" si="44"/>
        <v>50830</v>
      </c>
      <c r="D284" s="739"/>
      <c r="E284" s="748">
        <v>1178042</v>
      </c>
      <c r="F284" s="741">
        <v>942337</v>
      </c>
      <c r="G284" s="741">
        <v>61798</v>
      </c>
      <c r="H284" s="741">
        <v>5308</v>
      </c>
      <c r="I284" s="741">
        <v>814</v>
      </c>
      <c r="J284" s="741">
        <f t="shared" si="45"/>
        <v>2188299</v>
      </c>
      <c r="K284" s="741">
        <f t="shared" si="46"/>
        <v>167244</v>
      </c>
      <c r="L284" s="741">
        <f t="shared" si="47"/>
        <v>2355543</v>
      </c>
      <c r="M284" s="741">
        <v>2339</v>
      </c>
      <c r="N284" s="741">
        <f t="shared" si="48"/>
        <v>179</v>
      </c>
      <c r="O284" s="747">
        <f t="shared" si="49"/>
        <v>2358061</v>
      </c>
      <c r="Q284" s="748">
        <v>1392864</v>
      </c>
      <c r="R284" s="741">
        <v>1166211</v>
      </c>
      <c r="S284" s="741">
        <v>88900</v>
      </c>
      <c r="T284" s="741">
        <v>5308</v>
      </c>
      <c r="U284" s="741">
        <v>814</v>
      </c>
      <c r="V284" s="741">
        <f t="shared" si="50"/>
        <v>2654097</v>
      </c>
      <c r="W284" s="741">
        <f t="shared" si="51"/>
        <v>202843</v>
      </c>
      <c r="X284" s="741">
        <f t="shared" si="52"/>
        <v>2856940</v>
      </c>
      <c r="Y284" s="741">
        <v>2339</v>
      </c>
      <c r="Z284" s="741">
        <f t="shared" si="53"/>
        <v>179</v>
      </c>
      <c r="AA284" s="747">
        <f t="shared" si="54"/>
        <v>2859458</v>
      </c>
    </row>
    <row r="285" spans="1:27">
      <c r="A285" s="742">
        <f t="shared" si="55"/>
        <v>2039</v>
      </c>
      <c r="B285" s="742">
        <f t="shared" si="56"/>
        <v>4</v>
      </c>
      <c r="C285" s="746">
        <f t="shared" si="44"/>
        <v>50861</v>
      </c>
      <c r="D285" s="739"/>
      <c r="E285" s="748">
        <v>966590</v>
      </c>
      <c r="F285" s="741">
        <v>861936</v>
      </c>
      <c r="G285" s="741">
        <v>56155</v>
      </c>
      <c r="H285" s="741">
        <v>4707</v>
      </c>
      <c r="I285" s="741">
        <v>591</v>
      </c>
      <c r="J285" s="741">
        <f t="shared" si="45"/>
        <v>1889979</v>
      </c>
      <c r="K285" s="741">
        <f t="shared" si="46"/>
        <v>144444</v>
      </c>
      <c r="L285" s="741">
        <f t="shared" si="47"/>
        <v>2034423</v>
      </c>
      <c r="M285" s="741">
        <v>2172</v>
      </c>
      <c r="N285" s="741">
        <f t="shared" si="48"/>
        <v>166</v>
      </c>
      <c r="O285" s="747">
        <f t="shared" si="49"/>
        <v>2036761</v>
      </c>
      <c r="Q285" s="748">
        <v>1158144</v>
      </c>
      <c r="R285" s="741">
        <v>1076608</v>
      </c>
      <c r="S285" s="741">
        <v>81625</v>
      </c>
      <c r="T285" s="741">
        <v>4707</v>
      </c>
      <c r="U285" s="741">
        <v>591</v>
      </c>
      <c r="V285" s="741">
        <f t="shared" si="50"/>
        <v>2321675</v>
      </c>
      <c r="W285" s="741">
        <f t="shared" si="51"/>
        <v>177437</v>
      </c>
      <c r="X285" s="741">
        <f t="shared" si="52"/>
        <v>2499112</v>
      </c>
      <c r="Y285" s="741">
        <v>2172</v>
      </c>
      <c r="Z285" s="741">
        <f t="shared" si="53"/>
        <v>166</v>
      </c>
      <c r="AA285" s="747">
        <f t="shared" si="54"/>
        <v>2501450</v>
      </c>
    </row>
    <row r="286" spans="1:27">
      <c r="A286" s="742">
        <f t="shared" si="55"/>
        <v>2039</v>
      </c>
      <c r="B286" s="742">
        <f t="shared" si="56"/>
        <v>5</v>
      </c>
      <c r="C286" s="746">
        <f t="shared" ref="C286:C293" si="57">DATE(A286,B286,1)</f>
        <v>50891</v>
      </c>
      <c r="D286" s="739"/>
      <c r="E286" s="748">
        <v>827135</v>
      </c>
      <c r="F286" s="741">
        <v>856875</v>
      </c>
      <c r="G286" s="741">
        <v>58636</v>
      </c>
      <c r="H286" s="741">
        <v>4980</v>
      </c>
      <c r="I286" s="741">
        <v>458</v>
      </c>
      <c r="J286" s="741">
        <f t="shared" ref="J286:J293" si="58">SUM(E286:I286)</f>
        <v>1748084</v>
      </c>
      <c r="K286" s="741">
        <f t="shared" ref="K286:K293" si="59">L286-J286</f>
        <v>133600</v>
      </c>
      <c r="L286" s="741">
        <f t="shared" ref="L286:L293" si="60">ROUND(J286/0.929, 0)</f>
        <v>1881684</v>
      </c>
      <c r="M286" s="741">
        <v>2174</v>
      </c>
      <c r="N286" s="741">
        <f t="shared" ref="N286:N293" si="61">ROUND(M286/0.929-M286, 0)</f>
        <v>166</v>
      </c>
      <c r="O286" s="747">
        <f t="shared" ref="O286:O293" si="62">SUM(L286:N286)</f>
        <v>1884024</v>
      </c>
      <c r="Q286" s="748">
        <v>1001549</v>
      </c>
      <c r="R286" s="741">
        <v>1069160</v>
      </c>
      <c r="S286" s="741">
        <v>85319</v>
      </c>
      <c r="T286" s="741">
        <v>4980</v>
      </c>
      <c r="U286" s="741">
        <v>458</v>
      </c>
      <c r="V286" s="741">
        <f t="shared" ref="V286:V293" si="63">SUM(Q286:U286)</f>
        <v>2161466</v>
      </c>
      <c r="W286" s="741">
        <f t="shared" ref="W286:W293" si="64">X286-V286</f>
        <v>165193</v>
      </c>
      <c r="X286" s="741">
        <f t="shared" ref="X286:X293" si="65">ROUND(V286/0.929, 0)</f>
        <v>2326659</v>
      </c>
      <c r="Y286" s="741">
        <v>2174</v>
      </c>
      <c r="Z286" s="741">
        <f t="shared" ref="Z286:Z293" si="66">N286</f>
        <v>166</v>
      </c>
      <c r="AA286" s="747">
        <f t="shared" ref="AA286:AA293" si="67">SUM(X286:Z286)</f>
        <v>2328999</v>
      </c>
    </row>
    <row r="287" spans="1:27">
      <c r="A287" s="742">
        <f t="shared" ref="A287:A293" si="68">IF(B287=1,A286+1,A286)</f>
        <v>2039</v>
      </c>
      <c r="B287" s="742">
        <f t="shared" ref="B287:B293" si="69">IF(B286=12,1,B286+1)</f>
        <v>6</v>
      </c>
      <c r="C287" s="746">
        <f t="shared" si="57"/>
        <v>50922</v>
      </c>
      <c r="D287" s="739"/>
      <c r="E287" s="748">
        <v>755768</v>
      </c>
      <c r="F287" s="741">
        <v>849046</v>
      </c>
      <c r="G287" s="741">
        <v>59431</v>
      </c>
      <c r="H287" s="741">
        <v>4990</v>
      </c>
      <c r="I287" s="741">
        <v>356</v>
      </c>
      <c r="J287" s="741">
        <f t="shared" si="58"/>
        <v>1669591</v>
      </c>
      <c r="K287" s="741">
        <f t="shared" si="59"/>
        <v>127601</v>
      </c>
      <c r="L287" s="741">
        <f t="shared" si="60"/>
        <v>1797192</v>
      </c>
      <c r="M287" s="741">
        <v>1787</v>
      </c>
      <c r="N287" s="741">
        <f t="shared" si="61"/>
        <v>137</v>
      </c>
      <c r="O287" s="747">
        <f t="shared" si="62"/>
        <v>1799116</v>
      </c>
      <c r="Q287" s="748">
        <v>925518</v>
      </c>
      <c r="R287" s="741">
        <v>1058512</v>
      </c>
      <c r="S287" s="741">
        <v>86117</v>
      </c>
      <c r="T287" s="741">
        <v>4990</v>
      </c>
      <c r="U287" s="741">
        <v>356</v>
      </c>
      <c r="V287" s="741">
        <f t="shared" si="63"/>
        <v>2075493</v>
      </c>
      <c r="W287" s="741">
        <f t="shared" si="64"/>
        <v>158622</v>
      </c>
      <c r="X287" s="741">
        <f t="shared" si="65"/>
        <v>2234115</v>
      </c>
      <c r="Y287" s="741">
        <v>1787</v>
      </c>
      <c r="Z287" s="741">
        <f t="shared" si="66"/>
        <v>137</v>
      </c>
      <c r="AA287" s="747">
        <f t="shared" si="67"/>
        <v>2236039</v>
      </c>
    </row>
    <row r="288" spans="1:27">
      <c r="A288" s="742">
        <f t="shared" si="68"/>
        <v>2039</v>
      </c>
      <c r="B288" s="742">
        <f t="shared" si="69"/>
        <v>7</v>
      </c>
      <c r="C288" s="746">
        <f t="shared" si="57"/>
        <v>50952</v>
      </c>
      <c r="D288" s="739"/>
      <c r="E288" s="748">
        <v>748694</v>
      </c>
      <c r="F288" s="741">
        <v>894613</v>
      </c>
      <c r="G288" s="741">
        <v>61239</v>
      </c>
      <c r="H288" s="741">
        <v>4795</v>
      </c>
      <c r="I288" s="741">
        <v>315</v>
      </c>
      <c r="J288" s="741">
        <f t="shared" si="58"/>
        <v>1709656</v>
      </c>
      <c r="K288" s="741">
        <f t="shared" si="59"/>
        <v>130663</v>
      </c>
      <c r="L288" s="741">
        <f t="shared" si="60"/>
        <v>1840319</v>
      </c>
      <c r="M288" s="741">
        <v>2889</v>
      </c>
      <c r="N288" s="741">
        <f t="shared" si="61"/>
        <v>221</v>
      </c>
      <c r="O288" s="747">
        <f t="shared" si="62"/>
        <v>1843429</v>
      </c>
      <c r="Q288" s="748">
        <v>930325</v>
      </c>
      <c r="R288" s="741">
        <v>1115041</v>
      </c>
      <c r="S288" s="741">
        <v>88564</v>
      </c>
      <c r="T288" s="741">
        <v>4795</v>
      </c>
      <c r="U288" s="741">
        <v>315</v>
      </c>
      <c r="V288" s="741">
        <f t="shared" si="63"/>
        <v>2139040</v>
      </c>
      <c r="W288" s="741">
        <f t="shared" si="64"/>
        <v>163479</v>
      </c>
      <c r="X288" s="741">
        <f t="shared" si="65"/>
        <v>2302519</v>
      </c>
      <c r="Y288" s="741">
        <v>2889</v>
      </c>
      <c r="Z288" s="741">
        <f t="shared" si="66"/>
        <v>221</v>
      </c>
      <c r="AA288" s="747">
        <f t="shared" si="67"/>
        <v>2305629</v>
      </c>
    </row>
    <row r="289" spans="1:27">
      <c r="A289" s="742">
        <f t="shared" si="68"/>
        <v>2039</v>
      </c>
      <c r="B289" s="742">
        <f t="shared" si="69"/>
        <v>8</v>
      </c>
      <c r="C289" s="746">
        <f t="shared" si="57"/>
        <v>50983</v>
      </c>
      <c r="D289" s="739"/>
      <c r="E289" s="748">
        <v>729516</v>
      </c>
      <c r="F289" s="741">
        <v>925367</v>
      </c>
      <c r="G289" s="741">
        <v>63533</v>
      </c>
      <c r="H289" s="741">
        <v>4948</v>
      </c>
      <c r="I289" s="741">
        <v>285</v>
      </c>
      <c r="J289" s="741">
        <f t="shared" si="58"/>
        <v>1723649</v>
      </c>
      <c r="K289" s="741">
        <f t="shared" si="59"/>
        <v>131732</v>
      </c>
      <c r="L289" s="741">
        <f t="shared" si="60"/>
        <v>1855381</v>
      </c>
      <c r="M289" s="741">
        <v>1634</v>
      </c>
      <c r="N289" s="741">
        <f t="shared" si="61"/>
        <v>125</v>
      </c>
      <c r="O289" s="747">
        <f t="shared" si="62"/>
        <v>1857140</v>
      </c>
      <c r="Q289" s="748">
        <v>911351</v>
      </c>
      <c r="R289" s="741">
        <v>1149942</v>
      </c>
      <c r="S289" s="741">
        <v>91525</v>
      </c>
      <c r="T289" s="741">
        <v>4948</v>
      </c>
      <c r="U289" s="741">
        <v>285</v>
      </c>
      <c r="V289" s="741">
        <f t="shared" si="63"/>
        <v>2158051</v>
      </c>
      <c r="W289" s="741">
        <f t="shared" si="64"/>
        <v>164932</v>
      </c>
      <c r="X289" s="741">
        <f t="shared" si="65"/>
        <v>2322983</v>
      </c>
      <c r="Y289" s="741">
        <v>1634</v>
      </c>
      <c r="Z289" s="741">
        <f t="shared" si="66"/>
        <v>125</v>
      </c>
      <c r="AA289" s="747">
        <f t="shared" si="67"/>
        <v>2324742</v>
      </c>
    </row>
    <row r="290" spans="1:27">
      <c r="A290" s="742">
        <f t="shared" si="68"/>
        <v>2039</v>
      </c>
      <c r="B290" s="742">
        <f t="shared" si="69"/>
        <v>9</v>
      </c>
      <c r="C290" s="746">
        <f t="shared" si="57"/>
        <v>51014</v>
      </c>
      <c r="D290" s="739"/>
      <c r="E290" s="748">
        <v>738582</v>
      </c>
      <c r="F290" s="741">
        <v>872926</v>
      </c>
      <c r="G290" s="741">
        <v>58264</v>
      </c>
      <c r="H290" s="741">
        <v>4824</v>
      </c>
      <c r="I290" s="741">
        <v>324</v>
      </c>
      <c r="J290" s="741">
        <f t="shared" si="58"/>
        <v>1674920</v>
      </c>
      <c r="K290" s="741">
        <f t="shared" si="59"/>
        <v>128008</v>
      </c>
      <c r="L290" s="741">
        <f t="shared" si="60"/>
        <v>1802928</v>
      </c>
      <c r="M290" s="741">
        <v>1428</v>
      </c>
      <c r="N290" s="741">
        <f t="shared" si="61"/>
        <v>109</v>
      </c>
      <c r="O290" s="747">
        <f t="shared" si="62"/>
        <v>1804465</v>
      </c>
      <c r="Q290" s="748">
        <v>916398</v>
      </c>
      <c r="R290" s="741">
        <v>1088107</v>
      </c>
      <c r="S290" s="741">
        <v>84474</v>
      </c>
      <c r="T290" s="741">
        <v>4824</v>
      </c>
      <c r="U290" s="741">
        <v>324</v>
      </c>
      <c r="V290" s="741">
        <f t="shared" si="63"/>
        <v>2094127</v>
      </c>
      <c r="W290" s="741">
        <f t="shared" si="64"/>
        <v>160046</v>
      </c>
      <c r="X290" s="741">
        <f t="shared" si="65"/>
        <v>2254173</v>
      </c>
      <c r="Y290" s="741">
        <v>1428</v>
      </c>
      <c r="Z290" s="741">
        <f t="shared" si="66"/>
        <v>109</v>
      </c>
      <c r="AA290" s="747">
        <f t="shared" si="67"/>
        <v>2255710</v>
      </c>
    </row>
    <row r="291" spans="1:27">
      <c r="A291" s="742">
        <f t="shared" si="68"/>
        <v>2039</v>
      </c>
      <c r="B291" s="742">
        <f t="shared" si="69"/>
        <v>10</v>
      </c>
      <c r="C291" s="746">
        <f t="shared" si="57"/>
        <v>51044</v>
      </c>
      <c r="D291" s="739"/>
      <c r="E291" s="748">
        <v>927669</v>
      </c>
      <c r="F291" s="741">
        <v>894500</v>
      </c>
      <c r="G291" s="741">
        <v>61036</v>
      </c>
      <c r="H291" s="741">
        <v>5119</v>
      </c>
      <c r="I291" s="741">
        <v>483</v>
      </c>
      <c r="J291" s="741">
        <f t="shared" si="58"/>
        <v>1888807</v>
      </c>
      <c r="K291" s="741">
        <f t="shared" si="59"/>
        <v>144354</v>
      </c>
      <c r="L291" s="741">
        <f t="shared" si="60"/>
        <v>2033161</v>
      </c>
      <c r="M291" s="741">
        <v>1830</v>
      </c>
      <c r="N291" s="741">
        <f t="shared" si="61"/>
        <v>140</v>
      </c>
      <c r="O291" s="747">
        <f t="shared" si="62"/>
        <v>2035131</v>
      </c>
      <c r="Q291" s="748">
        <v>1133871</v>
      </c>
      <c r="R291" s="741">
        <v>1118059</v>
      </c>
      <c r="S291" s="741">
        <v>87538</v>
      </c>
      <c r="T291" s="741">
        <v>5119</v>
      </c>
      <c r="U291" s="741">
        <v>483</v>
      </c>
      <c r="V291" s="741">
        <f t="shared" si="63"/>
        <v>2345070</v>
      </c>
      <c r="W291" s="741">
        <f t="shared" si="64"/>
        <v>179225</v>
      </c>
      <c r="X291" s="741">
        <f t="shared" si="65"/>
        <v>2524295</v>
      </c>
      <c r="Y291" s="741">
        <v>1830</v>
      </c>
      <c r="Z291" s="741">
        <f t="shared" si="66"/>
        <v>140</v>
      </c>
      <c r="AA291" s="747">
        <f t="shared" si="67"/>
        <v>2526265</v>
      </c>
    </row>
    <row r="292" spans="1:27">
      <c r="A292" s="742">
        <f t="shared" si="68"/>
        <v>2039</v>
      </c>
      <c r="B292" s="742">
        <f t="shared" si="69"/>
        <v>11</v>
      </c>
      <c r="C292" s="746">
        <f t="shared" si="57"/>
        <v>51075</v>
      </c>
      <c r="D292" s="739"/>
      <c r="E292" s="748">
        <v>1153298</v>
      </c>
      <c r="F292" s="741">
        <v>938778</v>
      </c>
      <c r="G292" s="741">
        <v>55900</v>
      </c>
      <c r="H292" s="741">
        <v>5575</v>
      </c>
      <c r="I292" s="741">
        <v>697</v>
      </c>
      <c r="J292" s="741">
        <f t="shared" si="58"/>
        <v>2154248</v>
      </c>
      <c r="K292" s="741">
        <f t="shared" si="59"/>
        <v>164641</v>
      </c>
      <c r="L292" s="741">
        <f t="shared" si="60"/>
        <v>2318889</v>
      </c>
      <c r="M292" s="741">
        <v>1832</v>
      </c>
      <c r="N292" s="741">
        <f t="shared" si="61"/>
        <v>140</v>
      </c>
      <c r="O292" s="747">
        <f t="shared" si="62"/>
        <v>2320861</v>
      </c>
      <c r="Q292" s="748">
        <v>1384319</v>
      </c>
      <c r="R292" s="741">
        <v>1163222</v>
      </c>
      <c r="S292" s="741">
        <v>81253</v>
      </c>
      <c r="T292" s="741">
        <v>5575</v>
      </c>
      <c r="U292" s="741">
        <v>697</v>
      </c>
      <c r="V292" s="741">
        <f t="shared" si="63"/>
        <v>2635066</v>
      </c>
      <c r="W292" s="741">
        <f t="shared" si="64"/>
        <v>201388</v>
      </c>
      <c r="X292" s="741">
        <f t="shared" si="65"/>
        <v>2836454</v>
      </c>
      <c r="Y292" s="741">
        <v>1832</v>
      </c>
      <c r="Z292" s="741">
        <f t="shared" si="66"/>
        <v>140</v>
      </c>
      <c r="AA292" s="747">
        <f t="shared" si="67"/>
        <v>2838426</v>
      </c>
    </row>
    <row r="293" spans="1:27" ht="13.5" thickBot="1">
      <c r="A293" s="742">
        <f t="shared" si="68"/>
        <v>2039</v>
      </c>
      <c r="B293" s="742">
        <f t="shared" si="69"/>
        <v>12</v>
      </c>
      <c r="C293" s="746">
        <f t="shared" si="57"/>
        <v>51105</v>
      </c>
      <c r="D293" s="739"/>
      <c r="E293" s="745">
        <v>1469621</v>
      </c>
      <c r="F293" s="744">
        <v>1032585</v>
      </c>
      <c r="G293" s="744">
        <v>54885</v>
      </c>
      <c r="H293" s="744">
        <v>5498</v>
      </c>
      <c r="I293" s="744">
        <v>1016</v>
      </c>
      <c r="J293" s="744">
        <f t="shared" si="58"/>
        <v>2563605</v>
      </c>
      <c r="K293" s="744">
        <f t="shared" si="59"/>
        <v>195927</v>
      </c>
      <c r="L293" s="744">
        <f t="shared" si="60"/>
        <v>2759532</v>
      </c>
      <c r="M293" s="744">
        <v>1718</v>
      </c>
      <c r="N293" s="744">
        <f t="shared" si="61"/>
        <v>131</v>
      </c>
      <c r="O293" s="743">
        <f t="shared" si="62"/>
        <v>2761381</v>
      </c>
      <c r="Q293" s="745">
        <v>1738779</v>
      </c>
      <c r="R293" s="744">
        <v>1273161</v>
      </c>
      <c r="S293" s="744">
        <v>81205</v>
      </c>
      <c r="T293" s="744">
        <v>5498</v>
      </c>
      <c r="U293" s="744">
        <v>1016</v>
      </c>
      <c r="V293" s="744">
        <f t="shared" si="63"/>
        <v>3099659</v>
      </c>
      <c r="W293" s="744">
        <f t="shared" si="64"/>
        <v>236895</v>
      </c>
      <c r="X293" s="744">
        <f t="shared" si="65"/>
        <v>3336554</v>
      </c>
      <c r="Y293" s="744">
        <v>1718</v>
      </c>
      <c r="Z293" s="744">
        <f t="shared" si="66"/>
        <v>131</v>
      </c>
      <c r="AA293" s="743">
        <f t="shared" si="67"/>
        <v>3338403</v>
      </c>
    </row>
    <row r="294" spans="1:27">
      <c r="A294" s="742"/>
      <c r="B294" s="742"/>
    </row>
    <row r="295" spans="1:27">
      <c r="J295" s="739"/>
      <c r="K295" s="739"/>
      <c r="L295" s="741"/>
    </row>
    <row r="296" spans="1:27">
      <c r="J296" s="739"/>
      <c r="K296" s="739"/>
      <c r="L296" s="740"/>
    </row>
    <row r="297" spans="1:27">
      <c r="J297" s="739"/>
      <c r="K297" s="739"/>
      <c r="L297" s="739"/>
    </row>
    <row r="298" spans="1:27">
      <c r="J298" s="739"/>
      <c r="K298" s="739"/>
      <c r="L298" s="740"/>
    </row>
  </sheetData>
  <mergeCells count="2">
    <mergeCell ref="E4:O4"/>
    <mergeCell ref="Q4:A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zoomScale="85" zoomScaleNormal="85" workbookViewId="0">
      <pane xSplit="1" ySplit="2" topLeftCell="B12" activePane="bottomRight" state="frozen"/>
      <selection activeCell="H16" sqref="H16"/>
      <selection pane="topRight" activeCell="H16" sqref="H16"/>
      <selection pane="bottomLeft" activeCell="H16" sqref="H16"/>
      <selection pane="bottomRight" activeCell="J35" sqref="J35"/>
    </sheetView>
  </sheetViews>
  <sheetFormatPr defaultRowHeight="15" outlineLevelRow="1"/>
  <cols>
    <col min="1" max="1" width="50.7109375" style="575" customWidth="1"/>
    <col min="2" max="2" width="11.5703125" style="575" bestFit="1" customWidth="1"/>
    <col min="3" max="3" width="12.5703125" style="575" bestFit="1" customWidth="1"/>
    <col min="4" max="5" width="11.5703125" style="575" bestFit="1" customWidth="1"/>
    <col min="6" max="6" width="12.5703125" style="575" bestFit="1" customWidth="1"/>
    <col min="7" max="9" width="11.5703125" style="575" bestFit="1" customWidth="1"/>
    <col min="10" max="13" width="11.5703125" style="575" customWidth="1"/>
    <col min="14" max="14" width="14.140625" style="575" customWidth="1"/>
    <col min="15" max="15" width="11.5703125" style="575" bestFit="1" customWidth="1"/>
    <col min="16" max="16384" width="9.140625" style="575"/>
  </cols>
  <sheetData>
    <row r="1" spans="1:35" ht="18.75">
      <c r="A1" s="70" t="s">
        <v>129</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35" ht="30">
      <c r="A2" s="250" t="s">
        <v>131</v>
      </c>
      <c r="B2" s="482">
        <v>43101</v>
      </c>
      <c r="C2" s="482">
        <v>43132</v>
      </c>
      <c r="D2" s="482">
        <v>43160</v>
      </c>
      <c r="E2" s="482">
        <v>43191</v>
      </c>
      <c r="F2" s="482">
        <v>43221</v>
      </c>
      <c r="G2" s="482">
        <v>43252</v>
      </c>
      <c r="H2" s="482">
        <v>43282</v>
      </c>
      <c r="I2" s="482">
        <v>43313</v>
      </c>
      <c r="J2" s="482">
        <v>43344</v>
      </c>
      <c r="K2" s="482">
        <v>43374</v>
      </c>
      <c r="L2" s="482">
        <v>43405</v>
      </c>
      <c r="M2" s="482">
        <v>43435</v>
      </c>
      <c r="N2" s="69" t="s">
        <v>132</v>
      </c>
      <c r="O2" s="68"/>
      <c r="P2" s="68"/>
      <c r="Q2" s="68"/>
      <c r="R2" s="68"/>
      <c r="S2" s="68"/>
      <c r="T2" s="68"/>
      <c r="U2" s="68"/>
      <c r="V2" s="68"/>
      <c r="W2" s="68"/>
      <c r="X2" s="68"/>
      <c r="Y2" s="68"/>
      <c r="Z2" s="68"/>
      <c r="AA2" s="68"/>
      <c r="AB2" s="68"/>
      <c r="AC2" s="68"/>
      <c r="AD2" s="68"/>
      <c r="AE2" s="68"/>
      <c r="AF2" s="68"/>
      <c r="AG2" s="68"/>
      <c r="AH2" s="68"/>
      <c r="AI2" s="68"/>
    </row>
    <row r="4" spans="1:35">
      <c r="A4" s="575" t="s">
        <v>133</v>
      </c>
      <c r="B4" s="289">
        <f>+'Load Impact to Cost &amp; Rev'!B8</f>
        <v>2754665.2050657715</v>
      </c>
      <c r="C4" s="289">
        <f>+'Load Impact to Cost &amp; Rev'!C8</f>
        <v>-1796881.2425615727</v>
      </c>
      <c r="D4" s="289">
        <f>+'Load Impact to Cost &amp; Rev'!D8</f>
        <v>158786.4472350881</v>
      </c>
      <c r="E4" s="289">
        <f>+'Load Impact to Cost &amp; Rev'!E8</f>
        <v>218132.77255679943</v>
      </c>
      <c r="F4" s="289">
        <f>+'Load Impact to Cost &amp; Rev'!F8</f>
        <v>249363.1965331237</v>
      </c>
      <c r="G4" s="289">
        <f>+'Load Impact to Cost &amp; Rev'!G8</f>
        <v>-75428.881251260595</v>
      </c>
      <c r="H4" s="289">
        <f>+'Load Impact to Cost &amp; Rev'!H8</f>
        <v>-1382500.3947639388</v>
      </c>
      <c r="I4" s="289">
        <f>+'Load Impact to Cost &amp; Rev'!I8</f>
        <v>-839284.37999572442</v>
      </c>
      <c r="J4" s="289">
        <f>+'Load Impact to Cost &amp; Rev'!J8</f>
        <v>53565.477905428357</v>
      </c>
      <c r="K4" s="289">
        <f>+'Load Impact to Cost &amp; Rev'!K8</f>
        <v>190215.85094390548</v>
      </c>
      <c r="L4" s="289">
        <f>+'Load Impact to Cost &amp; Rev'!L8</f>
        <v>2153871.770917865</v>
      </c>
      <c r="M4" s="289">
        <f>+'Load Impact to Cost &amp; Rev'!M8</f>
        <v>2590622.5259823087</v>
      </c>
      <c r="N4" s="289">
        <f>SUM(B4:M4)</f>
        <v>4275128.3485677931</v>
      </c>
      <c r="O4" s="67">
        <f>+'Load Impact to Cost &amp; Rev'!N8-N4</f>
        <v>0</v>
      </c>
      <c r="P4" s="66" t="s">
        <v>134</v>
      </c>
    </row>
    <row r="5" spans="1:35">
      <c r="A5" s="575" t="s">
        <v>135</v>
      </c>
      <c r="B5" s="289">
        <f>+'2018 Hydro'!B34</f>
        <v>2363762.5216184366</v>
      </c>
      <c r="C5" s="289">
        <f>+'2018 Hydro'!C34</f>
        <v>3822553.4037438314</v>
      </c>
      <c r="D5" s="289">
        <f>+'2018 Hydro'!D34</f>
        <v>950638.72597015009</v>
      </c>
      <c r="E5" s="289">
        <f>+'2018 Hydro'!E34</f>
        <v>1024030.9285356649</v>
      </c>
      <c r="F5" s="289">
        <f>+'2018 Hydro'!F34</f>
        <v>-110072.2408183527</v>
      </c>
      <c r="G5" s="289">
        <f>+'2018 Hydro'!G34</f>
        <v>-118718.63677759832</v>
      </c>
      <c r="H5" s="289">
        <f>+'2018 Hydro'!H34</f>
        <v>-1008384.5396194983</v>
      </c>
      <c r="I5" s="289">
        <f>+'2018 Hydro'!I34</f>
        <v>-1201394.8820940177</v>
      </c>
      <c r="J5" s="289">
        <f>+'2018 Hydro'!J34</f>
        <v>-131409.41273396317</v>
      </c>
      <c r="K5" s="289">
        <f>+'2018 Hydro'!K34</f>
        <v>-193267.67207569219</v>
      </c>
      <c r="L5" s="289">
        <f>+'2018 Hydro'!L34</f>
        <v>570803.32033107255</v>
      </c>
      <c r="M5" s="289">
        <f>+'2018 Hydro'!M34</f>
        <v>-1392239.8198144494</v>
      </c>
      <c r="N5" s="289">
        <f>SUM(B5:M5)</f>
        <v>4576301.6962655857</v>
      </c>
      <c r="O5" s="67">
        <f>+'2018 Hydro'!N34-N5</f>
        <v>0</v>
      </c>
      <c r="P5" s="66" t="s">
        <v>134</v>
      </c>
    </row>
    <row r="6" spans="1:35">
      <c r="A6" s="575" t="s">
        <v>136</v>
      </c>
      <c r="B6" s="289">
        <f>+'2018 Wind'!B35</f>
        <v>-471148.82479994901</v>
      </c>
      <c r="C6" s="289">
        <f>+'2018 Wind'!C35</f>
        <v>3425609.5973195764</v>
      </c>
      <c r="D6" s="289">
        <f>+'2018 Wind'!D35</f>
        <v>-28781.785778547928</v>
      </c>
      <c r="E6" s="289">
        <f>+'2018 Wind'!E35</f>
        <v>490213.63809870312</v>
      </c>
      <c r="F6" s="289">
        <f>+'2018 Wind'!F35</f>
        <v>-1010830.0256052192</v>
      </c>
      <c r="G6" s="289">
        <f>+'2018 Wind'!G35</f>
        <v>30903.773909548428</v>
      </c>
      <c r="H6" s="289">
        <f>+'2018 Wind'!H35</f>
        <v>-520206.99957076157</v>
      </c>
      <c r="I6" s="289">
        <f>+'2018 Wind'!I35</f>
        <v>88524.689918808173</v>
      </c>
      <c r="J6" s="289">
        <f>+'2018 Wind'!J35</f>
        <v>-64519.400495713402</v>
      </c>
      <c r="K6" s="289">
        <f>+'2018 Wind'!K35</f>
        <v>-861108.03200015682</v>
      </c>
      <c r="L6" s="289">
        <f>+'2018 Wind'!L35</f>
        <v>310493.58344221377</v>
      </c>
      <c r="M6" s="289">
        <f>+'2018 Wind'!M35</f>
        <v>-496357.31480927404</v>
      </c>
      <c r="N6" s="289">
        <f>SUM(B6:M6)</f>
        <v>892792.8996292277</v>
      </c>
      <c r="O6" s="67">
        <f>+'2018 Wind'!N35-N6</f>
        <v>0</v>
      </c>
      <c r="P6" s="66" t="s">
        <v>134</v>
      </c>
    </row>
    <row r="8" spans="1:35" ht="15.75" thickBot="1">
      <c r="A8" s="250" t="s">
        <v>137</v>
      </c>
      <c r="B8" s="65">
        <f t="shared" ref="B8:N8" si="0">SUM(B4:B7)</f>
        <v>4647278.9018842587</v>
      </c>
      <c r="C8" s="65">
        <f t="shared" si="0"/>
        <v>5451281.7585018352</v>
      </c>
      <c r="D8" s="65">
        <f t="shared" si="0"/>
        <v>1080643.3874266904</v>
      </c>
      <c r="E8" s="65">
        <f t="shared" si="0"/>
        <v>1732377.3391911676</v>
      </c>
      <c r="F8" s="65">
        <f t="shared" si="0"/>
        <v>-871539.06989044813</v>
      </c>
      <c r="G8" s="65">
        <f t="shared" si="0"/>
        <v>-163243.74411931052</v>
      </c>
      <c r="H8" s="65">
        <f t="shared" si="0"/>
        <v>-2911091.9339541988</v>
      </c>
      <c r="I8" s="65">
        <f t="shared" si="0"/>
        <v>-1952154.5721709339</v>
      </c>
      <c r="J8" s="65">
        <f t="shared" si="0"/>
        <v>-142363.33532424821</v>
      </c>
      <c r="K8" s="65">
        <f t="shared" si="0"/>
        <v>-864159.8531319435</v>
      </c>
      <c r="L8" s="65">
        <f t="shared" si="0"/>
        <v>3035168.6746911514</v>
      </c>
      <c r="M8" s="65">
        <f t="shared" si="0"/>
        <v>702025.39135858521</v>
      </c>
      <c r="N8" s="65">
        <f t="shared" si="0"/>
        <v>9744222.9444626067</v>
      </c>
    </row>
    <row r="9" spans="1:35" ht="15.75" thickTop="1">
      <c r="A9" s="250"/>
      <c r="B9" s="64"/>
      <c r="C9" s="64"/>
      <c r="D9" s="64"/>
      <c r="E9" s="64"/>
      <c r="F9" s="64"/>
      <c r="G9" s="64"/>
      <c r="H9" s="64"/>
      <c r="I9" s="64"/>
      <c r="J9" s="64"/>
      <c r="K9" s="64"/>
      <c r="L9" s="64"/>
      <c r="M9" s="64"/>
      <c r="N9" s="64"/>
    </row>
    <row r="10" spans="1:35" ht="15.75" thickBot="1">
      <c r="A10" s="250" t="s">
        <v>138</v>
      </c>
      <c r="B10" s="65"/>
      <c r="C10" s="65"/>
      <c r="D10" s="65"/>
      <c r="E10" s="65"/>
      <c r="F10" s="65"/>
      <c r="G10" s="65"/>
      <c r="H10" s="65"/>
      <c r="I10" s="65"/>
      <c r="J10" s="65"/>
      <c r="K10" s="65"/>
      <c r="L10" s="65"/>
      <c r="M10" s="65"/>
      <c r="N10" s="65">
        <f>+'Sched B 2018'!P80</f>
        <v>0</v>
      </c>
    </row>
    <row r="11" spans="1:35" ht="16.5" thickTop="1" thickBot="1">
      <c r="A11" s="173"/>
      <c r="B11" s="64"/>
      <c r="C11" s="64"/>
      <c r="D11" s="64"/>
      <c r="E11" s="64"/>
      <c r="F11" s="64"/>
      <c r="G11" s="64"/>
      <c r="H11" s="64"/>
      <c r="I11" s="64"/>
      <c r="J11" s="64"/>
      <c r="K11" s="64"/>
      <c r="L11" s="64"/>
      <c r="M11" s="64"/>
      <c r="N11" s="64"/>
    </row>
    <row r="12" spans="1:35" outlineLevel="1">
      <c r="A12" s="63"/>
      <c r="B12" s="62"/>
      <c r="C12" s="61"/>
      <c r="D12" s="61"/>
      <c r="E12" s="61"/>
      <c r="F12" s="60"/>
      <c r="G12" s="59">
        <v>2018</v>
      </c>
    </row>
    <row r="13" spans="1:35" outlineLevel="1">
      <c r="A13" s="58"/>
      <c r="B13" s="57"/>
      <c r="C13" s="56"/>
      <c r="D13" s="56"/>
      <c r="E13" s="55"/>
      <c r="F13" s="54"/>
      <c r="G13" s="53" t="s">
        <v>139</v>
      </c>
    </row>
    <row r="14" spans="1:35" outlineLevel="1">
      <c r="A14" s="52" t="s">
        <v>140</v>
      </c>
      <c r="B14" s="51"/>
      <c r="C14" s="51" t="s">
        <v>141</v>
      </c>
      <c r="D14" s="51" t="s">
        <v>142</v>
      </c>
      <c r="E14" s="50" t="s">
        <v>143</v>
      </c>
      <c r="F14" s="49" t="s">
        <v>144</v>
      </c>
      <c r="G14" s="53" t="s">
        <v>145</v>
      </c>
    </row>
    <row r="15" spans="1:35" outlineLevel="1">
      <c r="A15" s="48" t="s">
        <v>146</v>
      </c>
      <c r="B15" s="47"/>
      <c r="C15" s="46"/>
      <c r="D15" s="46"/>
      <c r="E15" s="225"/>
      <c r="F15" s="226"/>
      <c r="G15" s="45">
        <f t="shared" ref="G15:G20" si="1">SUM(B15:F15)</f>
        <v>0</v>
      </c>
    </row>
    <row r="16" spans="1:35" outlineLevel="1">
      <c r="A16" s="52" t="s">
        <v>147</v>
      </c>
      <c r="B16" s="44"/>
      <c r="C16" s="276">
        <f>+N4</f>
        <v>4275128.3485677931</v>
      </c>
      <c r="D16" s="276">
        <f>+N5</f>
        <v>4576301.6962655857</v>
      </c>
      <c r="E16" s="43">
        <f>+N6</f>
        <v>892792.8996292277</v>
      </c>
      <c r="F16" s="42">
        <f>+N10</f>
        <v>0</v>
      </c>
      <c r="G16" s="41">
        <f t="shared" si="1"/>
        <v>9744222.9444626067</v>
      </c>
    </row>
    <row r="17" spans="1:16" outlineLevel="1">
      <c r="A17" s="52" t="s">
        <v>93</v>
      </c>
      <c r="B17" s="44"/>
      <c r="C17" s="40"/>
      <c r="D17" s="40"/>
      <c r="E17" s="222"/>
      <c r="F17" s="574"/>
      <c r="G17" s="41">
        <f t="shared" si="1"/>
        <v>0</v>
      </c>
    </row>
    <row r="18" spans="1:16" outlineLevel="1">
      <c r="A18" s="52" t="s">
        <v>148</v>
      </c>
      <c r="B18" s="44"/>
      <c r="C18" s="40"/>
      <c r="D18" s="40"/>
      <c r="E18" s="222"/>
      <c r="F18" s="574"/>
      <c r="G18" s="41">
        <f t="shared" si="1"/>
        <v>0</v>
      </c>
    </row>
    <row r="19" spans="1:16" outlineLevel="1">
      <c r="A19" s="52" t="s">
        <v>149</v>
      </c>
      <c r="B19" s="44"/>
      <c r="C19" s="40"/>
      <c r="D19" s="40"/>
      <c r="E19" s="222"/>
      <c r="F19" s="574"/>
      <c r="G19" s="41">
        <f t="shared" si="1"/>
        <v>0</v>
      </c>
    </row>
    <row r="20" spans="1:16" outlineLevel="1">
      <c r="A20" s="52" t="s">
        <v>150</v>
      </c>
      <c r="B20" s="44"/>
      <c r="C20" s="40"/>
      <c r="D20" s="39"/>
      <c r="E20" s="222"/>
      <c r="F20" s="574"/>
      <c r="G20" s="41">
        <f t="shared" si="1"/>
        <v>0</v>
      </c>
    </row>
    <row r="21" spans="1:16" ht="15.75" outlineLevel="1" thickBot="1">
      <c r="A21" s="38" t="s">
        <v>151</v>
      </c>
      <c r="B21" s="37"/>
      <c r="C21" s="37">
        <f>SUM(C15:C20)</f>
        <v>4275128.3485677931</v>
      </c>
      <c r="D21" s="37">
        <f>SUM(D15:D20)</f>
        <v>4576301.6962655857</v>
      </c>
      <c r="E21" s="37">
        <f>SUM(E15:E20)</f>
        <v>892792.8996292277</v>
      </c>
      <c r="F21" s="36">
        <f>SUM(F15:F20)</f>
        <v>0</v>
      </c>
      <c r="G21" s="35">
        <f>SUM(G15:G20)</f>
        <v>9744222.9444626067</v>
      </c>
    </row>
    <row r="22" spans="1:16">
      <c r="A22" s="173"/>
      <c r="B22" s="34"/>
    </row>
    <row r="23" spans="1:16">
      <c r="A23" s="33"/>
    </row>
    <row r="24" spans="1:16" hidden="1">
      <c r="A24" s="575" t="s">
        <v>152</v>
      </c>
      <c r="B24" s="289" t="e">
        <f>+#REF!</f>
        <v>#REF!</v>
      </c>
      <c r="C24" s="289" t="e">
        <f>+#REF!</f>
        <v>#REF!</v>
      </c>
      <c r="D24" s="289"/>
      <c r="E24" s="289"/>
      <c r="F24" s="289"/>
      <c r="G24" s="289"/>
      <c r="H24" s="289"/>
      <c r="I24" s="289"/>
      <c r="J24" s="289"/>
      <c r="K24" s="289"/>
      <c r="L24" s="289"/>
      <c r="M24" s="289"/>
      <c r="N24" s="289" t="e">
        <f>SUM(B24:I24)</f>
        <v>#REF!</v>
      </c>
      <c r="O24" s="67"/>
      <c r="P24" s="66"/>
    </row>
    <row r="25" spans="1:16" hidden="1">
      <c r="A25" s="575" t="s">
        <v>460</v>
      </c>
      <c r="B25" s="289" t="e">
        <f>-#REF!</f>
        <v>#REF!</v>
      </c>
      <c r="C25" s="289" t="e">
        <f>-#REF!</f>
        <v>#REF!</v>
      </c>
      <c r="D25" s="289"/>
      <c r="E25" s="289"/>
      <c r="F25" s="289"/>
      <c r="G25" s="289"/>
      <c r="H25" s="289"/>
      <c r="I25" s="289"/>
      <c r="J25" s="289"/>
      <c r="K25" s="289"/>
      <c r="L25" s="289"/>
      <c r="M25" s="289"/>
      <c r="N25" s="289" t="e">
        <f>SUM(B25:I25)</f>
        <v>#REF!</v>
      </c>
      <c r="O25" s="67"/>
      <c r="P25" s="66"/>
    </row>
    <row r="26" spans="1:16" hidden="1">
      <c r="B26" s="289"/>
      <c r="C26" s="289"/>
      <c r="D26" s="289"/>
      <c r="E26" s="289"/>
      <c r="F26" s="289"/>
      <c r="G26" s="289"/>
      <c r="H26" s="289"/>
      <c r="I26" s="289"/>
      <c r="J26" s="289"/>
      <c r="K26" s="289"/>
      <c r="L26" s="289"/>
      <c r="M26" s="289"/>
      <c r="N26" s="289"/>
      <c r="O26" s="67"/>
      <c r="P26" s="66"/>
    </row>
    <row r="27" spans="1:16" ht="15.75" hidden="1" thickBot="1">
      <c r="A27" s="575" t="s">
        <v>153</v>
      </c>
      <c r="B27" s="73" t="e">
        <f t="shared" ref="B27:I27" si="2">SUM(B8,B24:B25)</f>
        <v>#REF!</v>
      </c>
      <c r="C27" s="73" t="e">
        <f t="shared" si="2"/>
        <v>#REF!</v>
      </c>
      <c r="D27" s="73">
        <f t="shared" si="2"/>
        <v>1080643.3874266904</v>
      </c>
      <c r="E27" s="73">
        <f t="shared" si="2"/>
        <v>1732377.3391911676</v>
      </c>
      <c r="F27" s="73">
        <f t="shared" si="2"/>
        <v>-871539.06989044813</v>
      </c>
      <c r="G27" s="73">
        <f t="shared" si="2"/>
        <v>-163243.74411931052</v>
      </c>
      <c r="H27" s="73">
        <f t="shared" si="2"/>
        <v>-2911091.9339541988</v>
      </c>
      <c r="I27" s="73">
        <f t="shared" si="2"/>
        <v>-1952154.5721709339</v>
      </c>
      <c r="J27" s="277"/>
      <c r="K27" s="277"/>
      <c r="L27" s="277"/>
      <c r="M27" s="277"/>
      <c r="N27" s="32" t="e">
        <f>SUM(N8,N24:N25)</f>
        <v>#REF!</v>
      </c>
    </row>
  </sheetData>
  <pageMargins left="0.7" right="0.7" top="0.75" bottom="0.75" header="0.3" footer="0.3"/>
  <pageSetup scale="63"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B1" zoomScale="85" zoomScaleNormal="85" workbookViewId="0">
      <selection activeCell="B21" sqref="B21"/>
    </sheetView>
  </sheetViews>
  <sheetFormatPr defaultRowHeight="15"/>
  <cols>
    <col min="1" max="1" width="44.28515625" style="575" customWidth="1"/>
    <col min="2" max="2" width="15" style="575" bestFit="1" customWidth="1"/>
    <col min="3" max="5" width="14.28515625" style="575" bestFit="1" customWidth="1"/>
    <col min="6" max="6" width="16" style="575" bestFit="1" customWidth="1"/>
    <col min="7" max="9" width="14.28515625" style="575" bestFit="1" customWidth="1"/>
    <col min="10" max="13" width="14.28515625" style="575" customWidth="1"/>
    <col min="14" max="14" width="11.5703125" style="575" bestFit="1" customWidth="1"/>
    <col min="15" max="16384" width="9.140625" style="575"/>
  </cols>
  <sheetData>
    <row r="1" spans="1:16">
      <c r="A1" s="78" t="s">
        <v>154</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16">
      <c r="B2" s="482">
        <v>43101</v>
      </c>
      <c r="C2" s="482">
        <v>43132</v>
      </c>
      <c r="D2" s="482">
        <v>43160</v>
      </c>
      <c r="E2" s="482">
        <v>43191</v>
      </c>
      <c r="F2" s="482">
        <v>43221</v>
      </c>
      <c r="G2" s="482">
        <v>43252</v>
      </c>
      <c r="H2" s="482">
        <v>43282</v>
      </c>
      <c r="I2" s="482">
        <v>43313</v>
      </c>
      <c r="J2" s="482">
        <v>43344</v>
      </c>
      <c r="K2" s="482">
        <v>43374</v>
      </c>
      <c r="L2" s="482">
        <v>43405</v>
      </c>
      <c r="M2" s="482">
        <v>43435</v>
      </c>
      <c r="N2" s="482" t="s">
        <v>155</v>
      </c>
    </row>
    <row r="3" spans="1:16">
      <c r="A3" s="250" t="s">
        <v>156</v>
      </c>
      <c r="B3" s="482"/>
      <c r="C3" s="482"/>
      <c r="D3" s="482"/>
      <c r="E3" s="482"/>
      <c r="F3" s="482"/>
      <c r="G3" s="482"/>
      <c r="H3" s="482"/>
      <c r="I3" s="482"/>
      <c r="J3" s="482"/>
      <c r="K3" s="482"/>
      <c r="L3" s="482"/>
      <c r="M3" s="482"/>
      <c r="N3" s="482"/>
    </row>
    <row r="4" spans="1:16">
      <c r="A4" s="575" t="s">
        <v>157</v>
      </c>
      <c r="B4" s="135">
        <f>VLOOKUP(B2,'Load Temp Adj'!$B:$D,3,FALSE)/1000</f>
        <v>2305584.0654216884</v>
      </c>
      <c r="C4" s="135">
        <f>VLOOKUP(C2,'Load Temp Adj'!$B:$D,3,FALSE)/1000</f>
        <v>2007991.9306302031</v>
      </c>
      <c r="D4" s="135">
        <f>VLOOKUP(D2,'Load Temp Adj'!$B:$D,3,FALSE)/1000</f>
        <v>2068533.3330722307</v>
      </c>
      <c r="E4" s="135">
        <f>VLOOKUP(E2,'Load Temp Adj'!$B:$D,3,FALSE)/1000</f>
        <v>1779404.1856001571</v>
      </c>
      <c r="F4" s="135">
        <f>VLOOKUP(F2,'Load Temp Adj'!$B:$D,3,FALSE)/1000</f>
        <v>1611520.0068019745</v>
      </c>
      <c r="G4" s="135">
        <f>VLOOKUP(G2,'Load Temp Adj'!$B:$D,3,FALSE)/1000</f>
        <v>1559953.2997715843</v>
      </c>
      <c r="H4" s="135">
        <f>VLOOKUP(H2,'Load Temp Adj'!$B:$D,3,FALSE)/1000</f>
        <v>1684287.6524307153</v>
      </c>
      <c r="I4" s="135">
        <f>VLOOKUP(I2,'Load Temp Adj'!$B:$D,3,FALSE)/1000</f>
        <v>1675731.2727487276</v>
      </c>
      <c r="J4" s="135">
        <f>VLOOKUP(J2,'Load Temp Adj'!$B:$D,3,FALSE)/1000</f>
        <v>1545952.3993269168</v>
      </c>
      <c r="K4" s="135">
        <f>VLOOKUP(K2,'Load Temp Adj'!$B:$D,3,FALSE)/1000</f>
        <v>1778613.5613702582</v>
      </c>
      <c r="L4" s="135">
        <f>VLOOKUP(L2,'Load Temp Adj'!$B:$D,3,FALSE)/1000</f>
        <v>2027305.8970000001</v>
      </c>
      <c r="M4" s="135">
        <f>VLOOKUP(M2,'Load Temp Adj'!$B:$D,3,FALSE)/1000</f>
        <v>2334378.3620000002</v>
      </c>
      <c r="N4" s="135">
        <f>SUM(B4:M4)</f>
        <v>22379255.966174457</v>
      </c>
    </row>
    <row r="5" spans="1:16">
      <c r="A5" s="575" t="s">
        <v>158</v>
      </c>
      <c r="B5" s="135">
        <f>VLOOKUP(B2,'Load Temp Adj'!$B:$D,2,FALSE)/1000</f>
        <v>2215266.1669999999</v>
      </c>
      <c r="C5" s="135">
        <f>VLOOKUP(C2,'Load Temp Adj'!$B:$D,2,FALSE)/1000</f>
        <v>2064898.7</v>
      </c>
      <c r="D5" s="135">
        <f>VLOOKUP(D2,'Load Temp Adj'!$B:$D,2,FALSE)/1000</f>
        <v>2062414.077</v>
      </c>
      <c r="E5" s="135">
        <f>VLOOKUP(E2,'Load Temp Adj'!$B:$D,2,FALSE)/1000</f>
        <v>1768077.5989999999</v>
      </c>
      <c r="F5" s="135">
        <f>VLOOKUP(F2,'Load Temp Adj'!$B:$D,2,FALSE)/1000</f>
        <v>1593061.4380000001</v>
      </c>
      <c r="G5" s="135">
        <f>VLOOKUP(G2,'Load Temp Adj'!$B:$D,2,FALSE)/1000</f>
        <v>1565951.96</v>
      </c>
      <c r="H5" s="135">
        <f>VLOOKUP(H2,'Load Temp Adj'!$B:$D,2,FALSE)/1000</f>
        <v>1749554.2919999999</v>
      </c>
      <c r="I5" s="135">
        <f>VLOOKUP(I2,'Load Temp Adj'!$B:$D,2,FALSE)/1000</f>
        <v>1709931.727</v>
      </c>
      <c r="J5" s="135">
        <f>VLOOKUP(J2,'Load Temp Adj'!$B:$D,2,FALSE)/1000</f>
        <v>1543735.9129999999</v>
      </c>
      <c r="K5" s="135">
        <f>VLOOKUP(K2,'Load Temp Adj'!$B:$D,2,FALSE)/1000</f>
        <v>1770977.9380000001</v>
      </c>
      <c r="L5" s="135">
        <f>VLOOKUP(L2,'Load Temp Adj'!$B:$D,2,FALSE)/1000</f>
        <v>1944414.706</v>
      </c>
      <c r="M5" s="135">
        <f>VLOOKUP(M2,'Load Temp Adj'!$B:$D,2,FALSE)/1000</f>
        <v>2245387.2749999999</v>
      </c>
      <c r="N5" s="135">
        <f>SUM(B5:M5)</f>
        <v>22233671.791999999</v>
      </c>
    </row>
    <row r="6" spans="1:16">
      <c r="A6" s="575" t="s">
        <v>159</v>
      </c>
      <c r="B6" s="77">
        <f t="shared" ref="B6:N6" si="0">+B4-B5</f>
        <v>90317.898421688471</v>
      </c>
      <c r="C6" s="77">
        <f t="shared" si="0"/>
        <v>-56906.76936979685</v>
      </c>
      <c r="D6" s="77">
        <f t="shared" si="0"/>
        <v>6119.2560722306371</v>
      </c>
      <c r="E6" s="77">
        <f t="shared" si="0"/>
        <v>11326.586600157199</v>
      </c>
      <c r="F6" s="77">
        <f t="shared" si="0"/>
        <v>18458.568801974412</v>
      </c>
      <c r="G6" s="77">
        <f t="shared" si="0"/>
        <v>-5998.6602284156252</v>
      </c>
      <c r="H6" s="77">
        <f t="shared" si="0"/>
        <v>-65266.639569284627</v>
      </c>
      <c r="I6" s="77">
        <f t="shared" si="0"/>
        <v>-34200.454251272371</v>
      </c>
      <c r="J6" s="77">
        <f t="shared" si="0"/>
        <v>2216.4863269168418</v>
      </c>
      <c r="K6" s="77">
        <f t="shared" si="0"/>
        <v>7635.6233702581376</v>
      </c>
      <c r="L6" s="77">
        <f t="shared" si="0"/>
        <v>82891.191000000108</v>
      </c>
      <c r="M6" s="77">
        <f t="shared" si="0"/>
        <v>88991.087000000291</v>
      </c>
      <c r="N6" s="77">
        <f t="shared" si="0"/>
        <v>145584.17417445779</v>
      </c>
    </row>
    <row r="7" spans="1:16">
      <c r="A7" s="575" t="s">
        <v>160</v>
      </c>
      <c r="B7" s="76">
        <f>+Price!B10</f>
        <v>30.499660124999991</v>
      </c>
      <c r="C7" s="76">
        <f>+Price!C10</f>
        <v>31.575878624999994</v>
      </c>
      <c r="D7" s="76">
        <f>+Price!D10</f>
        <v>25.948652150000004</v>
      </c>
      <c r="E7" s="76">
        <f>+Price!E10</f>
        <v>19.258473912499994</v>
      </c>
      <c r="F7" s="76">
        <f>+Price!F10</f>
        <v>13.509346212500001</v>
      </c>
      <c r="G7" s="76">
        <f>+Price!G10</f>
        <v>12.5742879875</v>
      </c>
      <c r="H7" s="76">
        <f>+Price!H10</f>
        <v>21.182343749999998</v>
      </c>
      <c r="I7" s="76">
        <f>+Price!I10</f>
        <v>24.540153</v>
      </c>
      <c r="J7" s="76">
        <f>+Price!J10</f>
        <v>24.166843374999999</v>
      </c>
      <c r="K7" s="76">
        <f>+Price!K10</f>
        <v>24.911633499999994</v>
      </c>
      <c r="L7" s="76">
        <f>+Price!L10</f>
        <v>25.984326500000009</v>
      </c>
      <c r="M7" s="76">
        <f>+Price!M10</f>
        <v>29.111033624999997</v>
      </c>
      <c r="N7" s="76">
        <f>AVERAGE(B7:M7)</f>
        <v>23.605219396875</v>
      </c>
      <c r="O7" s="75">
        <f>AVERAGE(Price!B10:M10)-N7</f>
        <v>0</v>
      </c>
      <c r="P7" s="74" t="s">
        <v>161</v>
      </c>
    </row>
    <row r="8" spans="1:16" ht="15.75" thickBot="1">
      <c r="A8" s="575" t="s">
        <v>131</v>
      </c>
      <c r="B8" s="73">
        <f t="shared" ref="B8:M8" si="1">+B7*B6</f>
        <v>2754665.2050657715</v>
      </c>
      <c r="C8" s="73">
        <f t="shared" si="1"/>
        <v>-1796881.2425615727</v>
      </c>
      <c r="D8" s="73">
        <f t="shared" si="1"/>
        <v>158786.4472350881</v>
      </c>
      <c r="E8" s="73">
        <f t="shared" si="1"/>
        <v>218132.77255679943</v>
      </c>
      <c r="F8" s="73">
        <f t="shared" si="1"/>
        <v>249363.1965331237</v>
      </c>
      <c r="G8" s="73">
        <f t="shared" si="1"/>
        <v>-75428.881251260595</v>
      </c>
      <c r="H8" s="73">
        <f t="shared" si="1"/>
        <v>-1382500.3947639388</v>
      </c>
      <c r="I8" s="73">
        <f t="shared" si="1"/>
        <v>-839284.37999572442</v>
      </c>
      <c r="J8" s="73">
        <f t="shared" si="1"/>
        <v>53565.477905428357</v>
      </c>
      <c r="K8" s="73">
        <f t="shared" si="1"/>
        <v>190215.85094390548</v>
      </c>
      <c r="L8" s="73">
        <f t="shared" si="1"/>
        <v>2153871.770917865</v>
      </c>
      <c r="M8" s="73">
        <f t="shared" si="1"/>
        <v>2590622.5259823087</v>
      </c>
      <c r="N8" s="73">
        <f>SUM(B8:M8)</f>
        <v>4275128.3485677931</v>
      </c>
    </row>
    <row r="9" spans="1:16" ht="15.75" thickTop="1"/>
    <row r="10" spans="1:16">
      <c r="A10" s="250" t="s">
        <v>162</v>
      </c>
    </row>
    <row r="11" spans="1:16">
      <c r="A11" s="575" t="s">
        <v>163</v>
      </c>
      <c r="B11" s="135">
        <f>VLOOKUP(B2,'Load Temp Adj'!$B:$F,5,FALSE)/1000</f>
        <v>83905.327633748675</v>
      </c>
      <c r="C11" s="135">
        <f>VLOOKUP(C2,'Load Temp Adj'!$B:$F,5,FALSE)/1000</f>
        <v>-52866.388744541408</v>
      </c>
      <c r="D11" s="135">
        <f>VLOOKUP(D2,'Load Temp Adj'!$B:$F,5,FALSE)/1000</f>
        <v>5684.7888911022073</v>
      </c>
      <c r="E11" s="135">
        <f>VLOOKUP(E2,'Load Temp Adj'!$B:$F,5,FALSE)/1000</f>
        <v>10522.398951545874</v>
      </c>
      <c r="F11" s="135">
        <f>VLOOKUP(F2,'Load Temp Adj'!$B:$F,5,FALSE)/1000</f>
        <v>17148.010417034344</v>
      </c>
      <c r="G11" s="135">
        <f>VLOOKUP(G2,'Load Temp Adj'!$B:$F,5,FALSE)/1000</f>
        <v>-5572.7553521982118</v>
      </c>
      <c r="H11" s="135">
        <f>VLOOKUP(H2,'Load Temp Adj'!$B:$F,5,FALSE)/1000</f>
        <v>-60632.708159865469</v>
      </c>
      <c r="I11" s="135">
        <f>VLOOKUP(I2,'Load Temp Adj'!$B:$F,5,FALSE)/1000</f>
        <v>-31772.221999432099</v>
      </c>
      <c r="J11" s="135">
        <f>VLOOKUP(J2,'Load Temp Adj'!$B:$F,5,FALSE)/1000</f>
        <v>2059.1157977056096</v>
      </c>
      <c r="K11" s="135">
        <f>VLOOKUP(K2,'Load Temp Adj'!$B:$F,5,FALSE)/1000</f>
        <v>7093.4941109699903</v>
      </c>
      <c r="L11" s="135">
        <f>VLOOKUP(L2,'Load Temp Adj'!$B:$F,5,FALSE)/1000</f>
        <v>77005.916439000008</v>
      </c>
      <c r="M11" s="135">
        <f>VLOOKUP(M2,'Load Temp Adj'!$B:$F,5,FALSE)/1000</f>
        <v>82672.719822999992</v>
      </c>
      <c r="N11" s="135">
        <f>SUM(B11:M11)</f>
        <v>135247.69780806953</v>
      </c>
    </row>
    <row r="12" spans="1:16">
      <c r="A12" s="575" t="s">
        <v>164</v>
      </c>
      <c r="B12" s="72">
        <f>'Sched B 2018'!$C$27*1000</f>
        <v>32.895000000000003</v>
      </c>
      <c r="C12" s="72">
        <f>'Sched B 2018'!$C$27*1000</f>
        <v>32.895000000000003</v>
      </c>
      <c r="D12" s="72">
        <f>'Sched B 2018'!$C$27*1000</f>
        <v>32.895000000000003</v>
      </c>
      <c r="E12" s="72">
        <f>'Sched B 2018'!$C$27*1000</f>
        <v>32.895000000000003</v>
      </c>
      <c r="F12" s="72">
        <f>'Sched B 2018'!$C$27*1000</f>
        <v>32.895000000000003</v>
      </c>
      <c r="G12" s="72">
        <f>'Sched B 2018'!$C$27*1000</f>
        <v>32.895000000000003</v>
      </c>
      <c r="H12" s="72">
        <f>'Sched B 2018'!$C$27*1000</f>
        <v>32.895000000000003</v>
      </c>
      <c r="I12" s="72">
        <f>'Sched B 2018'!$C$27*1000</f>
        <v>32.895000000000003</v>
      </c>
      <c r="J12" s="72">
        <f>'Sched B 2018'!$C$27*1000</f>
        <v>32.895000000000003</v>
      </c>
      <c r="K12" s="72">
        <f>'Sched B 2018'!$C$27*1000</f>
        <v>32.895000000000003</v>
      </c>
      <c r="L12" s="72">
        <f>'Sched B 2018'!$C$27*1000</f>
        <v>32.895000000000003</v>
      </c>
      <c r="M12" s="72">
        <f>'Sched B 2018'!$C$27*1000</f>
        <v>32.895000000000003</v>
      </c>
    </row>
    <row r="13" spans="1:16" ht="15.75" thickBot="1">
      <c r="A13" s="575" t="s">
        <v>165</v>
      </c>
      <c r="B13" s="71">
        <f t="shared" ref="B13:M13" si="2">+B12*B11</f>
        <v>2760065.752512163</v>
      </c>
      <c r="C13" s="71">
        <f t="shared" si="2"/>
        <v>-1739039.8577516899</v>
      </c>
      <c r="D13" s="71">
        <f t="shared" si="2"/>
        <v>187001.13057280713</v>
      </c>
      <c r="E13" s="71">
        <f t="shared" si="2"/>
        <v>346134.31351110159</v>
      </c>
      <c r="F13" s="71">
        <f t="shared" si="2"/>
        <v>564083.80266834481</v>
      </c>
      <c r="G13" s="71">
        <f t="shared" si="2"/>
        <v>-183315.7873105602</v>
      </c>
      <c r="H13" s="71">
        <f t="shared" si="2"/>
        <v>-1994512.9349187748</v>
      </c>
      <c r="I13" s="71">
        <f t="shared" si="2"/>
        <v>-1045147.2426713189</v>
      </c>
      <c r="J13" s="71">
        <f t="shared" si="2"/>
        <v>67734.614165526029</v>
      </c>
      <c r="K13" s="71">
        <f t="shared" si="2"/>
        <v>233340.48878035785</v>
      </c>
      <c r="L13" s="71">
        <f t="shared" si="2"/>
        <v>2533109.6212609056</v>
      </c>
      <c r="M13" s="71">
        <f t="shared" si="2"/>
        <v>2719519.1185775851</v>
      </c>
    </row>
    <row r="14" spans="1:16" ht="15.75" thickTop="1"/>
  </sheetData>
  <pageMargins left="0.7" right="0.7" top="0.75" bottom="0.75" header="0.3" footer="0.3"/>
  <pageSetup scale="68" orientation="landscape"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E26" sqref="E26"/>
    </sheetView>
  </sheetViews>
  <sheetFormatPr defaultRowHeight="12.75"/>
  <cols>
    <col min="1" max="1" width="9.28515625" style="453" bestFit="1" customWidth="1"/>
    <col min="2" max="2" width="40.28515625" style="453" bestFit="1" customWidth="1"/>
    <col min="3" max="4" width="14.42578125" style="453" bestFit="1" customWidth="1"/>
    <col min="5" max="6" width="18.42578125" style="453" customWidth="1"/>
    <col min="7" max="7" width="14.5703125" style="453" bestFit="1" customWidth="1"/>
    <col min="8" max="8" width="5" style="453" bestFit="1" customWidth="1"/>
    <col min="9" max="16384" width="9.140625" style="453"/>
  </cols>
  <sheetData>
    <row r="1" spans="1:7">
      <c r="F1" s="483"/>
    </row>
    <row r="2" spans="1:7">
      <c r="A2" s="102" t="s">
        <v>166</v>
      </c>
      <c r="B2" s="102"/>
      <c r="C2" s="102"/>
      <c r="D2" s="102"/>
      <c r="E2" s="102"/>
      <c r="F2" s="102"/>
    </row>
    <row r="3" spans="1:7">
      <c r="A3" s="102" t="s">
        <v>167</v>
      </c>
      <c r="B3" s="102"/>
      <c r="C3" s="102"/>
      <c r="D3" s="102"/>
      <c r="E3" s="102"/>
      <c r="F3" s="102"/>
    </row>
    <row r="4" spans="1:7">
      <c r="A4" s="101" t="s">
        <v>168</v>
      </c>
      <c r="B4" s="101"/>
      <c r="C4" s="101"/>
      <c r="D4" s="101"/>
      <c r="E4" s="101"/>
      <c r="F4" s="101"/>
    </row>
    <row r="5" spans="1:7" ht="15.75" customHeight="1">
      <c r="A5" s="102"/>
      <c r="B5" s="102"/>
      <c r="C5" s="102"/>
      <c r="D5" s="102"/>
      <c r="E5" s="102"/>
      <c r="F5" s="102"/>
    </row>
    <row r="6" spans="1:7">
      <c r="A6" s="244"/>
    </row>
    <row r="7" spans="1:7">
      <c r="A7" s="100" t="s">
        <v>169</v>
      </c>
      <c r="B7" s="99"/>
      <c r="C7" s="99"/>
      <c r="D7" s="99"/>
    </row>
    <row r="8" spans="1:7">
      <c r="A8" s="98" t="s">
        <v>170</v>
      </c>
      <c r="B8" s="97" t="s">
        <v>0</v>
      </c>
      <c r="C8" s="96"/>
      <c r="D8" s="96"/>
      <c r="E8" s="96"/>
      <c r="F8" s="96"/>
    </row>
    <row r="9" spans="1:7">
      <c r="A9" s="244"/>
      <c r="B9" s="95"/>
      <c r="C9" s="94"/>
      <c r="D9" s="93"/>
      <c r="E9" s="95"/>
      <c r="F9" s="95"/>
    </row>
    <row r="10" spans="1:7">
      <c r="A10" s="92">
        <v>1</v>
      </c>
      <c r="B10" s="91"/>
      <c r="C10" s="90" t="s">
        <v>1</v>
      </c>
      <c r="D10" s="89" t="s">
        <v>171</v>
      </c>
      <c r="E10" s="88" t="s">
        <v>172</v>
      </c>
      <c r="F10" s="87" t="s">
        <v>173</v>
      </c>
    </row>
    <row r="11" spans="1:7">
      <c r="A11" s="92">
        <f t="shared" ref="A11:A24" si="0">A10+1</f>
        <v>2</v>
      </c>
      <c r="B11" s="91"/>
      <c r="C11" s="86" t="s">
        <v>174</v>
      </c>
      <c r="D11" s="484" t="s">
        <v>174</v>
      </c>
      <c r="E11" s="85" t="s">
        <v>175</v>
      </c>
      <c r="F11" s="84">
        <f>0.071</f>
        <v>7.0999999999999994E-2</v>
      </c>
    </row>
    <row r="12" spans="1:7">
      <c r="A12" s="92">
        <f t="shared" si="0"/>
        <v>3</v>
      </c>
      <c r="B12" s="83">
        <v>43101</v>
      </c>
      <c r="C12" s="407">
        <v>2215266167</v>
      </c>
      <c r="D12" s="82">
        <v>2305584065.4216886</v>
      </c>
      <c r="E12" s="81">
        <f t="shared" ref="E12:E23" si="1">+D12-C12</f>
        <v>90317898.421688557</v>
      </c>
      <c r="F12" s="81">
        <f t="shared" ref="F12:F23" si="2">E12*(1-$F$11)</f>
        <v>83905327.63374868</v>
      </c>
      <c r="G12" s="402"/>
    </row>
    <row r="13" spans="1:7">
      <c r="A13" s="92">
        <f t="shared" si="0"/>
        <v>4</v>
      </c>
      <c r="B13" s="83">
        <v>43132</v>
      </c>
      <c r="C13" s="407">
        <v>2064898700</v>
      </c>
      <c r="D13" s="82">
        <v>2007991930.630203</v>
      </c>
      <c r="E13" s="81">
        <f t="shared" si="1"/>
        <v>-56906769.369796991</v>
      </c>
      <c r="F13" s="81">
        <f t="shared" si="2"/>
        <v>-52866388.744541407</v>
      </c>
      <c r="G13" s="402"/>
    </row>
    <row r="14" spans="1:7">
      <c r="A14" s="92">
        <f t="shared" si="0"/>
        <v>5</v>
      </c>
      <c r="B14" s="83">
        <v>43160</v>
      </c>
      <c r="C14" s="407">
        <v>2062414077</v>
      </c>
      <c r="D14" s="82">
        <v>2068533333.0722306</v>
      </c>
      <c r="E14" s="81">
        <f t="shared" si="1"/>
        <v>6119256.0722305775</v>
      </c>
      <c r="F14" s="81">
        <f t="shared" si="2"/>
        <v>5684788.8911022069</v>
      </c>
      <c r="G14" s="402"/>
    </row>
    <row r="15" spans="1:7">
      <c r="A15" s="92">
        <f t="shared" si="0"/>
        <v>6</v>
      </c>
      <c r="B15" s="83">
        <v>43191</v>
      </c>
      <c r="C15" s="407">
        <v>1768077599</v>
      </c>
      <c r="D15" s="82">
        <v>1779404185.600157</v>
      </c>
      <c r="E15" s="81">
        <f t="shared" si="1"/>
        <v>11326586.600157022</v>
      </c>
      <c r="F15" s="81">
        <f t="shared" si="2"/>
        <v>10522398.951545874</v>
      </c>
      <c r="G15" s="402"/>
    </row>
    <row r="16" spans="1:7">
      <c r="A16" s="92">
        <f t="shared" si="0"/>
        <v>7</v>
      </c>
      <c r="B16" s="83">
        <v>43221</v>
      </c>
      <c r="C16" s="407">
        <v>1593061438</v>
      </c>
      <c r="D16" s="82">
        <v>1611520006.8019745</v>
      </c>
      <c r="E16" s="81">
        <f t="shared" si="1"/>
        <v>18458568.801974535</v>
      </c>
      <c r="F16" s="81">
        <f t="shared" si="2"/>
        <v>17148010.417034343</v>
      </c>
      <c r="G16" s="402"/>
    </row>
    <row r="17" spans="1:12">
      <c r="A17" s="92">
        <f t="shared" si="0"/>
        <v>8</v>
      </c>
      <c r="B17" s="83">
        <v>43252</v>
      </c>
      <c r="C17" s="407">
        <v>1565951960</v>
      </c>
      <c r="D17" s="82">
        <v>1559953299.7715843</v>
      </c>
      <c r="E17" s="81">
        <f t="shared" si="1"/>
        <v>-5998660.2284157276</v>
      </c>
      <c r="F17" s="81">
        <f t="shared" si="2"/>
        <v>-5572755.3521982115</v>
      </c>
      <c r="G17" s="402"/>
    </row>
    <row r="18" spans="1:12">
      <c r="A18" s="92">
        <f t="shared" si="0"/>
        <v>9</v>
      </c>
      <c r="B18" s="83">
        <v>43282</v>
      </c>
      <c r="C18" s="407">
        <v>1749554292</v>
      </c>
      <c r="D18" s="82">
        <v>1684287652.4307153</v>
      </c>
      <c r="E18" s="81">
        <f t="shared" si="1"/>
        <v>-65266639.569284678</v>
      </c>
      <c r="F18" s="81">
        <f t="shared" si="2"/>
        <v>-60632708.159865469</v>
      </c>
      <c r="G18" s="402"/>
    </row>
    <row r="19" spans="1:12">
      <c r="A19" s="92">
        <f t="shared" si="0"/>
        <v>10</v>
      </c>
      <c r="B19" s="83">
        <v>43313</v>
      </c>
      <c r="C19" s="407">
        <v>1709931727</v>
      </c>
      <c r="D19" s="82">
        <v>1675731272.7487276</v>
      </c>
      <c r="E19" s="81">
        <f t="shared" si="1"/>
        <v>-34200454.25127244</v>
      </c>
      <c r="F19" s="81">
        <f t="shared" si="2"/>
        <v>-31772221.999432098</v>
      </c>
      <c r="G19" s="402"/>
    </row>
    <row r="20" spans="1:12">
      <c r="A20" s="92">
        <f t="shared" si="0"/>
        <v>11</v>
      </c>
      <c r="B20" s="83">
        <v>43344</v>
      </c>
      <c r="C20" s="407">
        <v>1543735913</v>
      </c>
      <c r="D20" s="82">
        <v>1545952399.3269167</v>
      </c>
      <c r="E20" s="81">
        <f t="shared" si="1"/>
        <v>2216486.3269166946</v>
      </c>
      <c r="F20" s="81">
        <f t="shared" si="2"/>
        <v>2059115.7977056094</v>
      </c>
      <c r="G20" s="402"/>
    </row>
    <row r="21" spans="1:12">
      <c r="A21" s="92">
        <f t="shared" si="0"/>
        <v>12</v>
      </c>
      <c r="B21" s="83">
        <v>43374</v>
      </c>
      <c r="C21" s="407">
        <v>1770977938</v>
      </c>
      <c r="D21" s="82">
        <v>1778613561.3702583</v>
      </c>
      <c r="E21" s="81">
        <f t="shared" si="1"/>
        <v>7635623.3702583313</v>
      </c>
      <c r="F21" s="81">
        <f t="shared" si="2"/>
        <v>7093494.1109699905</v>
      </c>
    </row>
    <row r="22" spans="1:12">
      <c r="A22" s="92">
        <f t="shared" si="0"/>
        <v>13</v>
      </c>
      <c r="B22" s="83">
        <v>43405</v>
      </c>
      <c r="C22" s="407">
        <v>1944414706</v>
      </c>
      <c r="D22" s="82">
        <v>2027305897</v>
      </c>
      <c r="E22" s="81">
        <f t="shared" si="1"/>
        <v>82891191</v>
      </c>
      <c r="F22" s="81">
        <f t="shared" si="2"/>
        <v>77005916.43900001</v>
      </c>
    </row>
    <row r="23" spans="1:12">
      <c r="A23" s="92">
        <f t="shared" si="0"/>
        <v>14</v>
      </c>
      <c r="B23" s="83">
        <v>43435</v>
      </c>
      <c r="C23" s="80">
        <v>2245387275</v>
      </c>
      <c r="D23" s="82">
        <v>2334378362</v>
      </c>
      <c r="E23" s="81">
        <f t="shared" si="1"/>
        <v>88991087</v>
      </c>
      <c r="F23" s="81">
        <f t="shared" si="2"/>
        <v>82672719.822999999</v>
      </c>
    </row>
    <row r="24" spans="1:12">
      <c r="A24" s="92">
        <f t="shared" si="0"/>
        <v>15</v>
      </c>
      <c r="C24" s="485">
        <f>SUM(C12:C23)</f>
        <v>22233671792</v>
      </c>
      <c r="D24" s="486">
        <f>SUM(D12:D23)</f>
        <v>22379255966.174454</v>
      </c>
      <c r="E24" s="486">
        <f>SUM(E12:E23)</f>
        <v>145584174.17445588</v>
      </c>
      <c r="F24" s="486">
        <f>SUM(F12:F23)</f>
        <v>135247697.80806953</v>
      </c>
    </row>
    <row r="25" spans="1:12">
      <c r="A25" s="173"/>
      <c r="B25" s="173"/>
      <c r="C25" s="173"/>
      <c r="D25" s="173"/>
      <c r="E25" s="173"/>
      <c r="F25" s="173"/>
      <c r="G25" s="173"/>
      <c r="H25" s="173"/>
      <c r="I25" s="173"/>
      <c r="J25" s="173"/>
      <c r="K25" s="173"/>
      <c r="L25" s="173"/>
    </row>
    <row r="26" spans="1:12">
      <c r="A26" s="173"/>
      <c r="B26" s="173"/>
      <c r="C26" s="173"/>
      <c r="D26" s="173"/>
      <c r="E26" s="173"/>
      <c r="F26" s="173"/>
      <c r="G26" s="173"/>
      <c r="H26" s="173"/>
      <c r="I26" s="173"/>
      <c r="J26" s="173"/>
      <c r="K26" s="173"/>
      <c r="L26" s="173"/>
    </row>
    <row r="27" spans="1:12">
      <c r="A27" s="173"/>
      <c r="B27" s="173"/>
      <c r="C27" s="173"/>
      <c r="D27" s="173"/>
      <c r="E27" s="173"/>
      <c r="F27" s="173"/>
      <c r="G27" s="173"/>
      <c r="H27" s="173"/>
      <c r="I27" s="173"/>
      <c r="J27" s="173"/>
      <c r="K27" s="173"/>
      <c r="L27" s="173"/>
    </row>
    <row r="28" spans="1:12">
      <c r="A28" s="173"/>
      <c r="B28" s="173"/>
      <c r="C28" s="173"/>
      <c r="D28" s="173"/>
      <c r="E28" s="173"/>
      <c r="F28" s="173"/>
      <c r="G28" s="173"/>
      <c r="H28" s="173"/>
      <c r="I28" s="173"/>
      <c r="J28" s="173"/>
      <c r="K28" s="173"/>
      <c r="L28" s="173"/>
    </row>
    <row r="29" spans="1:12">
      <c r="A29" s="173"/>
      <c r="B29" s="173"/>
      <c r="C29" s="173"/>
      <c r="D29" s="173"/>
      <c r="E29" s="173"/>
      <c r="F29" s="173"/>
      <c r="G29" s="173"/>
      <c r="H29" s="173"/>
      <c r="I29" s="173"/>
      <c r="J29" s="173"/>
      <c r="K29" s="173"/>
      <c r="L29" s="173"/>
    </row>
    <row r="30" spans="1:12">
      <c r="A30" s="173"/>
      <c r="B30" s="173"/>
      <c r="C30" s="173"/>
      <c r="D30" s="173"/>
      <c r="E30" s="173"/>
      <c r="F30" s="173"/>
      <c r="G30" s="173"/>
      <c r="H30" s="173"/>
      <c r="I30" s="173"/>
      <c r="J30" s="173"/>
      <c r="K30" s="173"/>
      <c r="L30" s="173"/>
    </row>
    <row r="31" spans="1:12">
      <c r="A31" s="173"/>
      <c r="B31" s="173"/>
      <c r="C31" s="173"/>
      <c r="D31" s="173"/>
      <c r="E31" s="173"/>
      <c r="F31" s="173"/>
      <c r="G31" s="173"/>
      <c r="H31" s="173"/>
      <c r="I31" s="173"/>
      <c r="J31" s="173"/>
      <c r="K31" s="173"/>
      <c r="L31" s="173"/>
    </row>
    <row r="32" spans="1:12">
      <c r="A32" s="173"/>
      <c r="B32" s="173"/>
      <c r="C32" s="173"/>
      <c r="D32" s="173"/>
      <c r="E32" s="173"/>
      <c r="F32" s="173"/>
      <c r="G32" s="173"/>
      <c r="H32" s="173"/>
      <c r="I32" s="173"/>
      <c r="J32" s="173"/>
      <c r="K32" s="173"/>
      <c r="L32" s="173"/>
    </row>
    <row r="33" spans="1:12">
      <c r="A33" s="173"/>
      <c r="B33" s="173"/>
      <c r="C33" s="173"/>
      <c r="D33" s="173"/>
      <c r="E33" s="173"/>
      <c r="F33" s="173"/>
      <c r="G33" s="173"/>
      <c r="H33" s="173"/>
      <c r="I33" s="173"/>
      <c r="J33" s="173"/>
      <c r="K33" s="173"/>
      <c r="L33" s="173"/>
    </row>
    <row r="34" spans="1:12">
      <c r="A34" s="173"/>
      <c r="B34" s="173"/>
      <c r="C34" s="173"/>
      <c r="D34" s="173"/>
      <c r="E34" s="173"/>
      <c r="F34" s="173"/>
      <c r="G34" s="173"/>
      <c r="H34" s="173"/>
      <c r="I34" s="173"/>
      <c r="J34" s="173"/>
      <c r="K34" s="173"/>
      <c r="L34" s="173"/>
    </row>
    <row r="35" spans="1:12">
      <c r="A35" s="173"/>
      <c r="B35" s="173"/>
      <c r="C35" s="173"/>
      <c r="D35" s="173"/>
      <c r="E35" s="173"/>
      <c r="F35" s="173"/>
      <c r="G35" s="173"/>
      <c r="H35" s="173"/>
      <c r="I35" s="173"/>
      <c r="J35" s="173"/>
      <c r="K35" s="173"/>
      <c r="L35" s="173"/>
    </row>
    <row r="36" spans="1:12">
      <c r="A36" s="173"/>
      <c r="B36" s="173"/>
      <c r="C36" s="173"/>
      <c r="D36" s="173"/>
      <c r="E36" s="173"/>
      <c r="F36" s="173"/>
      <c r="G36" s="173"/>
      <c r="H36" s="173"/>
      <c r="I36" s="173"/>
      <c r="J36" s="173"/>
      <c r="K36" s="173"/>
      <c r="L36" s="173"/>
    </row>
    <row r="37" spans="1:12">
      <c r="A37" s="173"/>
      <c r="B37" s="173"/>
      <c r="C37" s="173"/>
      <c r="D37" s="173"/>
      <c r="E37" s="173"/>
      <c r="F37" s="173"/>
      <c r="G37" s="173"/>
      <c r="H37" s="173"/>
      <c r="I37" s="173"/>
      <c r="J37" s="173"/>
      <c r="K37" s="173"/>
      <c r="L37" s="173"/>
    </row>
    <row r="38" spans="1:12">
      <c r="A38" s="173"/>
      <c r="B38" s="173"/>
      <c r="C38" s="173"/>
      <c r="D38" s="173"/>
      <c r="E38" s="173"/>
      <c r="F38" s="173"/>
      <c r="G38" s="173"/>
      <c r="H38" s="173"/>
      <c r="I38" s="173"/>
      <c r="J38" s="173"/>
      <c r="K38" s="173"/>
      <c r="L38" s="173"/>
    </row>
    <row r="39" spans="1:12">
      <c r="A39" s="173"/>
      <c r="B39" s="173"/>
      <c r="C39" s="173"/>
      <c r="D39" s="173"/>
      <c r="E39" s="173"/>
      <c r="F39" s="173"/>
      <c r="G39" s="173"/>
      <c r="H39" s="173"/>
      <c r="I39" s="173"/>
      <c r="J39" s="173"/>
      <c r="K39" s="173"/>
      <c r="L39" s="173"/>
    </row>
    <row r="40" spans="1:12">
      <c r="A40" s="173"/>
      <c r="B40" s="173"/>
      <c r="C40" s="173"/>
      <c r="D40" s="173"/>
      <c r="E40" s="173"/>
      <c r="F40" s="173"/>
      <c r="G40" s="173"/>
      <c r="H40" s="173"/>
      <c r="I40" s="173"/>
      <c r="J40" s="173"/>
      <c r="K40" s="173"/>
      <c r="L40" s="173"/>
    </row>
    <row r="41" spans="1:12">
      <c r="A41" s="173"/>
      <c r="B41" s="173"/>
      <c r="C41" s="173"/>
      <c r="D41" s="173"/>
      <c r="E41" s="173"/>
      <c r="F41" s="173"/>
      <c r="G41" s="173"/>
      <c r="H41" s="173"/>
      <c r="I41" s="173"/>
      <c r="J41" s="173"/>
      <c r="K41" s="173"/>
      <c r="L41" s="173"/>
    </row>
    <row r="42" spans="1:12">
      <c r="A42" s="173"/>
      <c r="B42" s="173"/>
      <c r="C42" s="173"/>
      <c r="D42" s="173"/>
      <c r="E42" s="173"/>
      <c r="F42" s="173"/>
      <c r="G42" s="173"/>
      <c r="H42" s="173"/>
      <c r="I42" s="173"/>
      <c r="J42" s="173"/>
      <c r="K42" s="173"/>
      <c r="L42" s="173"/>
    </row>
    <row r="43" spans="1:12">
      <c r="A43" s="173"/>
      <c r="B43" s="173"/>
      <c r="C43" s="173"/>
      <c r="D43" s="173"/>
      <c r="E43" s="173"/>
      <c r="F43" s="173"/>
      <c r="G43" s="173"/>
      <c r="H43" s="173"/>
      <c r="I43" s="173"/>
      <c r="J43" s="173"/>
      <c r="K43" s="173"/>
      <c r="L43" s="173"/>
    </row>
    <row r="44" spans="1:12">
      <c r="A44" s="173"/>
      <c r="B44" s="173"/>
      <c r="C44" s="173"/>
      <c r="D44" s="173"/>
      <c r="E44" s="173"/>
      <c r="F44" s="173"/>
      <c r="G44" s="173"/>
      <c r="H44" s="173"/>
      <c r="I44" s="173"/>
      <c r="J44" s="173"/>
      <c r="K44" s="173"/>
      <c r="L44" s="173"/>
    </row>
    <row r="45" spans="1:12">
      <c r="A45" s="173"/>
      <c r="B45" s="173"/>
      <c r="C45" s="173"/>
      <c r="D45" s="173"/>
      <c r="E45" s="173"/>
      <c r="F45" s="173"/>
      <c r="G45" s="173"/>
      <c r="H45" s="173"/>
      <c r="I45" s="173"/>
      <c r="J45" s="173"/>
      <c r="K45" s="173"/>
      <c r="L45" s="173"/>
    </row>
    <row r="46" spans="1:12">
      <c r="A46" s="173"/>
      <c r="B46" s="173"/>
      <c r="C46" s="173"/>
      <c r="D46" s="173"/>
      <c r="E46" s="173"/>
      <c r="F46" s="173"/>
      <c r="G46" s="173"/>
      <c r="H46" s="173"/>
      <c r="I46" s="173"/>
      <c r="J46" s="173"/>
      <c r="K46" s="173"/>
      <c r="L46" s="173"/>
    </row>
    <row r="47" spans="1:12">
      <c r="A47" s="173"/>
      <c r="B47" s="173"/>
      <c r="C47" s="173"/>
      <c r="D47" s="173"/>
      <c r="E47" s="173"/>
      <c r="F47" s="173"/>
      <c r="G47" s="173"/>
      <c r="H47" s="173"/>
      <c r="I47" s="173"/>
      <c r="J47" s="173"/>
      <c r="K47" s="173"/>
      <c r="L47" s="173"/>
    </row>
    <row r="48" spans="1:12">
      <c r="A48" s="173"/>
      <c r="B48" s="173"/>
      <c r="C48" s="173"/>
      <c r="D48" s="173"/>
      <c r="E48" s="173"/>
      <c r="F48" s="173"/>
      <c r="G48" s="173"/>
      <c r="H48" s="173"/>
      <c r="I48" s="173"/>
      <c r="J48" s="173"/>
      <c r="K48" s="173"/>
      <c r="L48" s="173"/>
    </row>
    <row r="49" spans="1:12">
      <c r="A49" s="173"/>
      <c r="B49" s="173"/>
      <c r="C49" s="173"/>
      <c r="D49" s="173"/>
      <c r="E49" s="173"/>
      <c r="F49" s="173"/>
      <c r="G49" s="173"/>
      <c r="H49" s="173"/>
      <c r="I49" s="173"/>
      <c r="J49" s="173"/>
      <c r="K49" s="173"/>
      <c r="L49" s="173"/>
    </row>
    <row r="50" spans="1:12">
      <c r="A50" s="173"/>
      <c r="B50" s="173"/>
      <c r="C50" s="173"/>
      <c r="D50" s="173"/>
      <c r="E50" s="173"/>
      <c r="F50" s="173"/>
      <c r="G50" s="173"/>
      <c r="H50" s="173"/>
      <c r="I50" s="173"/>
      <c r="J50" s="173"/>
      <c r="K50" s="173"/>
      <c r="L50" s="173"/>
    </row>
    <row r="51" spans="1:12">
      <c r="A51" s="79"/>
      <c r="B51" s="95"/>
      <c r="C51" s="95"/>
      <c r="D51" s="95"/>
      <c r="E51" s="95"/>
      <c r="F51" s="95"/>
    </row>
    <row r="52" spans="1:12">
      <c r="A52" s="79"/>
      <c r="B52" s="95"/>
      <c r="C52" s="95"/>
      <c r="D52" s="95"/>
      <c r="E52" s="95"/>
      <c r="F52" s="95"/>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80" zoomScaleNormal="80" workbookViewId="0">
      <pane xSplit="1" ySplit="3" topLeftCell="I4" activePane="bottomRight" state="frozen"/>
      <selection activeCell="H16" sqref="H16"/>
      <selection pane="topRight" activeCell="H16" sqref="H16"/>
      <selection pane="bottomLeft" activeCell="H16" sqref="H16"/>
      <selection pane="bottomRight" activeCell="I24" sqref="I24"/>
    </sheetView>
  </sheetViews>
  <sheetFormatPr defaultColWidth="9.140625" defaultRowHeight="12.75" outlineLevelRow="1"/>
  <cols>
    <col min="1" max="1" width="47.5703125" style="435" customWidth="1"/>
    <col min="2" max="2" width="15.85546875" style="453" bestFit="1" customWidth="1"/>
    <col min="3" max="3" width="13.85546875" style="453" customWidth="1"/>
    <col min="4" max="4" width="15" style="453" customWidth="1"/>
    <col min="5" max="7" width="12.7109375" style="453" customWidth="1"/>
    <col min="8" max="8" width="15.42578125" style="453" customWidth="1"/>
    <col min="9" max="10" width="14" style="453" customWidth="1"/>
    <col min="11" max="11" width="14.140625" style="453" customWidth="1"/>
    <col min="12" max="13" width="13.42578125" style="453" bestFit="1" customWidth="1"/>
    <col min="14" max="14" width="15.28515625" style="453" customWidth="1"/>
    <col min="15" max="15" width="14.7109375" style="435" customWidth="1"/>
    <col min="16" max="16" width="12.140625" style="435" bestFit="1" customWidth="1"/>
    <col min="17" max="17" width="12.28515625" style="435" bestFit="1" customWidth="1"/>
    <col min="18" max="18" width="10.5703125" style="435" bestFit="1" customWidth="1"/>
    <col min="19" max="16384" width="9.140625" style="435"/>
  </cols>
  <sheetData>
    <row r="1" spans="1:19">
      <c r="B1" s="487" t="s">
        <v>154</v>
      </c>
      <c r="C1" s="487"/>
      <c r="D1" s="487"/>
      <c r="E1" s="487"/>
      <c r="F1" s="487"/>
      <c r="G1" s="487"/>
      <c r="H1" s="487"/>
      <c r="I1" s="487"/>
      <c r="J1" s="487"/>
      <c r="K1" s="487"/>
      <c r="L1" s="487"/>
      <c r="M1" s="487"/>
    </row>
    <row r="2" spans="1:19" s="311" customFormat="1" ht="15">
      <c r="B2" s="362">
        <f>'PKW 557'!B2</f>
        <v>43101</v>
      </c>
      <c r="C2" s="362">
        <f>'PKW 557'!C2</f>
        <v>43132</v>
      </c>
      <c r="D2" s="362">
        <f>'PKW 557'!D2</f>
        <v>43160</v>
      </c>
      <c r="E2" s="362">
        <f>'PKW 557'!E2</f>
        <v>43191</v>
      </c>
      <c r="F2" s="362">
        <f>'PKW 557'!F2</f>
        <v>43221</v>
      </c>
      <c r="G2" s="362">
        <f>'PKW 557'!G2</f>
        <v>43252</v>
      </c>
      <c r="H2" s="362">
        <f>'PKW 557'!H2</f>
        <v>43282</v>
      </c>
      <c r="I2" s="362">
        <f>'PKW 557'!I2</f>
        <v>43313</v>
      </c>
      <c r="J2" s="362">
        <f>'PKW 557'!J2</f>
        <v>43344</v>
      </c>
      <c r="K2" s="362">
        <f>'PKW 557'!K2</f>
        <v>43374</v>
      </c>
      <c r="L2" s="362">
        <f>'PKW 557'!L2</f>
        <v>43405</v>
      </c>
      <c r="M2" s="362">
        <f>'PKW 557'!M2</f>
        <v>43435</v>
      </c>
      <c r="N2" s="110" t="s">
        <v>176</v>
      </c>
    </row>
    <row r="3" spans="1:19">
      <c r="A3" s="305" t="s">
        <v>177</v>
      </c>
      <c r="B3" s="488"/>
      <c r="C3" s="488"/>
      <c r="D3" s="488"/>
      <c r="E3" s="488"/>
      <c r="F3" s="488"/>
      <c r="G3" s="488"/>
      <c r="H3" s="488"/>
      <c r="I3" s="488"/>
      <c r="J3" s="488"/>
      <c r="K3" s="488"/>
      <c r="L3" s="488"/>
      <c r="M3" s="488"/>
      <c r="O3" s="489" t="s">
        <v>178</v>
      </c>
    </row>
    <row r="4" spans="1:19">
      <c r="A4" s="435" t="s">
        <v>179</v>
      </c>
      <c r="B4" s="409">
        <f>'EA Database'!C55</f>
        <v>25609</v>
      </c>
      <c r="C4" s="409">
        <f>'EA Database'!D55</f>
        <v>22150</v>
      </c>
      <c r="D4" s="409">
        <f>'EA Database'!E55</f>
        <v>22574</v>
      </c>
      <c r="E4" s="409">
        <f>'EA Database'!F55</f>
        <v>19123</v>
      </c>
      <c r="F4" s="409">
        <f>'EA Database'!G55</f>
        <v>25508</v>
      </c>
      <c r="G4" s="409">
        <f>'EA Database'!H55</f>
        <v>11754</v>
      </c>
      <c r="H4" s="409">
        <f>'EA Database'!I55</f>
        <v>12050</v>
      </c>
      <c r="I4" s="409">
        <f>'EA Database'!J55</f>
        <v>3612</v>
      </c>
      <c r="J4" s="409">
        <f>'EA Database'!K55</f>
        <v>4334</v>
      </c>
      <c r="K4" s="409">
        <f>'EA Database'!L55</f>
        <v>6581</v>
      </c>
      <c r="L4" s="409">
        <f>'EA Database'!M55</f>
        <v>18973</v>
      </c>
      <c r="M4" s="409">
        <f>'EA Database'!N55</f>
        <v>23219</v>
      </c>
      <c r="N4" s="409">
        <f>SUM(B4:M4)</f>
        <v>195487</v>
      </c>
      <c r="O4" s="489">
        <f>'EA Database'!O55-N4</f>
        <v>0</v>
      </c>
    </row>
    <row r="5" spans="1:19">
      <c r="A5" s="435" t="s">
        <v>180</v>
      </c>
      <c r="B5" s="409">
        <f>'EA Database'!C56</f>
        <v>44308.2</v>
      </c>
      <c r="C5" s="409">
        <f>'EA Database'!D56</f>
        <v>35106.1</v>
      </c>
      <c r="D5" s="409">
        <f>'EA Database'!E56</f>
        <v>15214.7</v>
      </c>
      <c r="E5" s="409">
        <f>'EA Database'!F56</f>
        <v>16843.599999999999</v>
      </c>
      <c r="F5" s="409">
        <f>'EA Database'!G56</f>
        <v>38057.300000000003</v>
      </c>
      <c r="G5" s="409">
        <f>'EA Database'!H56</f>
        <v>39639.1</v>
      </c>
      <c r="H5" s="409">
        <f>'EA Database'!I56</f>
        <v>34559.599999999999</v>
      </c>
      <c r="I5" s="409">
        <f>'EA Database'!J56</f>
        <v>17074.7</v>
      </c>
      <c r="J5" s="409">
        <f>'EA Database'!K56</f>
        <v>15092.4</v>
      </c>
      <c r="K5" s="409">
        <f>'EA Database'!L56</f>
        <v>35852.1</v>
      </c>
      <c r="L5" s="409">
        <f>'EA Database'!M56</f>
        <v>47146.9</v>
      </c>
      <c r="M5" s="409">
        <f>'EA Database'!N56</f>
        <v>46367.5</v>
      </c>
      <c r="N5" s="409">
        <f>SUM(B5:M5)</f>
        <v>385262.2</v>
      </c>
      <c r="O5" s="489">
        <f>'EA Database'!O56-N5</f>
        <v>0</v>
      </c>
    </row>
    <row r="6" spans="1:19">
      <c r="A6" s="435" t="s">
        <v>181</v>
      </c>
      <c r="B6" s="409">
        <f>'EA Database'!C57</f>
        <v>36415.699999999997</v>
      </c>
      <c r="C6" s="409">
        <f>'EA Database'!D57</f>
        <v>24866</v>
      </c>
      <c r="D6" s="409">
        <f>'EA Database'!E57</f>
        <v>9478</v>
      </c>
      <c r="E6" s="409">
        <f>'EA Database'!F57</f>
        <v>19530.5</v>
      </c>
      <c r="F6" s="409">
        <f>'EA Database'!G57</f>
        <v>17024.18</v>
      </c>
      <c r="G6" s="409">
        <f>'EA Database'!H57</f>
        <v>37877.5</v>
      </c>
      <c r="H6" s="409">
        <f>'EA Database'!I57</f>
        <v>32300.1</v>
      </c>
      <c r="I6" s="409">
        <f>'EA Database'!J57</f>
        <v>15777.1</v>
      </c>
      <c r="J6" s="409">
        <f>'EA Database'!K57</f>
        <v>23684.7</v>
      </c>
      <c r="K6" s="409">
        <f>'EA Database'!L57</f>
        <v>40018.300000000003</v>
      </c>
      <c r="L6" s="409">
        <f>'EA Database'!M57</f>
        <v>41946.1</v>
      </c>
      <c r="M6" s="409">
        <f>'EA Database'!N57</f>
        <v>34873</v>
      </c>
      <c r="N6" s="409">
        <f>SUM(B6:M6)</f>
        <v>333791.18</v>
      </c>
      <c r="O6" s="489">
        <f>'EA Database'!O57-N6</f>
        <v>0</v>
      </c>
    </row>
    <row r="7" spans="1:19">
      <c r="A7" s="435" t="s">
        <v>182</v>
      </c>
      <c r="B7" s="409">
        <f>'EA Database'!C23</f>
        <v>357393</v>
      </c>
      <c r="C7" s="409">
        <f>'EA Database'!D23</f>
        <v>356886</v>
      </c>
      <c r="D7" s="409">
        <f>'EA Database'!E23</f>
        <v>326583</v>
      </c>
      <c r="E7" s="409">
        <f>'EA Database'!F23</f>
        <v>358764</v>
      </c>
      <c r="F7" s="409">
        <f>'EA Database'!G23</f>
        <v>365481</v>
      </c>
      <c r="G7" s="409">
        <f>'EA Database'!H23</f>
        <v>370563</v>
      </c>
      <c r="H7" s="409">
        <f>'EA Database'!I23</f>
        <v>312534</v>
      </c>
      <c r="I7" s="409">
        <f>'EA Database'!J23</f>
        <v>273792</v>
      </c>
      <c r="J7" s="409">
        <f>'EA Database'!K23</f>
        <v>183363</v>
      </c>
      <c r="K7" s="409">
        <f>'EA Database'!L23</f>
        <v>191526</v>
      </c>
      <c r="L7" s="409">
        <f>'EA Database'!M23</f>
        <v>263017</v>
      </c>
      <c r="M7" s="409">
        <f>'EA Database'!N23</f>
        <v>229219</v>
      </c>
      <c r="N7" s="409">
        <f>SUM(B7:M7)</f>
        <v>3589121</v>
      </c>
      <c r="O7" s="489">
        <f>'EA Database'!O23-N7</f>
        <v>0</v>
      </c>
    </row>
    <row r="8" spans="1:19">
      <c r="A8" s="435" t="s">
        <v>183</v>
      </c>
      <c r="B8" s="409">
        <f>'EA Database'!C24</f>
        <v>-10368</v>
      </c>
      <c r="C8" s="409">
        <f>'EA Database'!D24</f>
        <v>-9216</v>
      </c>
      <c r="D8" s="409">
        <f>'EA Database'!E24</f>
        <v>-10368</v>
      </c>
      <c r="E8" s="409">
        <f>'EA Database'!F24</f>
        <v>-9600</v>
      </c>
      <c r="F8" s="409">
        <f>'EA Database'!G24</f>
        <v>-10368</v>
      </c>
      <c r="G8" s="409">
        <f>'EA Database'!H24</f>
        <v>-9984</v>
      </c>
      <c r="H8" s="409">
        <f>'EA Database'!I24</f>
        <v>-9984</v>
      </c>
      <c r="I8" s="409">
        <f>'EA Database'!J24</f>
        <v>-10368</v>
      </c>
      <c r="J8" s="409">
        <f>'EA Database'!K24</f>
        <v>-9600</v>
      </c>
      <c r="K8" s="409">
        <f>'EA Database'!L24</f>
        <v>-10387</v>
      </c>
      <c r="L8" s="409">
        <f>'EA Database'!M24</f>
        <v>-10088</v>
      </c>
      <c r="M8" s="409">
        <f>'EA Database'!N24</f>
        <v>-10088</v>
      </c>
      <c r="N8" s="409">
        <f>SUM(B8:M8)</f>
        <v>-120419</v>
      </c>
      <c r="O8" s="489">
        <f>'EA Database'!O24-N8</f>
        <v>0</v>
      </c>
    </row>
    <row r="9" spans="1:19" ht="13.5" thickBot="1">
      <c r="A9" s="609" t="s">
        <v>184</v>
      </c>
      <c r="B9" s="490">
        <f t="shared" ref="B9:N9" si="0">SUM(B4:B8)</f>
        <v>453357.9</v>
      </c>
      <c r="C9" s="490">
        <f t="shared" si="0"/>
        <v>429792.1</v>
      </c>
      <c r="D9" s="490">
        <f t="shared" si="0"/>
        <v>363481.7</v>
      </c>
      <c r="E9" s="490">
        <f t="shared" si="0"/>
        <v>404661.1</v>
      </c>
      <c r="F9" s="490">
        <f t="shared" si="0"/>
        <v>435702.48</v>
      </c>
      <c r="G9" s="490">
        <f t="shared" si="0"/>
        <v>449849.59999999998</v>
      </c>
      <c r="H9" s="490">
        <f t="shared" si="0"/>
        <v>381459.7</v>
      </c>
      <c r="I9" s="490">
        <f t="shared" si="0"/>
        <v>299887.8</v>
      </c>
      <c r="J9" s="490">
        <f t="shared" si="0"/>
        <v>216874.1</v>
      </c>
      <c r="K9" s="490">
        <f t="shared" si="0"/>
        <v>263590.40000000002</v>
      </c>
      <c r="L9" s="490">
        <f t="shared" si="0"/>
        <v>360995</v>
      </c>
      <c r="M9" s="490">
        <f t="shared" si="0"/>
        <v>323590.5</v>
      </c>
      <c r="N9" s="490">
        <f t="shared" si="0"/>
        <v>4383242.38</v>
      </c>
      <c r="O9" s="491">
        <v>0</v>
      </c>
    </row>
    <row r="11" spans="1:19">
      <c r="A11" s="305" t="s">
        <v>185</v>
      </c>
    </row>
    <row r="12" spans="1:19" outlineLevel="1">
      <c r="A12" s="109" t="s">
        <v>186</v>
      </c>
      <c r="B12" s="409"/>
      <c r="C12" s="409"/>
      <c r="D12" s="409"/>
      <c r="E12" s="409"/>
      <c r="F12" s="409"/>
      <c r="G12" s="409"/>
      <c r="H12" s="409"/>
      <c r="I12" s="409"/>
      <c r="J12" s="409"/>
      <c r="K12" s="409"/>
      <c r="L12" s="409"/>
      <c r="M12" s="409"/>
      <c r="O12" s="492" t="s">
        <v>178</v>
      </c>
    </row>
    <row r="13" spans="1:19" outlineLevel="1">
      <c r="A13" s="435" t="s">
        <v>187</v>
      </c>
      <c r="B13" s="103">
        <f t="array" ref="B13:M13">TRANSPOSE('PKW-WP ENERG'!L9:L20)</f>
        <v>61138.2</v>
      </c>
      <c r="C13" s="103">
        <v>50843.1</v>
      </c>
      <c r="D13" s="103">
        <v>54116.7</v>
      </c>
      <c r="E13" s="103">
        <v>59207.625</v>
      </c>
      <c r="F13" s="103">
        <v>73842</v>
      </c>
      <c r="G13" s="103">
        <v>65630.25</v>
      </c>
      <c r="H13" s="103">
        <v>58875.974999999999</v>
      </c>
      <c r="I13" s="103">
        <v>53935.275000000001</v>
      </c>
      <c r="J13" s="103">
        <v>35856</v>
      </c>
      <c r="K13" s="103">
        <v>39829.574999999997</v>
      </c>
      <c r="L13" s="103">
        <v>49434.75</v>
      </c>
      <c r="M13" s="103">
        <v>57929.7</v>
      </c>
      <c r="N13" s="409">
        <f>SUM(B13:M13)</f>
        <v>660639.14999999991</v>
      </c>
      <c r="O13" s="491">
        <f>SUM('PKW-WP ENERG'!L9:L20)-N13</f>
        <v>0</v>
      </c>
      <c r="P13" s="491"/>
      <c r="Q13" s="491"/>
    </row>
    <row r="14" spans="1:19" outlineLevel="1">
      <c r="A14" s="435" t="s">
        <v>188</v>
      </c>
      <c r="B14" s="103">
        <f t="array" ref="B14:M14">TRANSPOSE('PKW-WP ENERG'!K9:K20)</f>
        <v>136249.65</v>
      </c>
      <c r="C14" s="103">
        <v>112478.1</v>
      </c>
      <c r="D14" s="103">
        <v>119086.5</v>
      </c>
      <c r="E14" s="103">
        <v>137418.75</v>
      </c>
      <c r="F14" s="103">
        <v>182277.67499999999</v>
      </c>
      <c r="G14" s="103">
        <v>167031.00000000003</v>
      </c>
      <c r="H14" s="103">
        <v>150136.875</v>
      </c>
      <c r="I14" s="103">
        <v>130571.625</v>
      </c>
      <c r="J14" s="103">
        <v>76871.25</v>
      </c>
      <c r="K14" s="103">
        <v>85936.65</v>
      </c>
      <c r="L14" s="103">
        <v>108123.75</v>
      </c>
      <c r="M14" s="103">
        <v>128216.77499999999</v>
      </c>
      <c r="N14" s="409">
        <f>SUM(B14:M14)</f>
        <v>1534398.5999999999</v>
      </c>
      <c r="O14" s="491">
        <f>SUM('PKW-WP ENERG'!K9:K20)-N14</f>
        <v>0</v>
      </c>
      <c r="P14" s="491"/>
      <c r="Q14" s="491"/>
    </row>
    <row r="15" spans="1:19" outlineLevel="1">
      <c r="A15" s="435" t="s">
        <v>189</v>
      </c>
      <c r="B15" s="103">
        <f t="array" ref="B15:M15">TRANSPOSE('PKW-WP ENERG'!J9:J20)</f>
        <v>116097.09405</v>
      </c>
      <c r="C15" s="103">
        <v>96538.721999999994</v>
      </c>
      <c r="D15" s="103">
        <v>102239.9406</v>
      </c>
      <c r="E15" s="103">
        <v>110965.27995</v>
      </c>
      <c r="F15" s="103">
        <v>138129.55106999999</v>
      </c>
      <c r="G15" s="103">
        <v>130477.9203</v>
      </c>
      <c r="H15" s="103">
        <v>125567.77043999999</v>
      </c>
      <c r="I15" s="103">
        <v>112324.13913</v>
      </c>
      <c r="J15" s="103">
        <v>68939.1927</v>
      </c>
      <c r="K15" s="103">
        <v>75748.732499999998</v>
      </c>
      <c r="L15" s="103">
        <v>94984.740900000004</v>
      </c>
      <c r="M15" s="103">
        <v>111610.54527</v>
      </c>
      <c r="N15" s="409">
        <f>SUM(B15:M15)</f>
        <v>1283623.62891</v>
      </c>
      <c r="O15" s="491">
        <f>SUM('PKW-WP ENERG'!J9:J20)-N15</f>
        <v>0</v>
      </c>
      <c r="P15" s="491"/>
      <c r="Q15" s="491"/>
      <c r="R15" s="370"/>
      <c r="S15" s="370"/>
    </row>
    <row r="16" spans="1:19" outlineLevel="1">
      <c r="A16" s="435" t="s">
        <v>190</v>
      </c>
      <c r="B16" s="103">
        <f t="array" ref="B16:M16">TRANSPOSE('PKW-WP ENERG'!N9:N20)</f>
        <v>2835.4732800000002</v>
      </c>
      <c r="C16" s="103">
        <v>2372.3212800000001</v>
      </c>
      <c r="D16" s="103">
        <v>2502.8755200000001</v>
      </c>
      <c r="E16" s="103">
        <v>2514.5856000000003</v>
      </c>
      <c r="F16" s="103">
        <v>3000.5222399999998</v>
      </c>
      <c r="G16" s="103">
        <v>2812.4928</v>
      </c>
      <c r="H16" s="103">
        <v>2698.2796800000001</v>
      </c>
      <c r="I16" s="103">
        <v>2281.6320000000001</v>
      </c>
      <c r="J16" s="103">
        <v>1664.4672</v>
      </c>
      <c r="K16" s="103">
        <v>1859.2857600000002</v>
      </c>
      <c r="L16" s="103">
        <v>2348.1792</v>
      </c>
      <c r="M16" s="103">
        <v>2771.7868800000001</v>
      </c>
      <c r="N16" s="409">
        <f>SUM(B16:M16)</f>
        <v>29661.901439999998</v>
      </c>
      <c r="O16" s="491">
        <f>SUM('PKW-WP ENERG'!N9:N20)-N16</f>
        <v>0</v>
      </c>
      <c r="P16" s="491"/>
      <c r="Q16" s="491"/>
      <c r="R16" s="370"/>
      <c r="S16" s="370"/>
    </row>
    <row r="17" spans="1:19" outlineLevel="1">
      <c r="A17" s="435" t="s">
        <v>191</v>
      </c>
      <c r="B17" s="103">
        <f t="array" ref="B17:M17">TRANSPOSE('PKW-WP ENERG'!M9:M20)</f>
        <v>2969.0361600000001</v>
      </c>
      <c r="C17" s="103">
        <v>2470.5408000000002</v>
      </c>
      <c r="D17" s="103">
        <v>2633.2838400000001</v>
      </c>
      <c r="E17" s="103">
        <v>2777.2128000000002</v>
      </c>
      <c r="F17" s="103">
        <v>3316.1568000000002</v>
      </c>
      <c r="G17" s="103">
        <v>3138.7392</v>
      </c>
      <c r="H17" s="103">
        <v>3017.7830399999998</v>
      </c>
      <c r="I17" s="103">
        <v>2697.8361600000003</v>
      </c>
      <c r="J17" s="103">
        <v>1638.8352</v>
      </c>
      <c r="K17" s="103">
        <v>1839.9417600000002</v>
      </c>
      <c r="L17" s="103">
        <v>2403.4176000000002</v>
      </c>
      <c r="M17" s="415">
        <v>2875.53024</v>
      </c>
      <c r="N17" s="415">
        <f>SUM(B17:M17)</f>
        <v>31778.313600000001</v>
      </c>
      <c r="O17" s="491">
        <f>SUM('PKW-WP ENERG'!M9:M20)-N17</f>
        <v>0</v>
      </c>
      <c r="R17" s="370"/>
      <c r="S17" s="370"/>
    </row>
    <row r="18" spans="1:19" outlineLevel="1">
      <c r="A18" s="609" t="s">
        <v>192</v>
      </c>
      <c r="B18" s="493">
        <f t="shared" ref="B18:N18" si="1">SUM(B13:B17)</f>
        <v>319289.45348999999</v>
      </c>
      <c r="C18" s="493">
        <f t="shared" si="1"/>
        <v>264702.78408000001</v>
      </c>
      <c r="D18" s="493">
        <f t="shared" si="1"/>
        <v>280579.29996000003</v>
      </c>
      <c r="E18" s="493">
        <f t="shared" si="1"/>
        <v>312883.45334999997</v>
      </c>
      <c r="F18" s="493">
        <f t="shared" si="1"/>
        <v>400565.90510999999</v>
      </c>
      <c r="G18" s="493">
        <f t="shared" si="1"/>
        <v>369090.40230000002</v>
      </c>
      <c r="H18" s="493">
        <f t="shared" si="1"/>
        <v>340296.68315999996</v>
      </c>
      <c r="I18" s="493">
        <f t="shared" si="1"/>
        <v>301810.50728999998</v>
      </c>
      <c r="J18" s="493">
        <f t="shared" si="1"/>
        <v>184969.74510000003</v>
      </c>
      <c r="K18" s="493">
        <f t="shared" si="1"/>
        <v>205214.18501999998</v>
      </c>
      <c r="L18" s="493">
        <f t="shared" si="1"/>
        <v>257294.8377</v>
      </c>
      <c r="M18" s="493">
        <f t="shared" si="1"/>
        <v>303404.33739</v>
      </c>
      <c r="N18" s="493">
        <f t="shared" si="1"/>
        <v>3540101.5939500001</v>
      </c>
      <c r="O18" s="491"/>
      <c r="P18" s="491"/>
      <c r="R18" s="370"/>
      <c r="S18" s="370"/>
    </row>
    <row r="19" spans="1:19" outlineLevel="1">
      <c r="B19" s="409"/>
      <c r="O19" s="491"/>
      <c r="P19" s="491"/>
      <c r="R19" s="370"/>
      <c r="S19" s="370"/>
    </row>
    <row r="20" spans="1:19" outlineLevel="1">
      <c r="A20" s="435" t="s">
        <v>193</v>
      </c>
      <c r="B20" s="409">
        <v>-14236.716841406998</v>
      </c>
      <c r="C20" s="409">
        <v>-12858.970050303096</v>
      </c>
      <c r="D20" s="409">
        <v>-14236.716841406998</v>
      </c>
      <c r="E20" s="409">
        <v>-13485.886312610282</v>
      </c>
      <c r="F20" s="409">
        <v>-13935.415856363958</v>
      </c>
      <c r="G20" s="409">
        <v>-13485.886312610282</v>
      </c>
      <c r="H20" s="409">
        <v>-13935.415856363958</v>
      </c>
      <c r="I20" s="409">
        <v>-13935.415856363958</v>
      </c>
      <c r="J20" s="409">
        <v>-13338.053988291031</v>
      </c>
      <c r="K20" s="409">
        <v>-13782.655787900732</v>
      </c>
      <c r="L20" s="409">
        <v>-13338.053988291031</v>
      </c>
      <c r="M20" s="409">
        <v>-12270.678113662238</v>
      </c>
      <c r="N20" s="409">
        <f>SUM(B20:M20)</f>
        <v>-162839.86580557455</v>
      </c>
      <c r="O20" s="491"/>
      <c r="P20" s="491"/>
      <c r="R20" s="370"/>
      <c r="S20" s="370"/>
    </row>
    <row r="21" spans="1:19" outlineLevel="1">
      <c r="B21" s="409"/>
      <c r="C21" s="409"/>
      <c r="D21" s="409"/>
      <c r="E21" s="409"/>
      <c r="F21" s="409"/>
      <c r="G21" s="409"/>
      <c r="H21" s="409"/>
      <c r="I21" s="409"/>
      <c r="J21" s="409"/>
      <c r="K21" s="409"/>
      <c r="L21" s="409"/>
      <c r="M21" s="409"/>
      <c r="R21" s="370"/>
      <c r="S21" s="370"/>
    </row>
    <row r="22" spans="1:19" outlineLevel="1">
      <c r="A22" s="109" t="s">
        <v>194</v>
      </c>
      <c r="O22" s="492" t="s">
        <v>178</v>
      </c>
      <c r="R22" s="370"/>
      <c r="S22" s="370"/>
    </row>
    <row r="23" spans="1:19" outlineLevel="1">
      <c r="A23" s="435" t="s">
        <v>179</v>
      </c>
      <c r="B23" s="137">
        <v>20552.77601479541</v>
      </c>
      <c r="C23" s="137">
        <v>18146.792452809481</v>
      </c>
      <c r="D23" s="137">
        <v>21589.586264827849</v>
      </c>
      <c r="E23" s="137">
        <v>17921.071183548069</v>
      </c>
      <c r="F23" s="137">
        <v>21741.320401255573</v>
      </c>
      <c r="G23" s="137">
        <v>18308.814648694017</v>
      </c>
      <c r="H23" s="137">
        <v>15487.493709576296</v>
      </c>
      <c r="I23" s="137">
        <v>6785</v>
      </c>
      <c r="J23" s="137">
        <v>6361</v>
      </c>
      <c r="K23" s="137">
        <v>13667</v>
      </c>
      <c r="L23" s="137">
        <v>16830</v>
      </c>
      <c r="M23" s="137">
        <v>21240</v>
      </c>
      <c r="N23" s="409">
        <f>SUM(B23:M23)</f>
        <v>198630.85467550668</v>
      </c>
      <c r="O23" s="489">
        <f>SUM('BAGE &amp; SAGE'!E26:E37)-N23</f>
        <v>0</v>
      </c>
      <c r="P23" s="491"/>
      <c r="R23" s="370"/>
      <c r="S23" s="370"/>
    </row>
    <row r="24" spans="1:19" outlineLevel="1">
      <c r="A24" s="435" t="s">
        <v>195</v>
      </c>
      <c r="B24" s="137">
        <v>27019.32408307444</v>
      </c>
      <c r="C24" s="137">
        <v>20221.492652177927</v>
      </c>
      <c r="D24" s="137">
        <v>19379.902194388786</v>
      </c>
      <c r="E24" s="137">
        <v>19357.725334996179</v>
      </c>
      <c r="F24" s="137">
        <v>24898.267837938609</v>
      </c>
      <c r="G24" s="137">
        <v>47038.394443493926</v>
      </c>
      <c r="H24" s="137">
        <v>45476.104621754726</v>
      </c>
      <c r="I24" s="137">
        <v>31133</v>
      </c>
      <c r="J24" s="137">
        <v>22344</v>
      </c>
      <c r="K24" s="137">
        <v>31944</v>
      </c>
      <c r="L24" s="137">
        <v>39422</v>
      </c>
      <c r="M24" s="137">
        <v>31855</v>
      </c>
      <c r="N24" s="409">
        <f>SUM(B24:M24)</f>
        <v>360089.21116782457</v>
      </c>
      <c r="O24" s="489">
        <f>SUM('BAGE &amp; SAGE'!D7:D18)-N24</f>
        <v>0</v>
      </c>
      <c r="P24" s="491"/>
      <c r="R24" s="370"/>
      <c r="S24" s="370"/>
    </row>
    <row r="25" spans="1:19" outlineLevel="1">
      <c r="A25" s="435" t="s">
        <v>181</v>
      </c>
      <c r="B25" s="137">
        <v>23231.789077668414</v>
      </c>
      <c r="C25" s="137">
        <v>18520.712250070246</v>
      </c>
      <c r="D25" s="137">
        <v>19534.248654684787</v>
      </c>
      <c r="E25" s="137">
        <v>14811.731501498811</v>
      </c>
      <c r="F25" s="137">
        <v>10580.26096656025</v>
      </c>
      <c r="G25" s="137">
        <v>38339.255370402105</v>
      </c>
      <c r="H25" s="137">
        <v>41739.790243416326</v>
      </c>
      <c r="I25" s="137">
        <v>23051</v>
      </c>
      <c r="J25" s="137">
        <v>21975</v>
      </c>
      <c r="K25" s="137">
        <v>34306</v>
      </c>
      <c r="L25" s="137">
        <v>38819</v>
      </c>
      <c r="M25" s="137">
        <v>27187</v>
      </c>
      <c r="N25" s="494">
        <f>SUM(B25:M25)</f>
        <v>312095.7880643009</v>
      </c>
      <c r="O25" s="489">
        <f>SUM('BAGE &amp; SAGE'!C7:C18)-N25</f>
        <v>0</v>
      </c>
      <c r="P25" s="491"/>
      <c r="R25" s="370"/>
      <c r="S25" s="370"/>
    </row>
    <row r="26" spans="1:19" outlineLevel="1">
      <c r="A26" s="609" t="s">
        <v>196</v>
      </c>
      <c r="B26" s="493">
        <f t="shared" ref="B26:N26" si="2">SUM(B23:B25)</f>
        <v>70803.889175538265</v>
      </c>
      <c r="C26" s="493">
        <f t="shared" si="2"/>
        <v>56888.997355057654</v>
      </c>
      <c r="D26" s="493">
        <f t="shared" si="2"/>
        <v>60503.737113901421</v>
      </c>
      <c r="E26" s="493">
        <f t="shared" si="2"/>
        <v>52090.528020043057</v>
      </c>
      <c r="F26" s="493">
        <f t="shared" si="2"/>
        <v>57219.849205754435</v>
      </c>
      <c r="G26" s="493">
        <f t="shared" si="2"/>
        <v>103686.46446259005</v>
      </c>
      <c r="H26" s="493">
        <f t="shared" si="2"/>
        <v>102703.38857474734</v>
      </c>
      <c r="I26" s="493">
        <f t="shared" si="2"/>
        <v>60969</v>
      </c>
      <c r="J26" s="493">
        <f t="shared" si="2"/>
        <v>50680</v>
      </c>
      <c r="K26" s="493">
        <f t="shared" si="2"/>
        <v>79917</v>
      </c>
      <c r="L26" s="493">
        <f t="shared" si="2"/>
        <v>95071</v>
      </c>
      <c r="M26" s="493">
        <f t="shared" si="2"/>
        <v>80282</v>
      </c>
      <c r="N26" s="409">
        <f t="shared" si="2"/>
        <v>870815.85390763218</v>
      </c>
      <c r="O26" s="489"/>
      <c r="P26" s="491"/>
      <c r="R26" s="370"/>
      <c r="S26" s="370"/>
    </row>
    <row r="27" spans="1:19" outlineLevel="1">
      <c r="S27" s="491"/>
    </row>
    <row r="28" spans="1:19" ht="13.5" thickBot="1">
      <c r="A28" s="609" t="s">
        <v>197</v>
      </c>
      <c r="B28" s="490">
        <f t="shared" ref="B28:N28" si="3">B18+B20+B26</f>
        <v>375856.62582413125</v>
      </c>
      <c r="C28" s="490">
        <f t="shared" si="3"/>
        <v>308732.8113847546</v>
      </c>
      <c r="D28" s="490">
        <f t="shared" si="3"/>
        <v>326846.32023249444</v>
      </c>
      <c r="E28" s="490">
        <f t="shared" si="3"/>
        <v>351488.09505743271</v>
      </c>
      <c r="F28" s="490">
        <f t="shared" si="3"/>
        <v>443850.33845939045</v>
      </c>
      <c r="G28" s="490">
        <f t="shared" si="3"/>
        <v>459290.98044997978</v>
      </c>
      <c r="H28" s="490">
        <f t="shared" si="3"/>
        <v>429064.65587838332</v>
      </c>
      <c r="I28" s="490">
        <f t="shared" si="3"/>
        <v>348844.09143363603</v>
      </c>
      <c r="J28" s="490">
        <f t="shared" si="3"/>
        <v>222311.69111170899</v>
      </c>
      <c r="K28" s="490">
        <f t="shared" si="3"/>
        <v>271348.52923209924</v>
      </c>
      <c r="L28" s="490">
        <f t="shared" si="3"/>
        <v>339027.78371170897</v>
      </c>
      <c r="M28" s="490">
        <f t="shared" si="3"/>
        <v>371415.65927633777</v>
      </c>
      <c r="N28" s="490">
        <f t="shared" si="3"/>
        <v>4248077.5820520576</v>
      </c>
    </row>
    <row r="31" spans="1:19">
      <c r="A31" s="435" t="s">
        <v>198</v>
      </c>
      <c r="B31" s="415">
        <f t="shared" ref="B31:M31" si="4">B28-B9</f>
        <v>-77501.274175868777</v>
      </c>
      <c r="C31" s="415">
        <f t="shared" si="4"/>
        <v>-121059.28861524537</v>
      </c>
      <c r="D31" s="415">
        <f t="shared" si="4"/>
        <v>-36635.379767505568</v>
      </c>
      <c r="E31" s="415">
        <f t="shared" si="4"/>
        <v>-53173.004942567262</v>
      </c>
      <c r="F31" s="415">
        <f t="shared" si="4"/>
        <v>8147.858459390467</v>
      </c>
      <c r="G31" s="415">
        <f t="shared" si="4"/>
        <v>9441.3804499797989</v>
      </c>
      <c r="H31" s="415">
        <f t="shared" si="4"/>
        <v>47604.955878383305</v>
      </c>
      <c r="I31" s="415">
        <f t="shared" si="4"/>
        <v>48956.291433636041</v>
      </c>
      <c r="J31" s="415">
        <f t="shared" si="4"/>
        <v>5437.5911117089854</v>
      </c>
      <c r="K31" s="415">
        <f t="shared" si="4"/>
        <v>7758.1292320992216</v>
      </c>
      <c r="L31" s="415">
        <f t="shared" si="4"/>
        <v>-21967.216288291034</v>
      </c>
      <c r="M31" s="415">
        <f t="shared" si="4"/>
        <v>47825.15927633777</v>
      </c>
      <c r="N31" s="415">
        <f>SUM(B31:M31)</f>
        <v>-135164.79794794242</v>
      </c>
    </row>
    <row r="32" spans="1:19">
      <c r="A32" s="108" t="s">
        <v>199</v>
      </c>
      <c r="B32" s="409">
        <f>B9-B28</f>
        <v>77501.274175868777</v>
      </c>
      <c r="C32" s="409">
        <f t="shared" ref="C32:N32" si="5">-C31</f>
        <v>121059.28861524537</v>
      </c>
      <c r="D32" s="409">
        <f t="shared" si="5"/>
        <v>36635.379767505568</v>
      </c>
      <c r="E32" s="409">
        <f t="shared" si="5"/>
        <v>53173.004942567262</v>
      </c>
      <c r="F32" s="409">
        <f t="shared" si="5"/>
        <v>-8147.858459390467</v>
      </c>
      <c r="G32" s="409">
        <f t="shared" si="5"/>
        <v>-9441.3804499797989</v>
      </c>
      <c r="H32" s="409">
        <f t="shared" si="5"/>
        <v>-47604.955878383305</v>
      </c>
      <c r="I32" s="409">
        <f t="shared" si="5"/>
        <v>-48956.291433636041</v>
      </c>
      <c r="J32" s="409">
        <f t="shared" si="5"/>
        <v>-5437.5911117089854</v>
      </c>
      <c r="K32" s="409">
        <f t="shared" si="5"/>
        <v>-7758.1292320992216</v>
      </c>
      <c r="L32" s="409">
        <f t="shared" si="5"/>
        <v>21967.216288291034</v>
      </c>
      <c r="M32" s="409">
        <f t="shared" si="5"/>
        <v>-47825.15927633777</v>
      </c>
      <c r="N32" s="409">
        <f t="shared" si="5"/>
        <v>135164.79794794242</v>
      </c>
    </row>
    <row r="33" spans="1:18">
      <c r="A33" s="435" t="s">
        <v>200</v>
      </c>
      <c r="B33" s="107">
        <f>+'Load Impact to Cost &amp; Rev'!B7</f>
        <v>30.499660124999991</v>
      </c>
      <c r="C33" s="107">
        <f>+'Load Impact to Cost &amp; Rev'!C7</f>
        <v>31.575878624999994</v>
      </c>
      <c r="D33" s="107">
        <f>+'Load Impact to Cost &amp; Rev'!D7</f>
        <v>25.948652150000004</v>
      </c>
      <c r="E33" s="107">
        <f>+'Load Impact to Cost &amp; Rev'!E7</f>
        <v>19.258473912499994</v>
      </c>
      <c r="F33" s="107">
        <f>+'Load Impact to Cost &amp; Rev'!F7</f>
        <v>13.509346212500001</v>
      </c>
      <c r="G33" s="107">
        <f>+'Load Impact to Cost &amp; Rev'!G7</f>
        <v>12.5742879875</v>
      </c>
      <c r="H33" s="107">
        <f>+'Load Impact to Cost &amp; Rev'!H7</f>
        <v>21.182343749999998</v>
      </c>
      <c r="I33" s="107">
        <f>+'Load Impact to Cost &amp; Rev'!I7</f>
        <v>24.540153</v>
      </c>
      <c r="J33" s="107">
        <f>+'Load Impact to Cost &amp; Rev'!J7</f>
        <v>24.166843374999999</v>
      </c>
      <c r="K33" s="107">
        <f>+'Load Impact to Cost &amp; Rev'!K7</f>
        <v>24.911633499999994</v>
      </c>
      <c r="L33" s="107">
        <f>+'Load Impact to Cost &amp; Rev'!L7</f>
        <v>25.984326500000009</v>
      </c>
      <c r="M33" s="107">
        <f>+'Load Impact to Cost &amp; Rev'!M7</f>
        <v>29.111033624999997</v>
      </c>
      <c r="N33" s="121">
        <f>AVERAGE(B33:M33)</f>
        <v>23.605219396875</v>
      </c>
      <c r="O33" s="106">
        <f>AVERAGE(Price!B10:M10)-N33</f>
        <v>0</v>
      </c>
      <c r="P33" s="306" t="s">
        <v>161</v>
      </c>
    </row>
    <row r="34" spans="1:18" ht="13.5" thickBot="1">
      <c r="A34" s="609" t="s">
        <v>201</v>
      </c>
      <c r="B34" s="330">
        <f t="shared" ref="B34:M34" si="6">B32*B33</f>
        <v>2363762.5216184366</v>
      </c>
      <c r="C34" s="330">
        <f t="shared" si="6"/>
        <v>3822553.4037438314</v>
      </c>
      <c r="D34" s="330">
        <f t="shared" si="6"/>
        <v>950638.72597015009</v>
      </c>
      <c r="E34" s="330">
        <f t="shared" si="6"/>
        <v>1024030.9285356649</v>
      </c>
      <c r="F34" s="330">
        <f t="shared" si="6"/>
        <v>-110072.2408183527</v>
      </c>
      <c r="G34" s="330">
        <f t="shared" si="6"/>
        <v>-118718.63677759832</v>
      </c>
      <c r="H34" s="330">
        <f t="shared" si="6"/>
        <v>-1008384.5396194983</v>
      </c>
      <c r="I34" s="330">
        <f t="shared" si="6"/>
        <v>-1201394.8820940177</v>
      </c>
      <c r="J34" s="330">
        <f t="shared" si="6"/>
        <v>-131409.41273396317</v>
      </c>
      <c r="K34" s="330">
        <f t="shared" si="6"/>
        <v>-193267.67207569219</v>
      </c>
      <c r="L34" s="330">
        <f t="shared" si="6"/>
        <v>570803.32033107255</v>
      </c>
      <c r="M34" s="330">
        <f t="shared" si="6"/>
        <v>-1392239.8198144494</v>
      </c>
      <c r="N34" s="330">
        <f>SUM(B34:M34)</f>
        <v>4576301.6962655857</v>
      </c>
      <c r="P34" s="491"/>
      <c r="Q34" s="491"/>
      <c r="R34" s="491"/>
    </row>
    <row r="35" spans="1:18" ht="13.5" thickTop="1">
      <c r="B35" s="369">
        <f t="shared" ref="B35:N35" si="7">B60-B34</f>
        <v>0</v>
      </c>
      <c r="C35" s="369">
        <f t="shared" si="7"/>
        <v>0</v>
      </c>
      <c r="D35" s="369">
        <f t="shared" si="7"/>
        <v>0</v>
      </c>
      <c r="E35" s="369">
        <f t="shared" si="7"/>
        <v>0</v>
      </c>
      <c r="F35" s="369">
        <f t="shared" si="7"/>
        <v>0</v>
      </c>
      <c r="G35" s="369">
        <f t="shared" si="7"/>
        <v>3.4924596548080444E-10</v>
      </c>
      <c r="H35" s="369">
        <f t="shared" si="7"/>
        <v>0</v>
      </c>
      <c r="I35" s="369">
        <f t="shared" si="7"/>
        <v>0</v>
      </c>
      <c r="J35" s="369">
        <f t="shared" si="7"/>
        <v>0</v>
      </c>
      <c r="K35" s="369">
        <f t="shared" si="7"/>
        <v>-7.2759576141834259E-10</v>
      </c>
      <c r="L35" s="369">
        <f t="shared" si="7"/>
        <v>0</v>
      </c>
      <c r="M35" s="369">
        <f t="shared" si="7"/>
        <v>0</v>
      </c>
      <c r="N35" s="369">
        <f t="shared" si="7"/>
        <v>0</v>
      </c>
    </row>
    <row r="38" spans="1:18" ht="15">
      <c r="A38" s="303" t="s">
        <v>202</v>
      </c>
    </row>
    <row r="39" spans="1:18" ht="13.5" thickBot="1"/>
    <row r="40" spans="1:18" ht="13.5" thickBot="1">
      <c r="B40" s="332" t="s">
        <v>203</v>
      </c>
      <c r="C40" s="105" t="str">
        <f>IF(N9 &gt;N28,"&gt;","&lt;")</f>
        <v>&gt;</v>
      </c>
      <c r="D40" s="332" t="s">
        <v>204</v>
      </c>
      <c r="E40" s="332"/>
      <c r="F40" s="332"/>
      <c r="G40" s="105" t="str">
        <f>IF(N9 &gt;N28,"MORE","LESS")</f>
        <v>MORE</v>
      </c>
      <c r="H40" s="332" t="s">
        <v>205</v>
      </c>
      <c r="I40" s="332"/>
      <c r="J40" s="105" t="str">
        <f>IF(N9 &gt;N28,"INCREASE","DECREASE")</f>
        <v>INCREASE</v>
      </c>
      <c r="K40" s="332" t="s">
        <v>206</v>
      </c>
      <c r="M40" s="332">
        <f>+N34</f>
        <v>4576301.6962655857</v>
      </c>
    </row>
    <row r="45" spans="1:18">
      <c r="A45" s="435" t="s">
        <v>207</v>
      </c>
      <c r="B45" s="409">
        <f t="shared" ref="B45:M45" si="8">SUM(B7:B8)</f>
        <v>347025</v>
      </c>
      <c r="C45" s="409">
        <f t="shared" si="8"/>
        <v>347670</v>
      </c>
      <c r="D45" s="409">
        <f t="shared" si="8"/>
        <v>316215</v>
      </c>
      <c r="E45" s="409">
        <f t="shared" si="8"/>
        <v>349164</v>
      </c>
      <c r="F45" s="409">
        <f t="shared" si="8"/>
        <v>355113</v>
      </c>
      <c r="G45" s="409">
        <f t="shared" si="8"/>
        <v>360579</v>
      </c>
      <c r="H45" s="409">
        <f t="shared" si="8"/>
        <v>302550</v>
      </c>
      <c r="I45" s="409">
        <f t="shared" si="8"/>
        <v>263424</v>
      </c>
      <c r="J45" s="409">
        <f t="shared" si="8"/>
        <v>173763</v>
      </c>
      <c r="K45" s="409">
        <f t="shared" si="8"/>
        <v>181139</v>
      </c>
      <c r="L45" s="409">
        <f t="shared" si="8"/>
        <v>252929</v>
      </c>
      <c r="M45" s="409">
        <f t="shared" si="8"/>
        <v>219131</v>
      </c>
      <c r="N45" s="409">
        <f>SUM(B45:M45)</f>
        <v>3468702</v>
      </c>
    </row>
    <row r="46" spans="1:18">
      <c r="A46" s="435" t="s">
        <v>208</v>
      </c>
      <c r="B46" s="494">
        <f t="shared" ref="B46:M46" si="9">B18+B20</f>
        <v>305052.73664859298</v>
      </c>
      <c r="C46" s="494">
        <f t="shared" si="9"/>
        <v>251843.81402969692</v>
      </c>
      <c r="D46" s="494">
        <f t="shared" si="9"/>
        <v>266342.58311859303</v>
      </c>
      <c r="E46" s="494">
        <f t="shared" si="9"/>
        <v>299397.56703738967</v>
      </c>
      <c r="F46" s="494">
        <f t="shared" si="9"/>
        <v>386630.48925363604</v>
      </c>
      <c r="G46" s="494">
        <f t="shared" si="9"/>
        <v>355604.51598738972</v>
      </c>
      <c r="H46" s="494">
        <f t="shared" si="9"/>
        <v>326361.26730363601</v>
      </c>
      <c r="I46" s="494">
        <f t="shared" si="9"/>
        <v>287875.09143363603</v>
      </c>
      <c r="J46" s="494">
        <f t="shared" si="9"/>
        <v>171631.69111170899</v>
      </c>
      <c r="K46" s="494">
        <f t="shared" si="9"/>
        <v>191431.52923209924</v>
      </c>
      <c r="L46" s="494">
        <f t="shared" si="9"/>
        <v>243956.78371170897</v>
      </c>
      <c r="M46" s="494">
        <f t="shared" si="9"/>
        <v>291133.65927633777</v>
      </c>
      <c r="N46" s="494">
        <f>SUM(B46:M46)</f>
        <v>3377261.7281444254</v>
      </c>
    </row>
    <row r="47" spans="1:18">
      <c r="A47" s="435" t="s">
        <v>209</v>
      </c>
      <c r="B47" s="409">
        <f t="shared" ref="B47:N47" si="10">B18+B20-SUM(B7:B8)</f>
        <v>-41972.263351407018</v>
      </c>
      <c r="C47" s="409">
        <f t="shared" si="10"/>
        <v>-95826.185970303079</v>
      </c>
      <c r="D47" s="409">
        <f t="shared" si="10"/>
        <v>-49872.416881406971</v>
      </c>
      <c r="E47" s="409">
        <f t="shared" si="10"/>
        <v>-49766.432962610328</v>
      </c>
      <c r="F47" s="409">
        <f t="shared" si="10"/>
        <v>31517.489253636042</v>
      </c>
      <c r="G47" s="409">
        <f t="shared" si="10"/>
        <v>-4974.484012610279</v>
      </c>
      <c r="H47" s="409">
        <f t="shared" si="10"/>
        <v>23811.267303636007</v>
      </c>
      <c r="I47" s="409">
        <f t="shared" si="10"/>
        <v>24451.091433636029</v>
      </c>
      <c r="J47" s="409">
        <f t="shared" si="10"/>
        <v>-2131.3088882910088</v>
      </c>
      <c r="K47" s="409">
        <f t="shared" si="10"/>
        <v>10292.529232099245</v>
      </c>
      <c r="L47" s="409">
        <f t="shared" si="10"/>
        <v>-8972.2162882910343</v>
      </c>
      <c r="M47" s="409">
        <f t="shared" si="10"/>
        <v>72002.65927633777</v>
      </c>
      <c r="N47" s="415">
        <f t="shared" si="10"/>
        <v>-91440.271855574567</v>
      </c>
    </row>
    <row r="48" spans="1:18">
      <c r="A48" s="108" t="s">
        <v>199</v>
      </c>
      <c r="B48" s="409">
        <f t="shared" ref="B48:M48" si="11">-B47</f>
        <v>41972.263351407018</v>
      </c>
      <c r="C48" s="409">
        <f t="shared" si="11"/>
        <v>95826.185970303079</v>
      </c>
      <c r="D48" s="409">
        <f t="shared" si="11"/>
        <v>49872.416881406971</v>
      </c>
      <c r="E48" s="409">
        <f t="shared" si="11"/>
        <v>49766.432962610328</v>
      </c>
      <c r="F48" s="409">
        <f t="shared" si="11"/>
        <v>-31517.489253636042</v>
      </c>
      <c r="G48" s="409">
        <f t="shared" si="11"/>
        <v>4974.484012610279</v>
      </c>
      <c r="H48" s="409">
        <f t="shared" si="11"/>
        <v>-23811.267303636007</v>
      </c>
      <c r="I48" s="409">
        <f t="shared" si="11"/>
        <v>-24451.091433636029</v>
      </c>
      <c r="J48" s="409">
        <f t="shared" si="11"/>
        <v>2131.3088882910088</v>
      </c>
      <c r="K48" s="409">
        <f t="shared" si="11"/>
        <v>-10292.529232099245</v>
      </c>
      <c r="L48" s="409">
        <f t="shared" si="11"/>
        <v>8972.2162882910343</v>
      </c>
      <c r="M48" s="409">
        <f t="shared" si="11"/>
        <v>-72002.65927633777</v>
      </c>
      <c r="N48" s="409">
        <f>SUM(B48:M48)</f>
        <v>91440.271855574625</v>
      </c>
    </row>
    <row r="49" spans="1:14">
      <c r="A49" s="108" t="s">
        <v>210</v>
      </c>
      <c r="B49" s="332">
        <f t="shared" ref="B49:M49" si="12">B48*B33</f>
        <v>1280139.7668949072</v>
      </c>
      <c r="C49" s="332">
        <f t="shared" si="12"/>
        <v>3025796.0172949675</v>
      </c>
      <c r="D49" s="332">
        <f t="shared" si="12"/>
        <v>1294121.9975354176</v>
      </c>
      <c r="E49" s="332">
        <f t="shared" si="12"/>
        <v>958425.55092861084</v>
      </c>
      <c r="F49" s="332">
        <f t="shared" si="12"/>
        <v>-425780.67407611752</v>
      </c>
      <c r="G49" s="332">
        <f t="shared" si="12"/>
        <v>62550.594563776227</v>
      </c>
      <c r="H49" s="332">
        <f t="shared" si="12"/>
        <v>-504378.44914875348</v>
      </c>
      <c r="I49" s="332">
        <f t="shared" si="12"/>
        <v>-600033.52479841746</v>
      </c>
      <c r="J49" s="332">
        <f t="shared" si="12"/>
        <v>51507.00808707418</v>
      </c>
      <c r="K49" s="332">
        <f t="shared" si="12"/>
        <v>-256403.71601809276</v>
      </c>
      <c r="L49" s="332">
        <f t="shared" si="12"/>
        <v>233136.99746357245</v>
      </c>
      <c r="M49" s="332">
        <f t="shared" si="12"/>
        <v>-2096071.8352828869</v>
      </c>
      <c r="N49" s="332">
        <f>SUM(B49:M49)</f>
        <v>3023009.7334440579</v>
      </c>
    </row>
    <row r="52" spans="1:14">
      <c r="A52" s="435" t="s">
        <v>211</v>
      </c>
      <c r="B52" s="409">
        <f t="shared" ref="B52:M52" si="13">SUM(B4:B6)</f>
        <v>106332.9</v>
      </c>
      <c r="C52" s="409">
        <f t="shared" si="13"/>
        <v>82122.100000000006</v>
      </c>
      <c r="D52" s="409">
        <f t="shared" si="13"/>
        <v>47266.7</v>
      </c>
      <c r="E52" s="409">
        <f t="shared" si="13"/>
        <v>55497.1</v>
      </c>
      <c r="F52" s="409">
        <f t="shared" si="13"/>
        <v>80589.48000000001</v>
      </c>
      <c r="G52" s="409">
        <f t="shared" si="13"/>
        <v>89270.6</v>
      </c>
      <c r="H52" s="409">
        <f t="shared" si="13"/>
        <v>78909.7</v>
      </c>
      <c r="I52" s="409">
        <f t="shared" si="13"/>
        <v>36463.800000000003</v>
      </c>
      <c r="J52" s="409">
        <f t="shared" si="13"/>
        <v>43111.100000000006</v>
      </c>
      <c r="K52" s="409">
        <f t="shared" si="13"/>
        <v>82451.399999999994</v>
      </c>
      <c r="L52" s="409">
        <f t="shared" si="13"/>
        <v>108066</v>
      </c>
      <c r="M52" s="409">
        <f t="shared" si="13"/>
        <v>104459.5</v>
      </c>
      <c r="N52" s="409">
        <f>SUM(B52:M52)</f>
        <v>914540.38</v>
      </c>
    </row>
    <row r="53" spans="1:14">
      <c r="A53" s="435" t="s">
        <v>212</v>
      </c>
      <c r="B53" s="494">
        <f t="shared" ref="B53:M53" si="14">B26</f>
        <v>70803.889175538265</v>
      </c>
      <c r="C53" s="494">
        <f t="shared" si="14"/>
        <v>56888.997355057654</v>
      </c>
      <c r="D53" s="494">
        <f t="shared" si="14"/>
        <v>60503.737113901421</v>
      </c>
      <c r="E53" s="494">
        <f t="shared" si="14"/>
        <v>52090.528020043057</v>
      </c>
      <c r="F53" s="494">
        <f t="shared" si="14"/>
        <v>57219.849205754435</v>
      </c>
      <c r="G53" s="494">
        <f t="shared" si="14"/>
        <v>103686.46446259005</v>
      </c>
      <c r="H53" s="494">
        <f t="shared" si="14"/>
        <v>102703.38857474734</v>
      </c>
      <c r="I53" s="494">
        <f t="shared" si="14"/>
        <v>60969</v>
      </c>
      <c r="J53" s="494">
        <f t="shared" si="14"/>
        <v>50680</v>
      </c>
      <c r="K53" s="494">
        <f t="shared" si="14"/>
        <v>79917</v>
      </c>
      <c r="L53" s="494">
        <f t="shared" si="14"/>
        <v>95071</v>
      </c>
      <c r="M53" s="494">
        <f t="shared" si="14"/>
        <v>80282</v>
      </c>
      <c r="N53" s="494">
        <f>SUM(B53:M53)</f>
        <v>870815.85390763229</v>
      </c>
    </row>
    <row r="54" spans="1:14">
      <c r="A54" s="435" t="s">
        <v>213</v>
      </c>
      <c r="B54" s="415">
        <f t="shared" ref="B54:N54" si="15">B26-SUM(B4:B6)</f>
        <v>-35529.010824461729</v>
      </c>
      <c r="C54" s="415">
        <f t="shared" si="15"/>
        <v>-25233.102644942352</v>
      </c>
      <c r="D54" s="415">
        <f t="shared" si="15"/>
        <v>13237.037113901424</v>
      </c>
      <c r="E54" s="415">
        <f t="shared" si="15"/>
        <v>-3406.5719799569415</v>
      </c>
      <c r="F54" s="415">
        <f t="shared" si="15"/>
        <v>-23369.630794245575</v>
      </c>
      <c r="G54" s="415">
        <f t="shared" si="15"/>
        <v>14415.864462590049</v>
      </c>
      <c r="H54" s="415">
        <f t="shared" si="15"/>
        <v>23793.688574747342</v>
      </c>
      <c r="I54" s="415">
        <f t="shared" si="15"/>
        <v>24505.199999999997</v>
      </c>
      <c r="J54" s="415">
        <f t="shared" si="15"/>
        <v>7568.8999999999942</v>
      </c>
      <c r="K54" s="415">
        <f t="shared" si="15"/>
        <v>-2534.3999999999942</v>
      </c>
      <c r="L54" s="415">
        <f t="shared" si="15"/>
        <v>-12995</v>
      </c>
      <c r="M54" s="415">
        <f t="shared" si="15"/>
        <v>-24177.5</v>
      </c>
      <c r="N54" s="415">
        <f t="shared" si="15"/>
        <v>-43724.526092367712</v>
      </c>
    </row>
    <row r="55" spans="1:14">
      <c r="A55" s="108" t="s">
        <v>199</v>
      </c>
      <c r="B55" s="409">
        <f t="shared" ref="B55:M55" si="16">-B54</f>
        <v>35529.010824461729</v>
      </c>
      <c r="C55" s="409">
        <f t="shared" si="16"/>
        <v>25233.102644942352</v>
      </c>
      <c r="D55" s="409">
        <f t="shared" si="16"/>
        <v>-13237.037113901424</v>
      </c>
      <c r="E55" s="409">
        <f t="shared" si="16"/>
        <v>3406.5719799569415</v>
      </c>
      <c r="F55" s="409">
        <f t="shared" si="16"/>
        <v>23369.630794245575</v>
      </c>
      <c r="G55" s="409">
        <f t="shared" si="16"/>
        <v>-14415.864462590049</v>
      </c>
      <c r="H55" s="409">
        <f t="shared" si="16"/>
        <v>-23793.688574747342</v>
      </c>
      <c r="I55" s="409">
        <f t="shared" si="16"/>
        <v>-24505.199999999997</v>
      </c>
      <c r="J55" s="409">
        <f t="shared" si="16"/>
        <v>-7568.8999999999942</v>
      </c>
      <c r="K55" s="409">
        <f t="shared" si="16"/>
        <v>2534.3999999999942</v>
      </c>
      <c r="L55" s="409">
        <f t="shared" si="16"/>
        <v>12995</v>
      </c>
      <c r="M55" s="409">
        <f t="shared" si="16"/>
        <v>24177.5</v>
      </c>
      <c r="N55" s="409">
        <f>SUM(B55:M55)</f>
        <v>43724.526092367785</v>
      </c>
    </row>
    <row r="56" spans="1:14">
      <c r="A56" s="435" t="s">
        <v>214</v>
      </c>
      <c r="B56" s="332">
        <f t="shared" ref="B56:M56" si="17">B55*B33</f>
        <v>1083622.7547235284</v>
      </c>
      <c r="C56" s="332">
        <f t="shared" si="17"/>
        <v>796757.38644886599</v>
      </c>
      <c r="D56" s="332">
        <f t="shared" si="17"/>
        <v>-343483.27156526805</v>
      </c>
      <c r="E56" s="332">
        <f t="shared" si="17"/>
        <v>65605.377607054208</v>
      </c>
      <c r="F56" s="332">
        <f t="shared" si="17"/>
        <v>315708.43325776485</v>
      </c>
      <c r="G56" s="332">
        <f t="shared" si="17"/>
        <v>-181269.23134137419</v>
      </c>
      <c r="H56" s="332">
        <f t="shared" si="17"/>
        <v>-504006.09047074569</v>
      </c>
      <c r="I56" s="332">
        <f t="shared" si="17"/>
        <v>-601361.35729559988</v>
      </c>
      <c r="J56" s="332">
        <f t="shared" si="17"/>
        <v>-182916.42082103735</v>
      </c>
      <c r="K56" s="332">
        <f t="shared" si="17"/>
        <v>63136.04394239984</v>
      </c>
      <c r="L56" s="332">
        <f t="shared" si="17"/>
        <v>337666.32286750013</v>
      </c>
      <c r="M56" s="332">
        <f t="shared" si="17"/>
        <v>703832.01546843746</v>
      </c>
      <c r="N56" s="332">
        <f>SUM(B56:M56)</f>
        <v>1553291.962821526</v>
      </c>
    </row>
    <row r="58" spans="1:14">
      <c r="A58" s="108" t="s">
        <v>210</v>
      </c>
      <c r="B58" s="332">
        <f t="shared" ref="B58:M58" si="18">-B47*B$33</f>
        <v>1280139.7668949072</v>
      </c>
      <c r="C58" s="332">
        <f t="shared" si="18"/>
        <v>3025796.0172949675</v>
      </c>
      <c r="D58" s="332">
        <f t="shared" si="18"/>
        <v>1294121.9975354176</v>
      </c>
      <c r="E58" s="332">
        <f t="shared" si="18"/>
        <v>958425.55092861084</v>
      </c>
      <c r="F58" s="332">
        <f t="shared" si="18"/>
        <v>-425780.67407611752</v>
      </c>
      <c r="G58" s="332">
        <f t="shared" si="18"/>
        <v>62550.594563776227</v>
      </c>
      <c r="H58" s="332">
        <f t="shared" si="18"/>
        <v>-504378.44914875348</v>
      </c>
      <c r="I58" s="332">
        <f t="shared" si="18"/>
        <v>-600033.52479841746</v>
      </c>
      <c r="J58" s="332">
        <f t="shared" si="18"/>
        <v>51507.00808707418</v>
      </c>
      <c r="K58" s="332">
        <f t="shared" si="18"/>
        <v>-256403.71601809276</v>
      </c>
      <c r="L58" s="332">
        <f t="shared" si="18"/>
        <v>233136.99746357245</v>
      </c>
      <c r="M58" s="332">
        <f t="shared" si="18"/>
        <v>-2096071.8352828869</v>
      </c>
      <c r="N58" s="332">
        <f>SUM(B58:M58)</f>
        <v>3023009.7334440579</v>
      </c>
    </row>
    <row r="59" spans="1:14">
      <c r="A59" s="435" t="s">
        <v>214</v>
      </c>
      <c r="B59" s="104">
        <f t="shared" ref="B59:M59" si="19">-B54*B$33</f>
        <v>1083622.7547235284</v>
      </c>
      <c r="C59" s="104">
        <f t="shared" si="19"/>
        <v>796757.38644886599</v>
      </c>
      <c r="D59" s="104">
        <f t="shared" si="19"/>
        <v>-343483.27156526805</v>
      </c>
      <c r="E59" s="104">
        <f t="shared" si="19"/>
        <v>65605.377607054208</v>
      </c>
      <c r="F59" s="104">
        <f t="shared" si="19"/>
        <v>315708.43325776485</v>
      </c>
      <c r="G59" s="104">
        <f t="shared" si="19"/>
        <v>-181269.23134137419</v>
      </c>
      <c r="H59" s="104">
        <f t="shared" si="19"/>
        <v>-504006.09047074569</v>
      </c>
      <c r="I59" s="104">
        <f t="shared" si="19"/>
        <v>-601361.35729559988</v>
      </c>
      <c r="J59" s="104">
        <f t="shared" si="19"/>
        <v>-182916.42082103735</v>
      </c>
      <c r="K59" s="104">
        <f t="shared" si="19"/>
        <v>63136.04394239984</v>
      </c>
      <c r="L59" s="104">
        <f t="shared" si="19"/>
        <v>337666.32286750013</v>
      </c>
      <c r="M59" s="104">
        <f t="shared" si="19"/>
        <v>703832.01546843746</v>
      </c>
      <c r="N59" s="104">
        <f>SUM(B59:M59)</f>
        <v>1553291.962821526</v>
      </c>
    </row>
    <row r="60" spans="1:14">
      <c r="A60" s="609" t="s">
        <v>201</v>
      </c>
      <c r="B60" s="332">
        <f t="shared" ref="B60:M60" si="20">SUM(B58:B59)</f>
        <v>2363762.5216184356</v>
      </c>
      <c r="C60" s="332">
        <f t="shared" si="20"/>
        <v>3822553.4037438333</v>
      </c>
      <c r="D60" s="332">
        <f t="shared" si="20"/>
        <v>950638.72597014951</v>
      </c>
      <c r="E60" s="332">
        <f t="shared" si="20"/>
        <v>1024030.928535665</v>
      </c>
      <c r="F60" s="332">
        <f t="shared" si="20"/>
        <v>-110072.24081835267</v>
      </c>
      <c r="G60" s="332">
        <f t="shared" si="20"/>
        <v>-118718.63677759797</v>
      </c>
      <c r="H60" s="332">
        <f t="shared" si="20"/>
        <v>-1008384.5396194991</v>
      </c>
      <c r="I60" s="332">
        <f t="shared" si="20"/>
        <v>-1201394.8820940172</v>
      </c>
      <c r="J60" s="332">
        <f t="shared" si="20"/>
        <v>-131409.41273396317</v>
      </c>
      <c r="K60" s="332">
        <f t="shared" si="20"/>
        <v>-193267.67207569291</v>
      </c>
      <c r="L60" s="332">
        <f t="shared" si="20"/>
        <v>570803.32033107255</v>
      </c>
      <c r="M60" s="332">
        <f t="shared" si="20"/>
        <v>-1392239.8198144494</v>
      </c>
      <c r="N60" s="332">
        <f>SUM(B60:M60)</f>
        <v>4576301.6962655839</v>
      </c>
    </row>
  </sheetData>
  <pageMargins left="0.7" right="0.7" top="0.75" bottom="0.75" header="0.3" footer="0.3"/>
  <pageSetup scale="47" orientation="landscape"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90" zoomScaleNormal="90" workbookViewId="0">
      <pane xSplit="1" ySplit="2" topLeftCell="B3" activePane="bottomRight" state="frozen"/>
      <selection activeCell="H16" sqref="H16"/>
      <selection pane="topRight" activeCell="H16" sqref="H16"/>
      <selection pane="bottomLeft" activeCell="H16" sqref="H16"/>
      <selection pane="bottomRight" activeCell="D28" sqref="D28"/>
    </sheetView>
  </sheetViews>
  <sheetFormatPr defaultColWidth="9.140625" defaultRowHeight="12.75"/>
  <cols>
    <col min="1" max="1" width="40.42578125" style="496" customWidth="1"/>
    <col min="2" max="2" width="12.42578125" style="496" bestFit="1" customWidth="1"/>
    <col min="3" max="3" width="13.140625" style="496" customWidth="1"/>
    <col min="4" max="4" width="13.7109375" style="496" customWidth="1"/>
    <col min="5" max="5" width="11.5703125" style="496" bestFit="1" customWidth="1"/>
    <col min="6" max="7" width="14" style="496" customWidth="1"/>
    <col min="8" max="8" width="12.42578125" style="496" customWidth="1"/>
    <col min="9" max="10" width="12.7109375" style="496" customWidth="1"/>
    <col min="11" max="11" width="13.7109375" style="496" customWidth="1"/>
    <col min="12" max="12" width="12.85546875" style="496" customWidth="1"/>
    <col min="13" max="13" width="12.140625" style="496" bestFit="1" customWidth="1"/>
    <col min="14" max="14" width="12.42578125" style="496" bestFit="1" customWidth="1"/>
    <col min="15" max="15" width="11.42578125" style="496" bestFit="1" customWidth="1"/>
    <col min="16" max="16" width="9.140625" style="496"/>
    <col min="17" max="17" width="10.28515625" style="496" bestFit="1" customWidth="1"/>
    <col min="18" max="18" width="11.28515625" style="496" bestFit="1" customWidth="1"/>
    <col min="19" max="21" width="10.28515625" style="496" bestFit="1" customWidth="1"/>
    <col min="22" max="16384" width="9.140625" style="496"/>
  </cols>
  <sheetData>
    <row r="1" spans="1:21">
      <c r="B1" s="487"/>
      <c r="C1" s="487"/>
      <c r="D1" s="487"/>
      <c r="E1" s="487"/>
      <c r="F1" s="487"/>
      <c r="G1" s="487"/>
      <c r="H1" s="487"/>
      <c r="I1" s="487"/>
      <c r="J1" s="487"/>
      <c r="K1" s="487"/>
      <c r="L1" s="487"/>
      <c r="M1" s="487"/>
    </row>
    <row r="2" spans="1:21">
      <c r="B2" s="495">
        <f>'2018 Hydro'!B2</f>
        <v>43101</v>
      </c>
      <c r="C2" s="495">
        <f>'2018 Hydro'!C2</f>
        <v>43132</v>
      </c>
      <c r="D2" s="495">
        <f>'2018 Hydro'!D2</f>
        <v>43160</v>
      </c>
      <c r="E2" s="495">
        <f>'2018 Hydro'!E2</f>
        <v>43191</v>
      </c>
      <c r="F2" s="495">
        <f>'2018 Hydro'!F2</f>
        <v>43221</v>
      </c>
      <c r="G2" s="495">
        <f>'2018 Hydro'!G2</f>
        <v>43252</v>
      </c>
      <c r="H2" s="495">
        <f>'2018 Hydro'!H2</f>
        <v>43282</v>
      </c>
      <c r="I2" s="495">
        <f>'2018 Hydro'!I2</f>
        <v>43313</v>
      </c>
      <c r="J2" s="495">
        <f>'2018 Hydro'!J2</f>
        <v>43344</v>
      </c>
      <c r="K2" s="495">
        <f>'2018 Hydro'!K2</f>
        <v>43374</v>
      </c>
      <c r="L2" s="495">
        <f>'2018 Hydro'!L2</f>
        <v>43405</v>
      </c>
      <c r="M2" s="495">
        <f>'2018 Hydro'!M2</f>
        <v>43435</v>
      </c>
    </row>
    <row r="3" spans="1:21">
      <c r="A3" s="124" t="s">
        <v>215</v>
      </c>
      <c r="O3" s="496" t="s">
        <v>216</v>
      </c>
    </row>
    <row r="4" spans="1:21">
      <c r="A4" s="496" t="s">
        <v>217</v>
      </c>
      <c r="B4" s="497">
        <f>'EA Database'!C81</f>
        <v>42654.847999999998</v>
      </c>
      <c r="C4" s="497">
        <f>'EA Database'!D81</f>
        <v>55543.616000000002</v>
      </c>
      <c r="D4" s="497">
        <f>'EA Database'!E81</f>
        <v>43456.447999999997</v>
      </c>
      <c r="E4" s="497">
        <f>'EA Database'!F81</f>
        <v>41533.311999999998</v>
      </c>
      <c r="F4" s="497">
        <f>'EA Database'!G81</f>
        <v>20557.056</v>
      </c>
      <c r="G4" s="497">
        <f>'EA Database'!H81</f>
        <v>28600.560000000001</v>
      </c>
      <c r="H4" s="497">
        <f>'EA Database'!I81</f>
        <v>25190.887999999999</v>
      </c>
      <c r="I4" s="497">
        <f>'EA Database'!J81</f>
        <v>33257.063999999998</v>
      </c>
      <c r="J4" s="497">
        <f>'EA Database'!K81</f>
        <v>27038.84</v>
      </c>
      <c r="K4" s="497">
        <f>'EA Database'!L81</f>
        <v>20580.304</v>
      </c>
      <c r="L4" s="497">
        <f>'EA Database'!M81</f>
        <v>37862.256000000001</v>
      </c>
      <c r="M4" s="497">
        <f>'EA Database'!N81</f>
        <v>34637.599999999999</v>
      </c>
      <c r="N4" s="497">
        <f>SUM(B4:M4)</f>
        <v>410912.79200000002</v>
      </c>
      <c r="O4" s="497">
        <f>'EA Database'!O81-N4</f>
        <v>0</v>
      </c>
      <c r="Q4" s="369"/>
      <c r="R4" s="369"/>
      <c r="S4" s="369"/>
      <c r="T4" s="369"/>
      <c r="U4" s="369"/>
    </row>
    <row r="5" spans="1:21">
      <c r="A5" s="453" t="s">
        <v>218</v>
      </c>
      <c r="B5" s="497">
        <f>'EA Database'!C82</f>
        <v>81165.915999999997</v>
      </c>
      <c r="C5" s="497">
        <f>'EA Database'!D82</f>
        <v>122525.69899999999</v>
      </c>
      <c r="D5" s="497">
        <f>'EA Database'!E82</f>
        <v>93914.043999999994</v>
      </c>
      <c r="E5" s="497">
        <f>'EA Database'!F82</f>
        <v>91343.65</v>
      </c>
      <c r="F5" s="497">
        <f>'EA Database'!G82</f>
        <v>43565.186999999998</v>
      </c>
      <c r="G5" s="497">
        <f>'EA Database'!H82</f>
        <v>80903.95</v>
      </c>
      <c r="H5" s="497">
        <f>'EA Database'!I82</f>
        <v>59524.75</v>
      </c>
      <c r="I5" s="497">
        <f>'EA Database'!J82</f>
        <v>68782.350000000006</v>
      </c>
      <c r="J5" s="497">
        <f>'EA Database'!K82</f>
        <v>58738.9</v>
      </c>
      <c r="K5" s="497">
        <f>'EA Database'!L82</f>
        <v>42756.65</v>
      </c>
      <c r="L5" s="497">
        <f>'EA Database'!M82</f>
        <v>74477.899999999994</v>
      </c>
      <c r="M5" s="497">
        <f>'EA Database'!N82</f>
        <v>65077.65</v>
      </c>
      <c r="N5" s="497">
        <f>SUM(B5:M5)</f>
        <v>882776.64600000007</v>
      </c>
      <c r="O5" s="497">
        <f>'EA Database'!O82-N5</f>
        <v>0</v>
      </c>
      <c r="P5" s="453"/>
      <c r="Q5" s="369"/>
      <c r="R5" s="123"/>
      <c r="S5" s="123"/>
      <c r="T5" s="123"/>
      <c r="U5" s="123"/>
    </row>
    <row r="6" spans="1:21">
      <c r="A6" s="496" t="s">
        <v>219</v>
      </c>
      <c r="B6" s="497">
        <f>'EA Database'!C83</f>
        <v>54099.735000000001</v>
      </c>
      <c r="C6" s="497">
        <f>'EA Database'!D83</f>
        <v>84717.93</v>
      </c>
      <c r="D6" s="497">
        <f>'EA Database'!E83</f>
        <v>63384.726999999999</v>
      </c>
      <c r="E6" s="497">
        <f>'EA Database'!F83</f>
        <v>70312.697</v>
      </c>
      <c r="F6" s="497">
        <f>'EA Database'!G83</f>
        <v>34502.785000000003</v>
      </c>
      <c r="G6" s="497">
        <f>'EA Database'!H83</f>
        <v>61755.777999999998</v>
      </c>
      <c r="H6" s="497">
        <f>'EA Database'!I83</f>
        <v>39671.233</v>
      </c>
      <c r="I6" s="497">
        <f>'EA Database'!J83</f>
        <v>52711.173999999999</v>
      </c>
      <c r="J6" s="497">
        <f>'EA Database'!K83</f>
        <v>39967.387000000002</v>
      </c>
      <c r="K6" s="497">
        <f>'EA Database'!L83</f>
        <v>37727.563999999998</v>
      </c>
      <c r="L6" s="497">
        <f>'EA Database'!M83</f>
        <v>51340.669000000002</v>
      </c>
      <c r="M6" s="497">
        <f>'EA Database'!N83</f>
        <v>48496.822</v>
      </c>
      <c r="N6" s="497">
        <f>SUM(B6:M6)</f>
        <v>638688.50099999993</v>
      </c>
      <c r="O6" s="497">
        <f>'EA Database'!O83-N6</f>
        <v>0</v>
      </c>
    </row>
    <row r="7" spans="1:21">
      <c r="A7" s="496" t="s">
        <v>220</v>
      </c>
      <c r="B7" s="497">
        <f>'EA Database'!C84</f>
        <v>4337</v>
      </c>
      <c r="C7" s="497">
        <f>'EA Database'!D84</f>
        <v>10887</v>
      </c>
      <c r="D7" s="497">
        <f>'EA Database'!E84</f>
        <v>5843</v>
      </c>
      <c r="E7" s="497">
        <f>'EA Database'!F84</f>
        <v>11154</v>
      </c>
      <c r="F7" s="497">
        <f>'EA Database'!G84</f>
        <v>16026</v>
      </c>
      <c r="G7" s="497">
        <f>'EA Database'!H84</f>
        <v>15825</v>
      </c>
      <c r="H7" s="497">
        <f>'EA Database'!I84</f>
        <v>14978</v>
      </c>
      <c r="I7" s="497">
        <f>'EA Database'!J84</f>
        <v>14117</v>
      </c>
      <c r="J7" s="497">
        <f>'EA Database'!K84</f>
        <v>9248</v>
      </c>
      <c r="K7" s="497">
        <f>'EA Database'!L84</f>
        <v>4190</v>
      </c>
      <c r="L7" s="497">
        <f>'EA Database'!M84</f>
        <v>6553</v>
      </c>
      <c r="M7" s="497">
        <f>'EA Database'!N84</f>
        <v>6101</v>
      </c>
      <c r="N7" s="497">
        <f>SUM(B7:M7)</f>
        <v>119259</v>
      </c>
      <c r="O7" s="497">
        <f>'EA Database'!O84-N7</f>
        <v>0</v>
      </c>
      <c r="Q7" s="369"/>
      <c r="R7" s="369"/>
      <c r="S7" s="369"/>
      <c r="T7" s="369"/>
      <c r="U7" s="369"/>
    </row>
    <row r="8" spans="1:21" ht="13.5" thickBot="1">
      <c r="A8" s="498" t="s">
        <v>221</v>
      </c>
      <c r="B8" s="499">
        <f t="shared" ref="B8:O8" si="0">SUM(B4:B7)</f>
        <v>182257.49900000001</v>
      </c>
      <c r="C8" s="499">
        <f t="shared" si="0"/>
        <v>273674.245</v>
      </c>
      <c r="D8" s="499">
        <f t="shared" si="0"/>
        <v>206598.21899999998</v>
      </c>
      <c r="E8" s="499">
        <f t="shared" si="0"/>
        <v>214343.65899999999</v>
      </c>
      <c r="F8" s="499">
        <f t="shared" si="0"/>
        <v>114651.02800000001</v>
      </c>
      <c r="G8" s="499">
        <f t="shared" si="0"/>
        <v>187085.288</v>
      </c>
      <c r="H8" s="499">
        <f t="shared" si="0"/>
        <v>139364.87100000001</v>
      </c>
      <c r="I8" s="499">
        <f t="shared" si="0"/>
        <v>168867.58799999999</v>
      </c>
      <c r="J8" s="499">
        <f t="shared" si="0"/>
        <v>134993.12700000001</v>
      </c>
      <c r="K8" s="499">
        <f t="shared" si="0"/>
        <v>105254.518</v>
      </c>
      <c r="L8" s="499">
        <f t="shared" si="0"/>
        <v>170233.82499999998</v>
      </c>
      <c r="M8" s="499">
        <f t="shared" si="0"/>
        <v>154313.07199999999</v>
      </c>
      <c r="N8" s="499">
        <f t="shared" si="0"/>
        <v>2051636.939</v>
      </c>
      <c r="O8" s="497">
        <f t="shared" si="0"/>
        <v>0</v>
      </c>
    </row>
    <row r="10" spans="1:21">
      <c r="A10" s="124" t="s">
        <v>222</v>
      </c>
    </row>
    <row r="11" spans="1:21">
      <c r="A11" s="496" t="s">
        <v>217</v>
      </c>
      <c r="B11" s="497">
        <v>42848.874265324121</v>
      </c>
      <c r="C11" s="497">
        <v>28745.012830029355</v>
      </c>
      <c r="D11" s="497">
        <v>56102.026598172553</v>
      </c>
      <c r="E11" s="497">
        <v>33356.751648554316</v>
      </c>
      <c r="F11" s="497">
        <v>42535.455122317573</v>
      </c>
      <c r="G11" s="497">
        <v>35685.008139460115</v>
      </c>
      <c r="H11" s="497">
        <v>37655.071324072727</v>
      </c>
      <c r="I11" s="497">
        <v>30580.753524782009</v>
      </c>
      <c r="J11" s="497">
        <v>33894.041607994121</v>
      </c>
      <c r="K11" s="497">
        <v>31834.430096808213</v>
      </c>
      <c r="L11" s="497">
        <v>34923.847363587061</v>
      </c>
      <c r="M11" s="497">
        <v>39669.908671971971</v>
      </c>
      <c r="N11" s="497">
        <f>SUM(B11:M11)</f>
        <v>447831.18119307421</v>
      </c>
      <c r="O11" s="500">
        <f>447831.181193074-N11</f>
        <v>0</v>
      </c>
    </row>
    <row r="12" spans="1:21">
      <c r="A12" s="453" t="s">
        <v>218</v>
      </c>
      <c r="B12" s="497">
        <v>90434.228524137914</v>
      </c>
      <c r="C12" s="497">
        <v>58046.573268965491</v>
      </c>
      <c r="D12" s="497">
        <v>94381.754372413779</v>
      </c>
      <c r="E12" s="497">
        <v>86217.553186206875</v>
      </c>
      <c r="F12" s="497">
        <v>82718.609820689642</v>
      </c>
      <c r="G12" s="497">
        <v>81911.161351724149</v>
      </c>
      <c r="H12" s="497">
        <v>67915.387889655176</v>
      </c>
      <c r="I12" s="497">
        <v>71145.18176551722</v>
      </c>
      <c r="J12" s="497">
        <v>61724.949627586175</v>
      </c>
      <c r="K12" s="497">
        <v>62442.681599999982</v>
      </c>
      <c r="L12" s="497">
        <v>58943.738234482749</v>
      </c>
      <c r="M12" s="497">
        <v>81731.728358620676</v>
      </c>
      <c r="N12" s="497">
        <f>SUM(B12:M12)</f>
        <v>897613.54799999984</v>
      </c>
      <c r="O12" s="500">
        <f>897613.548-N12</f>
        <v>0</v>
      </c>
    </row>
    <row r="13" spans="1:21">
      <c r="A13" s="496" t="s">
        <v>219</v>
      </c>
      <c r="B13" s="497">
        <v>67138.388405121892</v>
      </c>
      <c r="C13" s="497">
        <v>58358.397320007796</v>
      </c>
      <c r="D13" s="497">
        <v>60281.787833113951</v>
      </c>
      <c r="E13" s="497">
        <v>61406.757746910807</v>
      </c>
      <c r="F13" s="497">
        <v>63197.950641883181</v>
      </c>
      <c r="G13" s="497">
        <v>61159.288926881221</v>
      </c>
      <c r="H13" s="497">
        <v>57217.231393212955</v>
      </c>
      <c r="I13" s="497">
        <v>56664.200324254751</v>
      </c>
      <c r="J13" s="497">
        <v>41335.479119715412</v>
      </c>
      <c r="K13" s="497">
        <v>59281.10532056087</v>
      </c>
      <c r="L13" s="497">
        <v>61702.358469281193</v>
      </c>
      <c r="M13" s="497">
        <v>48720.843875545834</v>
      </c>
      <c r="N13" s="497">
        <f>SUM(B13:M13)</f>
        <v>696463.78937648982</v>
      </c>
      <c r="O13" s="500">
        <f>696463.78937649-N13</f>
        <v>0</v>
      </c>
    </row>
    <row r="14" spans="1:21">
      <c r="A14" s="496" t="s">
        <v>220</v>
      </c>
      <c r="B14" s="497">
        <v>8793.8982458799801</v>
      </c>
      <c r="C14" s="497">
        <v>8391.6445005886872</v>
      </c>
      <c r="D14" s="497">
        <v>11733.926469110369</v>
      </c>
      <c r="E14" s="497">
        <v>13568.047232408824</v>
      </c>
      <c r="F14" s="497">
        <v>16805.206930397144</v>
      </c>
      <c r="G14" s="497">
        <v>18141.783128433777</v>
      </c>
      <c r="H14" s="497">
        <v>19579.651470792905</v>
      </c>
      <c r="I14" s="497">
        <v>18148.251388122004</v>
      </c>
      <c r="J14" s="497">
        <v>13930.187678710206</v>
      </c>
      <c r="K14" s="497">
        <v>12403.97811127453</v>
      </c>
      <c r="L14" s="497">
        <v>8495.8444697323994</v>
      </c>
      <c r="M14" s="497">
        <v>9402.4159740158011</v>
      </c>
      <c r="N14" s="497">
        <f>SUM(B14:M14)</f>
        <v>159394.83559946663</v>
      </c>
      <c r="O14" s="500">
        <f>159394.835599467-N14</f>
        <v>3.7834979593753815E-10</v>
      </c>
    </row>
    <row r="15" spans="1:21" ht="13.5" thickBot="1">
      <c r="A15" s="498" t="s">
        <v>223</v>
      </c>
      <c r="B15" s="499">
        <f t="shared" ref="B15:O15" si="1">SUM(B11:B14)</f>
        <v>209215.38944046388</v>
      </c>
      <c r="C15" s="499">
        <f t="shared" si="1"/>
        <v>153541.62791959132</v>
      </c>
      <c r="D15" s="499">
        <f t="shared" si="1"/>
        <v>222499.49527281066</v>
      </c>
      <c r="E15" s="499">
        <f t="shared" si="1"/>
        <v>194549.10981408082</v>
      </c>
      <c r="F15" s="499">
        <f t="shared" si="1"/>
        <v>205257.22251528755</v>
      </c>
      <c r="G15" s="499">
        <f t="shared" si="1"/>
        <v>196897.24154649925</v>
      </c>
      <c r="H15" s="499">
        <f t="shared" si="1"/>
        <v>182367.34207773377</v>
      </c>
      <c r="I15" s="499">
        <f t="shared" si="1"/>
        <v>176538.387002676</v>
      </c>
      <c r="J15" s="499">
        <f t="shared" si="1"/>
        <v>150884.6580340059</v>
      </c>
      <c r="K15" s="499">
        <f t="shared" si="1"/>
        <v>165962.19512864359</v>
      </c>
      <c r="L15" s="499">
        <f t="shared" si="1"/>
        <v>164065.7885370834</v>
      </c>
      <c r="M15" s="499">
        <f t="shared" si="1"/>
        <v>179524.89688015429</v>
      </c>
      <c r="N15" s="499">
        <f t="shared" si="1"/>
        <v>2201303.3541690307</v>
      </c>
      <c r="O15" s="500">
        <f t="shared" si="1"/>
        <v>3.7834979593753815E-10</v>
      </c>
    </row>
    <row r="17" spans="1:15">
      <c r="A17" s="124" t="s">
        <v>224</v>
      </c>
    </row>
    <row r="18" spans="1:15">
      <c r="A18" s="496" t="s">
        <v>217</v>
      </c>
      <c r="B18" s="497">
        <f t="shared" ref="B18:N18" si="2">B4-B11</f>
        <v>-194.02626532412251</v>
      </c>
      <c r="C18" s="497">
        <f t="shared" si="2"/>
        <v>26798.603169970647</v>
      </c>
      <c r="D18" s="497">
        <f t="shared" si="2"/>
        <v>-12645.578598172557</v>
      </c>
      <c r="E18" s="497">
        <f t="shared" si="2"/>
        <v>8176.5603514456816</v>
      </c>
      <c r="F18" s="497">
        <f t="shared" si="2"/>
        <v>-21978.399122317573</v>
      </c>
      <c r="G18" s="497">
        <f t="shared" si="2"/>
        <v>-7084.4481394601135</v>
      </c>
      <c r="H18" s="497">
        <f t="shared" si="2"/>
        <v>-12464.183324072728</v>
      </c>
      <c r="I18" s="497">
        <f t="shared" si="2"/>
        <v>2676.3104752179897</v>
      </c>
      <c r="J18" s="497">
        <f t="shared" si="2"/>
        <v>-6855.2016079941204</v>
      </c>
      <c r="K18" s="497">
        <f t="shared" si="2"/>
        <v>-11254.126096808213</v>
      </c>
      <c r="L18" s="497">
        <f t="shared" si="2"/>
        <v>2938.4086364129398</v>
      </c>
      <c r="M18" s="497">
        <f t="shared" si="2"/>
        <v>-5032.3086719719722</v>
      </c>
      <c r="N18" s="497">
        <f t="shared" si="2"/>
        <v>-36918.389193074196</v>
      </c>
    </row>
    <row r="19" spans="1:15">
      <c r="A19" s="453" t="s">
        <v>218</v>
      </c>
      <c r="B19" s="497">
        <f t="shared" ref="B19:N19" si="3">B5-B12</f>
        <v>-9268.3125241379166</v>
      </c>
      <c r="C19" s="497">
        <f t="shared" si="3"/>
        <v>64479.125731034503</v>
      </c>
      <c r="D19" s="497">
        <f t="shared" si="3"/>
        <v>-467.71037241378508</v>
      </c>
      <c r="E19" s="497">
        <f t="shared" si="3"/>
        <v>5126.0968137931195</v>
      </c>
      <c r="F19" s="497">
        <f t="shared" si="3"/>
        <v>-39153.422820689644</v>
      </c>
      <c r="G19" s="497">
        <f t="shared" si="3"/>
        <v>-1007.2113517241523</v>
      </c>
      <c r="H19" s="497">
        <f t="shared" si="3"/>
        <v>-8390.637889655176</v>
      </c>
      <c r="I19" s="497">
        <f t="shared" si="3"/>
        <v>-2362.8317655172141</v>
      </c>
      <c r="J19" s="497">
        <f t="shared" si="3"/>
        <v>-2986.0496275861733</v>
      </c>
      <c r="K19" s="497">
        <f t="shared" si="3"/>
        <v>-19686.03159999998</v>
      </c>
      <c r="L19" s="497">
        <f t="shared" si="3"/>
        <v>15534.161765517245</v>
      </c>
      <c r="M19" s="497">
        <f t="shared" si="3"/>
        <v>-16654.078358620674</v>
      </c>
      <c r="N19" s="497">
        <f t="shared" si="3"/>
        <v>-14836.901999999769</v>
      </c>
    </row>
    <row r="20" spans="1:15">
      <c r="A20" s="496" t="s">
        <v>225</v>
      </c>
      <c r="B20" s="497">
        <f t="shared" ref="B20:N20" si="4">B6-B13</f>
        <v>-13038.653405121891</v>
      </c>
      <c r="C20" s="497">
        <f t="shared" si="4"/>
        <v>26359.532679992197</v>
      </c>
      <c r="D20" s="497">
        <f t="shared" si="4"/>
        <v>3102.939166886048</v>
      </c>
      <c r="E20" s="497">
        <f t="shared" si="4"/>
        <v>8905.9392530891928</v>
      </c>
      <c r="F20" s="497">
        <f t="shared" si="4"/>
        <v>-28695.165641883177</v>
      </c>
      <c r="G20" s="497">
        <f t="shared" si="4"/>
        <v>596.48907311877701</v>
      </c>
      <c r="H20" s="497">
        <f t="shared" si="4"/>
        <v>-17545.998393212954</v>
      </c>
      <c r="I20" s="497">
        <f t="shared" si="4"/>
        <v>-3953.0263242547517</v>
      </c>
      <c r="J20" s="497">
        <f t="shared" si="4"/>
        <v>-1368.0921197154094</v>
      </c>
      <c r="K20" s="497">
        <f t="shared" si="4"/>
        <v>-21553.541320560871</v>
      </c>
      <c r="L20" s="497">
        <f t="shared" si="4"/>
        <v>-10361.689469281191</v>
      </c>
      <c r="M20" s="497">
        <f t="shared" si="4"/>
        <v>-224.02187554583361</v>
      </c>
      <c r="N20" s="497">
        <f t="shared" si="4"/>
        <v>-57775.288376489887</v>
      </c>
    </row>
    <row r="21" spans="1:15">
      <c r="A21" s="496" t="s">
        <v>220</v>
      </c>
      <c r="B21" s="497">
        <f t="shared" ref="B21:N21" si="5">B7-B14</f>
        <v>-4456.8982458799801</v>
      </c>
      <c r="C21" s="497">
        <f t="shared" si="5"/>
        <v>2495.3554994113128</v>
      </c>
      <c r="D21" s="497">
        <f t="shared" si="5"/>
        <v>-5890.926469110369</v>
      </c>
      <c r="E21" s="497">
        <f t="shared" si="5"/>
        <v>-2414.0472324088241</v>
      </c>
      <c r="F21" s="497">
        <f t="shared" si="5"/>
        <v>-779.20693039714388</v>
      </c>
      <c r="G21" s="497">
        <f t="shared" si="5"/>
        <v>-2316.7831284337772</v>
      </c>
      <c r="H21" s="497">
        <f t="shared" si="5"/>
        <v>-4601.6514707929055</v>
      </c>
      <c r="I21" s="497">
        <f t="shared" si="5"/>
        <v>-4031.2513881220038</v>
      </c>
      <c r="J21" s="497">
        <f t="shared" si="5"/>
        <v>-4682.1876787102065</v>
      </c>
      <c r="K21" s="497">
        <f t="shared" si="5"/>
        <v>-8213.9781112745295</v>
      </c>
      <c r="L21" s="497">
        <f t="shared" si="5"/>
        <v>-1942.8444697323994</v>
      </c>
      <c r="M21" s="497">
        <f t="shared" si="5"/>
        <v>-3301.4159740158011</v>
      </c>
      <c r="N21" s="497">
        <f t="shared" si="5"/>
        <v>-40135.835599466634</v>
      </c>
    </row>
    <row r="22" spans="1:15" ht="13.5" thickBot="1">
      <c r="A22" s="498" t="s">
        <v>226</v>
      </c>
      <c r="B22" s="499">
        <f t="shared" ref="B22:N22" si="6">SUM(B18:B21)</f>
        <v>-26957.890440463911</v>
      </c>
      <c r="C22" s="499">
        <f t="shared" si="6"/>
        <v>120132.61708040866</v>
      </c>
      <c r="D22" s="499">
        <f t="shared" si="6"/>
        <v>-15901.276272810663</v>
      </c>
      <c r="E22" s="499">
        <f t="shared" si="6"/>
        <v>19794.549185919168</v>
      </c>
      <c r="F22" s="499">
        <f t="shared" si="6"/>
        <v>-90606.194515287527</v>
      </c>
      <c r="G22" s="499">
        <f t="shared" si="6"/>
        <v>-9811.9535464992659</v>
      </c>
      <c r="H22" s="499">
        <f t="shared" si="6"/>
        <v>-43002.47107773376</v>
      </c>
      <c r="I22" s="499">
        <f t="shared" si="6"/>
        <v>-7670.7990026759799</v>
      </c>
      <c r="J22" s="499">
        <f t="shared" si="6"/>
        <v>-15891.53103400591</v>
      </c>
      <c r="K22" s="499">
        <f t="shared" si="6"/>
        <v>-60707.677128643598</v>
      </c>
      <c r="L22" s="499">
        <f t="shared" si="6"/>
        <v>6168.0364629165942</v>
      </c>
      <c r="M22" s="499">
        <f t="shared" si="6"/>
        <v>-25211.82488015428</v>
      </c>
      <c r="N22" s="499">
        <f t="shared" si="6"/>
        <v>-149666.41516903049</v>
      </c>
    </row>
    <row r="24" spans="1:15">
      <c r="A24" s="124" t="s">
        <v>227</v>
      </c>
    </row>
    <row r="25" spans="1:15" ht="3.75" customHeight="1"/>
    <row r="26" spans="1:15" ht="13.5" thickBot="1">
      <c r="A26" s="496" t="s">
        <v>228</v>
      </c>
      <c r="B26" s="501">
        <f>'Wind Integration Costs'!E52</f>
        <v>64033.42428651583</v>
      </c>
      <c r="C26" s="501">
        <f>'Wind Integration Costs'!F52</f>
        <v>-206982.44435291959</v>
      </c>
      <c r="D26" s="501">
        <f>'Wind Integration Costs'!G52</f>
        <v>4459.2363549567426</v>
      </c>
      <c r="E26" s="501">
        <f>'Wind Integration Costs'!H52</f>
        <v>-46463.81277514746</v>
      </c>
      <c r="F26" s="501">
        <f>'Wind Integration Costs'!I52</f>
        <v>163019.4987813425</v>
      </c>
      <c r="G26" s="501">
        <f>'Wind Integration Costs'!J52</f>
        <v>5081.2700520669005</v>
      </c>
      <c r="H26" s="501">
        <f>'Wind Integration Costs'!K52</f>
        <v>94339.770178164676</v>
      </c>
      <c r="I26" s="501">
        <f>'Wind Integration Costs'!L52</f>
        <v>17154.681681667091</v>
      </c>
      <c r="J26" s="501">
        <f>'Wind Integration Costs'!M52</f>
        <v>17995.854483121813</v>
      </c>
      <c r="K26" s="501">
        <f>'Wind Integration Costs'!N52</f>
        <v>122239.18089886465</v>
      </c>
      <c r="L26" s="501">
        <f>'Wind Integration Costs'!O52</f>
        <v>25102.126275117236</v>
      </c>
      <c r="M26" s="501">
        <f>'Wind Integration Costs'!P52</f>
        <v>24973.778297891145</v>
      </c>
      <c r="N26" s="501">
        <f>SUM(B26:M26)</f>
        <v>284952.56416164158</v>
      </c>
    </row>
    <row r="29" spans="1:15">
      <c r="A29" s="496" t="s">
        <v>200</v>
      </c>
      <c r="B29" s="122">
        <f>+'Load Impact to Cost &amp; Rev'!B7</f>
        <v>30.499660124999991</v>
      </c>
      <c r="C29" s="122">
        <f>+'Load Impact to Cost &amp; Rev'!C7</f>
        <v>31.575878624999994</v>
      </c>
      <c r="D29" s="122">
        <f>+'Load Impact to Cost &amp; Rev'!D7</f>
        <v>25.948652150000004</v>
      </c>
      <c r="E29" s="122">
        <f>+'Load Impact to Cost &amp; Rev'!E7</f>
        <v>19.258473912499994</v>
      </c>
      <c r="F29" s="122">
        <f>+'Load Impact to Cost &amp; Rev'!F7</f>
        <v>13.509346212500001</v>
      </c>
      <c r="G29" s="122">
        <f>+'Load Impact to Cost &amp; Rev'!G7</f>
        <v>12.5742879875</v>
      </c>
      <c r="H29" s="122">
        <f>+'Load Impact to Cost &amp; Rev'!H7</f>
        <v>21.182343749999998</v>
      </c>
      <c r="I29" s="122">
        <f>+'Load Impact to Cost &amp; Rev'!I7</f>
        <v>24.540153</v>
      </c>
      <c r="J29" s="122">
        <f>+'Load Impact to Cost &amp; Rev'!J7</f>
        <v>24.166843374999999</v>
      </c>
      <c r="K29" s="122">
        <f>+'Load Impact to Cost &amp; Rev'!K7</f>
        <v>24.911633499999994</v>
      </c>
      <c r="L29" s="122">
        <f>+'Load Impact to Cost &amp; Rev'!L7</f>
        <v>25.984326500000009</v>
      </c>
      <c r="M29" s="122">
        <f>+'Load Impact to Cost &amp; Rev'!M7</f>
        <v>29.111033624999997</v>
      </c>
      <c r="N29" s="121">
        <f>AVERAGE(B29:M29)</f>
        <v>23.605219396875</v>
      </c>
      <c r="O29" s="120">
        <f>Price!O10-N29</f>
        <v>0</v>
      </c>
    </row>
    <row r="30" spans="1:15">
      <c r="A30" s="496" t="s">
        <v>229</v>
      </c>
      <c r="B30" s="120">
        <v>64.400000000000006</v>
      </c>
      <c r="C30" s="120">
        <v>64.400000000000006</v>
      </c>
      <c r="D30" s="120">
        <v>64.400000000000006</v>
      </c>
      <c r="E30" s="120">
        <v>64.400000000000006</v>
      </c>
      <c r="F30" s="120">
        <v>64.400000000000006</v>
      </c>
      <c r="G30" s="120">
        <v>64.400000000000006</v>
      </c>
      <c r="H30" s="120">
        <v>64.400000000000006</v>
      </c>
      <c r="I30" s="120">
        <v>64.400000000000006</v>
      </c>
      <c r="J30" s="120">
        <v>64.400000000000006</v>
      </c>
      <c r="K30" s="120">
        <v>64.400000000000006</v>
      </c>
      <c r="L30" s="120">
        <v>64.400000000000006</v>
      </c>
      <c r="M30" s="120">
        <v>64.400000000000006</v>
      </c>
      <c r="N30" s="120"/>
    </row>
    <row r="32" spans="1:15">
      <c r="A32" s="496" t="s">
        <v>230</v>
      </c>
      <c r="B32" s="119">
        <f t="shared" ref="B32:M32" si="7">B26</f>
        <v>64033.42428651583</v>
      </c>
      <c r="C32" s="119">
        <f t="shared" si="7"/>
        <v>-206982.44435291959</v>
      </c>
      <c r="D32" s="119">
        <f t="shared" si="7"/>
        <v>4459.2363549567426</v>
      </c>
      <c r="E32" s="119">
        <f t="shared" si="7"/>
        <v>-46463.81277514746</v>
      </c>
      <c r="F32" s="119">
        <f t="shared" si="7"/>
        <v>163019.4987813425</v>
      </c>
      <c r="G32" s="119">
        <f t="shared" si="7"/>
        <v>5081.2700520669005</v>
      </c>
      <c r="H32" s="119">
        <f t="shared" si="7"/>
        <v>94339.770178164676</v>
      </c>
      <c r="I32" s="119">
        <f t="shared" si="7"/>
        <v>17154.681681667091</v>
      </c>
      <c r="J32" s="119">
        <f t="shared" si="7"/>
        <v>17995.854483121813</v>
      </c>
      <c r="K32" s="119">
        <f t="shared" si="7"/>
        <v>122239.18089886465</v>
      </c>
      <c r="L32" s="119">
        <f t="shared" si="7"/>
        <v>25102.126275117236</v>
      </c>
      <c r="M32" s="119">
        <f t="shared" si="7"/>
        <v>24973.778297891145</v>
      </c>
      <c r="N32" s="119">
        <f>SUM(B32:M32)</f>
        <v>284952.56416164158</v>
      </c>
    </row>
    <row r="33" spans="1:14">
      <c r="A33" s="496" t="s">
        <v>231</v>
      </c>
      <c r="B33" s="119">
        <f t="shared" ref="B33:M33" si="8">B22*B29</f>
        <v>-822206.49612113554</v>
      </c>
      <c r="C33" s="119">
        <f t="shared" si="8"/>
        <v>3793292.9358345848</v>
      </c>
      <c r="D33" s="119">
        <f t="shared" si="8"/>
        <v>-412616.68674421246</v>
      </c>
      <c r="E33" s="119">
        <f t="shared" si="8"/>
        <v>381212.8091067223</v>
      </c>
      <c r="F33" s="119">
        <f t="shared" si="8"/>
        <v>-1224030.4507041378</v>
      </c>
      <c r="G33" s="119">
        <f t="shared" si="8"/>
        <v>-123378.32961365374</v>
      </c>
      <c r="H33" s="119">
        <f t="shared" si="8"/>
        <v>-910893.12446798943</v>
      </c>
      <c r="I33" s="119">
        <f t="shared" si="8"/>
        <v>-188242.58115791596</v>
      </c>
      <c r="J33" s="119">
        <f t="shared" si="8"/>
        <v>-384048.14148777258</v>
      </c>
      <c r="K33" s="119">
        <f t="shared" si="8"/>
        <v>-1512327.4032651014</v>
      </c>
      <c r="L33" s="119">
        <f t="shared" si="8"/>
        <v>160272.27331632999</v>
      </c>
      <c r="M33" s="119">
        <f t="shared" si="8"/>
        <v>-733942.28183378279</v>
      </c>
      <c r="N33" s="119">
        <f>SUM(B33:M33)</f>
        <v>-1976907.4771380646</v>
      </c>
    </row>
    <row r="34" spans="1:14">
      <c r="A34" s="496" t="s">
        <v>232</v>
      </c>
      <c r="B34" s="119">
        <f t="shared" ref="B34:M34" si="9">-B21*B30</f>
        <v>287024.24703467073</v>
      </c>
      <c r="C34" s="119">
        <f t="shared" si="9"/>
        <v>-160700.89416208857</v>
      </c>
      <c r="D34" s="119">
        <f t="shared" si="9"/>
        <v>379375.66461070778</v>
      </c>
      <c r="E34" s="119">
        <f t="shared" si="9"/>
        <v>155464.64176712828</v>
      </c>
      <c r="F34" s="119">
        <f t="shared" si="9"/>
        <v>50180.926317576072</v>
      </c>
      <c r="G34" s="119">
        <f t="shared" si="9"/>
        <v>149200.83347113527</v>
      </c>
      <c r="H34" s="119">
        <f t="shared" si="9"/>
        <v>296346.35471906315</v>
      </c>
      <c r="I34" s="119">
        <f t="shared" si="9"/>
        <v>259612.58939505706</v>
      </c>
      <c r="J34" s="119">
        <f t="shared" si="9"/>
        <v>301532.88650893734</v>
      </c>
      <c r="K34" s="119">
        <f t="shared" si="9"/>
        <v>528980.1903660798</v>
      </c>
      <c r="L34" s="119">
        <f t="shared" si="9"/>
        <v>125119.18385076654</v>
      </c>
      <c r="M34" s="119">
        <f t="shared" si="9"/>
        <v>212611.18872661761</v>
      </c>
      <c r="N34" s="119">
        <f>SUM(B34:M34)</f>
        <v>2584747.8126056511</v>
      </c>
    </row>
    <row r="35" spans="1:14" ht="13.5" thickBot="1">
      <c r="A35" s="496" t="s">
        <v>233</v>
      </c>
      <c r="B35" s="118">
        <f t="shared" ref="B35:N35" si="10">SUM(B32:B34)</f>
        <v>-471148.82479994901</v>
      </c>
      <c r="C35" s="118">
        <f t="shared" si="10"/>
        <v>3425609.5973195764</v>
      </c>
      <c r="D35" s="118">
        <f t="shared" si="10"/>
        <v>-28781.785778547928</v>
      </c>
      <c r="E35" s="118">
        <f t="shared" si="10"/>
        <v>490213.63809870312</v>
      </c>
      <c r="F35" s="118">
        <f t="shared" si="10"/>
        <v>-1010830.0256052192</v>
      </c>
      <c r="G35" s="118">
        <f t="shared" si="10"/>
        <v>30903.773909548428</v>
      </c>
      <c r="H35" s="118">
        <f t="shared" si="10"/>
        <v>-520206.99957076157</v>
      </c>
      <c r="I35" s="118">
        <f t="shared" si="10"/>
        <v>88524.689918808173</v>
      </c>
      <c r="J35" s="118">
        <f t="shared" si="10"/>
        <v>-64519.400495713402</v>
      </c>
      <c r="K35" s="118">
        <f t="shared" si="10"/>
        <v>-861108.03200015682</v>
      </c>
      <c r="L35" s="118">
        <f t="shared" si="10"/>
        <v>310493.58344221377</v>
      </c>
      <c r="M35" s="118">
        <f t="shared" si="10"/>
        <v>-496357.31480927404</v>
      </c>
      <c r="N35" s="118">
        <f t="shared" si="10"/>
        <v>892792.89962922805</v>
      </c>
    </row>
    <row r="36" spans="1:14" ht="13.5" thickTop="1">
      <c r="B36" s="119"/>
      <c r="C36" s="119"/>
      <c r="D36" s="119"/>
      <c r="E36" s="119"/>
      <c r="F36" s="119"/>
      <c r="G36" s="119"/>
      <c r="H36" s="119"/>
      <c r="I36" s="119"/>
      <c r="J36" s="119"/>
      <c r="K36" s="119"/>
      <c r="L36" s="119"/>
      <c r="M36" s="119"/>
      <c r="N36" s="119"/>
    </row>
    <row r="37" spans="1:14" ht="13.5" thickBot="1">
      <c r="B37" s="119"/>
      <c r="C37" s="119"/>
      <c r="D37" s="119"/>
      <c r="E37" s="119"/>
      <c r="F37" s="119"/>
      <c r="G37" s="119"/>
      <c r="H37" s="119"/>
      <c r="I37" s="119"/>
      <c r="J37" s="119"/>
      <c r="K37" s="119"/>
      <c r="L37" s="119"/>
      <c r="M37" s="119"/>
      <c r="N37" s="119"/>
    </row>
    <row r="38" spans="1:14" ht="13.5" thickBot="1">
      <c r="A38" s="117" t="s">
        <v>231</v>
      </c>
      <c r="B38" s="116" t="s">
        <v>234</v>
      </c>
      <c r="C38" s="115" t="str">
        <f>IF(N8 &gt;N15,"&gt;","&lt;")</f>
        <v>&lt;</v>
      </c>
      <c r="D38" s="114" t="s">
        <v>235</v>
      </c>
      <c r="E38" s="119"/>
      <c r="F38" s="119"/>
      <c r="G38" s="115" t="str">
        <f>IF(N8 &gt;N15,"MORE","LESS")</f>
        <v>LESS</v>
      </c>
      <c r="H38" s="113" t="s">
        <v>236</v>
      </c>
      <c r="I38" s="119"/>
      <c r="J38" s="115" t="str">
        <f>IF(N8 &gt;N15,"INCREASE","DECREASE")</f>
        <v>DECREASE</v>
      </c>
      <c r="K38" s="114" t="s">
        <v>237</v>
      </c>
      <c r="L38" s="114">
        <f>+N33</f>
        <v>-1976907.4771380646</v>
      </c>
      <c r="M38" s="119" t="s">
        <v>463</v>
      </c>
      <c r="N38" s="119"/>
    </row>
    <row r="40" spans="1:14">
      <c r="A40" s="112" t="s">
        <v>462</v>
      </c>
    </row>
    <row r="41" spans="1:14">
      <c r="A41" s="111" t="s">
        <v>461</v>
      </c>
    </row>
    <row r="43" spans="1:14">
      <c r="B43" s="119"/>
      <c r="C43" s="119"/>
      <c r="D43" s="119"/>
      <c r="E43" s="119"/>
      <c r="F43" s="119"/>
      <c r="G43" s="119"/>
      <c r="H43" s="119"/>
      <c r="I43" s="119"/>
      <c r="J43" s="119"/>
      <c r="K43" s="119"/>
      <c r="L43" s="119"/>
      <c r="M43" s="119"/>
      <c r="N43" s="119"/>
    </row>
    <row r="44" spans="1:14">
      <c r="B44" s="119"/>
      <c r="C44" s="119"/>
      <c r="D44" s="119"/>
      <c r="E44" s="119"/>
      <c r="F44" s="119"/>
      <c r="G44" s="119"/>
      <c r="H44" s="119"/>
      <c r="I44" s="119"/>
      <c r="J44" s="119"/>
      <c r="K44" s="119"/>
      <c r="L44" s="119"/>
      <c r="M44" s="119"/>
      <c r="N44" s="119"/>
    </row>
  </sheetData>
  <pageMargins left="0.7" right="0.7" top="0.75" bottom="0.75" header="0.3" footer="0.3"/>
  <pageSetup scale="56" orientation="landscape"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topLeftCell="A46" workbookViewId="0">
      <selection activeCell="B97" sqref="B97"/>
    </sheetView>
  </sheetViews>
  <sheetFormatPr defaultRowHeight="12.75"/>
  <cols>
    <col min="1" max="1" width="32.5703125" style="513" bestFit="1" customWidth="1"/>
    <col min="2" max="2" width="25.28515625" style="513" bestFit="1" customWidth="1"/>
    <col min="3" max="8" width="12.28515625" style="513" customWidth="1"/>
    <col min="9" max="10" width="14" style="513" bestFit="1" customWidth="1"/>
    <col min="11" max="13" width="16.7109375" style="173" bestFit="1" customWidth="1"/>
    <col min="14" max="14" width="12.28515625" style="173" bestFit="1" customWidth="1"/>
    <col min="15" max="15" width="14" style="173" bestFit="1" customWidth="1"/>
    <col min="16" max="16384" width="9.140625" style="173"/>
  </cols>
  <sheetData>
    <row r="2" spans="1:15">
      <c r="A2" s="174" t="s">
        <v>238</v>
      </c>
    </row>
    <row r="3" spans="1:15">
      <c r="A3" s="503" t="s">
        <v>239</v>
      </c>
      <c r="B3" s="512"/>
      <c r="C3" s="503" t="s">
        <v>240</v>
      </c>
      <c r="D3" s="512"/>
      <c r="E3" s="512"/>
      <c r="F3" s="512"/>
      <c r="G3" s="512"/>
      <c r="H3" s="512"/>
      <c r="I3" s="512"/>
      <c r="J3" s="512"/>
      <c r="K3" s="512"/>
      <c r="L3" s="512"/>
      <c r="M3" s="512"/>
      <c r="N3" s="512"/>
      <c r="O3" s="172"/>
    </row>
    <row r="4" spans="1:15">
      <c r="A4" s="503" t="s">
        <v>241</v>
      </c>
      <c r="B4" s="503" t="s">
        <v>242</v>
      </c>
      <c r="C4" s="503" t="s">
        <v>243</v>
      </c>
      <c r="D4" s="171" t="s">
        <v>244</v>
      </c>
      <c r="E4" s="171" t="s">
        <v>245</v>
      </c>
      <c r="F4" s="171" t="s">
        <v>246</v>
      </c>
      <c r="G4" s="171" t="s">
        <v>247</v>
      </c>
      <c r="H4" s="171" t="s">
        <v>248</v>
      </c>
      <c r="I4" s="171" t="s">
        <v>249</v>
      </c>
      <c r="J4" s="171" t="s">
        <v>250</v>
      </c>
      <c r="K4" s="171" t="s">
        <v>251</v>
      </c>
      <c r="L4" s="171" t="s">
        <v>252</v>
      </c>
      <c r="M4" s="171" t="s">
        <v>253</v>
      </c>
      <c r="N4" s="171" t="s">
        <v>254</v>
      </c>
      <c r="O4" s="170" t="s">
        <v>255</v>
      </c>
    </row>
    <row r="5" spans="1:15">
      <c r="A5" s="503" t="s">
        <v>256</v>
      </c>
      <c r="B5" s="503" t="s">
        <v>257</v>
      </c>
      <c r="C5" s="504"/>
      <c r="D5" s="505"/>
      <c r="E5" s="505"/>
      <c r="F5" s="505"/>
      <c r="G5" s="505"/>
      <c r="H5" s="505"/>
      <c r="I5" s="505"/>
      <c r="J5" s="505"/>
      <c r="K5" s="505"/>
      <c r="L5" s="505"/>
      <c r="M5" s="505"/>
      <c r="N5" s="505"/>
      <c r="O5" s="506"/>
    </row>
    <row r="6" spans="1:15">
      <c r="A6" s="507"/>
      <c r="B6" s="508" t="s">
        <v>258</v>
      </c>
      <c r="C6" s="509"/>
      <c r="D6" s="510"/>
      <c r="E6" s="510"/>
      <c r="F6" s="510"/>
      <c r="G6" s="510"/>
      <c r="H6" s="510"/>
      <c r="I6" s="510"/>
      <c r="J6" s="510"/>
      <c r="K6" s="510"/>
      <c r="L6" s="510"/>
      <c r="M6" s="510"/>
      <c r="N6" s="510"/>
      <c r="O6" s="511"/>
    </row>
    <row r="7" spans="1:15">
      <c r="A7" s="507"/>
      <c r="B7" s="508" t="s">
        <v>259</v>
      </c>
      <c r="C7" s="509"/>
      <c r="D7" s="510"/>
      <c r="E7" s="510"/>
      <c r="F7" s="510"/>
      <c r="G7" s="510"/>
      <c r="H7" s="510"/>
      <c r="I7" s="510"/>
      <c r="J7" s="510"/>
      <c r="K7" s="510"/>
      <c r="L7" s="510"/>
      <c r="M7" s="510"/>
      <c r="N7" s="510"/>
      <c r="O7" s="511"/>
    </row>
    <row r="8" spans="1:15">
      <c r="A8" s="507"/>
      <c r="B8" s="508" t="s">
        <v>260</v>
      </c>
      <c r="C8" s="509"/>
      <c r="D8" s="510"/>
      <c r="E8" s="510"/>
      <c r="F8" s="510"/>
      <c r="G8" s="510"/>
      <c r="H8" s="510"/>
      <c r="I8" s="510"/>
      <c r="J8" s="510"/>
      <c r="K8" s="510"/>
      <c r="L8" s="510"/>
      <c r="M8" s="510"/>
      <c r="N8" s="510"/>
      <c r="O8" s="511"/>
    </row>
    <row r="9" spans="1:15">
      <c r="A9" s="507"/>
      <c r="B9" s="508" t="s">
        <v>261</v>
      </c>
      <c r="C9" s="509"/>
      <c r="D9" s="510"/>
      <c r="E9" s="510"/>
      <c r="F9" s="510"/>
      <c r="G9" s="510"/>
      <c r="H9" s="510"/>
      <c r="I9" s="510"/>
      <c r="J9" s="510"/>
      <c r="K9" s="510"/>
      <c r="L9" s="510"/>
      <c r="M9" s="510"/>
      <c r="N9" s="510"/>
      <c r="O9" s="511"/>
    </row>
    <row r="10" spans="1:15">
      <c r="A10" s="507"/>
      <c r="B10" s="508" t="s">
        <v>262</v>
      </c>
      <c r="C10" s="509"/>
      <c r="D10" s="510"/>
      <c r="E10" s="510"/>
      <c r="F10" s="510"/>
      <c r="G10" s="510"/>
      <c r="H10" s="510"/>
      <c r="I10" s="510"/>
      <c r="J10" s="510"/>
      <c r="K10" s="510"/>
      <c r="L10" s="510"/>
      <c r="M10" s="510"/>
      <c r="N10" s="510"/>
      <c r="O10" s="511"/>
    </row>
    <row r="11" spans="1:15">
      <c r="A11" s="507"/>
      <c r="B11" s="508" t="s">
        <v>263</v>
      </c>
      <c r="C11" s="509">
        <v>156741000</v>
      </c>
      <c r="D11" s="510">
        <v>162692000</v>
      </c>
      <c r="E11" s="510">
        <v>143727000</v>
      </c>
      <c r="F11" s="510">
        <v>168266000</v>
      </c>
      <c r="G11" s="510">
        <v>176876000</v>
      </c>
      <c r="H11" s="510">
        <v>167059000</v>
      </c>
      <c r="I11" s="510">
        <v>139833000</v>
      </c>
      <c r="J11" s="510">
        <v>123373000</v>
      </c>
      <c r="K11" s="510">
        <v>82345000</v>
      </c>
      <c r="L11" s="510">
        <v>85579000</v>
      </c>
      <c r="M11" s="510">
        <v>116332000</v>
      </c>
      <c r="N11" s="510">
        <v>112533000</v>
      </c>
      <c r="O11" s="511">
        <f>SUM(C11:N11)</f>
        <v>1635356000</v>
      </c>
    </row>
    <row r="12" spans="1:15">
      <c r="A12" s="507"/>
      <c r="B12" s="508" t="s">
        <v>264</v>
      </c>
      <c r="C12" s="509"/>
      <c r="D12" s="510"/>
      <c r="E12" s="510"/>
      <c r="F12" s="510"/>
      <c r="G12" s="510"/>
      <c r="H12" s="510"/>
      <c r="I12" s="510"/>
      <c r="J12" s="510"/>
      <c r="K12" s="510"/>
      <c r="L12" s="510"/>
      <c r="M12" s="510"/>
      <c r="N12" s="510"/>
      <c r="O12" s="511"/>
    </row>
    <row r="13" spans="1:15">
      <c r="A13" s="507"/>
      <c r="B13" s="508" t="s">
        <v>265</v>
      </c>
      <c r="C13" s="509"/>
      <c r="D13" s="510"/>
      <c r="E13" s="510"/>
      <c r="F13" s="510"/>
      <c r="G13" s="510"/>
      <c r="H13" s="510"/>
      <c r="I13" s="510"/>
      <c r="J13" s="510"/>
      <c r="K13" s="510"/>
      <c r="L13" s="510"/>
      <c r="M13" s="510"/>
      <c r="N13" s="510"/>
      <c r="O13" s="511"/>
    </row>
    <row r="14" spans="1:15">
      <c r="A14" s="507"/>
      <c r="B14" s="508" t="s">
        <v>266</v>
      </c>
      <c r="C14" s="509"/>
      <c r="D14" s="510"/>
      <c r="E14" s="510"/>
      <c r="F14" s="510"/>
      <c r="G14" s="510"/>
      <c r="H14" s="510"/>
      <c r="I14" s="510"/>
      <c r="J14" s="510"/>
      <c r="K14" s="510"/>
      <c r="L14" s="510"/>
      <c r="M14" s="510"/>
      <c r="N14" s="510"/>
      <c r="O14" s="511"/>
    </row>
    <row r="15" spans="1:15">
      <c r="A15" s="507"/>
      <c r="B15" s="508" t="s">
        <v>267</v>
      </c>
      <c r="C15" s="509">
        <v>74698000</v>
      </c>
      <c r="D15" s="510">
        <v>69499000</v>
      </c>
      <c r="E15" s="510">
        <v>68857000</v>
      </c>
      <c r="F15" s="510">
        <v>68198000</v>
      </c>
      <c r="G15" s="510">
        <v>62619000</v>
      </c>
      <c r="H15" s="510">
        <v>68960000</v>
      </c>
      <c r="I15" s="510">
        <v>60394000</v>
      </c>
      <c r="J15" s="510">
        <v>56877000</v>
      </c>
      <c r="K15" s="510">
        <v>41924000</v>
      </c>
      <c r="L15" s="510">
        <v>44264000</v>
      </c>
      <c r="M15" s="510">
        <v>58693000</v>
      </c>
      <c r="N15" s="510">
        <v>57503000</v>
      </c>
      <c r="O15" s="511">
        <f t="shared" ref="O15:O21" si="0">SUM(C15:N15)</f>
        <v>732486000</v>
      </c>
    </row>
    <row r="16" spans="1:15">
      <c r="A16" s="503" t="s">
        <v>268</v>
      </c>
      <c r="B16" s="503" t="s">
        <v>269</v>
      </c>
      <c r="C16" s="504">
        <v>-3348000</v>
      </c>
      <c r="D16" s="505">
        <v>-2976000</v>
      </c>
      <c r="E16" s="505">
        <v>-3348000</v>
      </c>
      <c r="F16" s="505">
        <v>-3100000</v>
      </c>
      <c r="G16" s="505">
        <v>-3348000</v>
      </c>
      <c r="H16" s="505">
        <v>-3224000</v>
      </c>
      <c r="I16" s="505">
        <v>-3224000</v>
      </c>
      <c r="J16" s="505">
        <v>-3348000</v>
      </c>
      <c r="K16" s="505">
        <v>-3100000</v>
      </c>
      <c r="L16" s="505">
        <v>-3367000</v>
      </c>
      <c r="M16" s="505">
        <v>-3328000</v>
      </c>
      <c r="N16" s="505">
        <v>-3328000</v>
      </c>
      <c r="O16" s="506">
        <f t="shared" si="0"/>
        <v>-39039000</v>
      </c>
    </row>
    <row r="17" spans="1:15">
      <c r="A17" s="503" t="s">
        <v>270</v>
      </c>
      <c r="B17" s="503" t="s">
        <v>269</v>
      </c>
      <c r="C17" s="504">
        <v>-7020000</v>
      </c>
      <c r="D17" s="505">
        <v>-6240000</v>
      </c>
      <c r="E17" s="505">
        <v>-7020000</v>
      </c>
      <c r="F17" s="505">
        <v>-6500000</v>
      </c>
      <c r="G17" s="505">
        <v>-7020000</v>
      </c>
      <c r="H17" s="505">
        <v>-6760000</v>
      </c>
      <c r="I17" s="505">
        <v>-6760000</v>
      </c>
      <c r="J17" s="505">
        <v>-7020000</v>
      </c>
      <c r="K17" s="505">
        <v>-6500000</v>
      </c>
      <c r="L17" s="505">
        <v>-7020000</v>
      </c>
      <c r="M17" s="505">
        <v>-6760000</v>
      </c>
      <c r="N17" s="505">
        <v>-6760000</v>
      </c>
      <c r="O17" s="506">
        <f t="shared" si="0"/>
        <v>-81380000</v>
      </c>
    </row>
    <row r="18" spans="1:15">
      <c r="A18" s="503" t="s">
        <v>271</v>
      </c>
      <c r="B18" s="503" t="s">
        <v>272</v>
      </c>
      <c r="C18" s="504">
        <v>120142000</v>
      </c>
      <c r="D18" s="505">
        <v>119280000</v>
      </c>
      <c r="E18" s="505">
        <v>108460000</v>
      </c>
      <c r="F18" s="505">
        <v>117511000</v>
      </c>
      <c r="G18" s="505">
        <v>123049000</v>
      </c>
      <c r="H18" s="505">
        <v>129896000</v>
      </c>
      <c r="I18" s="505">
        <v>107264000</v>
      </c>
      <c r="J18" s="505">
        <v>89256000</v>
      </c>
      <c r="K18" s="505">
        <v>56121000</v>
      </c>
      <c r="L18" s="505">
        <f>58694000+-12000</f>
        <v>58682000</v>
      </c>
      <c r="M18" s="505">
        <v>84497000</v>
      </c>
      <c r="N18" s="505">
        <v>54803000</v>
      </c>
      <c r="O18" s="506">
        <f t="shared" si="0"/>
        <v>1168961000</v>
      </c>
    </row>
    <row r="19" spans="1:15">
      <c r="A19" s="503" t="s">
        <v>273</v>
      </c>
      <c r="B19" s="503" t="s">
        <v>272</v>
      </c>
      <c r="C19" s="504">
        <v>5812000</v>
      </c>
      <c r="D19" s="505">
        <v>5415000</v>
      </c>
      <c r="E19" s="505">
        <v>5539000</v>
      </c>
      <c r="F19" s="505">
        <v>4789000</v>
      </c>
      <c r="G19" s="505">
        <v>2937000</v>
      </c>
      <c r="H19" s="505">
        <v>4648000</v>
      </c>
      <c r="I19" s="505">
        <v>5043000</v>
      </c>
      <c r="J19" s="505">
        <v>4286000</v>
      </c>
      <c r="K19" s="505">
        <v>2973000</v>
      </c>
      <c r="L19" s="505">
        <v>3001000</v>
      </c>
      <c r="M19" s="505">
        <v>3495000</v>
      </c>
      <c r="N19" s="505">
        <v>4380000</v>
      </c>
      <c r="O19" s="506">
        <f t="shared" si="0"/>
        <v>52318000</v>
      </c>
    </row>
    <row r="20" spans="1:15">
      <c r="A20" s="503" t="s">
        <v>274</v>
      </c>
      <c r="B20" s="503" t="s">
        <v>275</v>
      </c>
      <c r="C20" s="504">
        <v>4337000</v>
      </c>
      <c r="D20" s="505">
        <v>10887000</v>
      </c>
      <c r="E20" s="505">
        <v>5843000</v>
      </c>
      <c r="F20" s="505">
        <v>11154000</v>
      </c>
      <c r="G20" s="505">
        <v>16026000</v>
      </c>
      <c r="H20" s="505">
        <v>15825000</v>
      </c>
      <c r="I20" s="505">
        <v>14978000</v>
      </c>
      <c r="J20" s="505">
        <v>14117000</v>
      </c>
      <c r="K20" s="505">
        <v>9248000</v>
      </c>
      <c r="L20" s="505">
        <v>4190000</v>
      </c>
      <c r="M20" s="505">
        <v>6553000</v>
      </c>
      <c r="N20" s="505">
        <v>6101000</v>
      </c>
      <c r="O20" s="506">
        <f t="shared" si="0"/>
        <v>119259000</v>
      </c>
    </row>
    <row r="21" spans="1:15">
      <c r="A21" s="169" t="s">
        <v>255</v>
      </c>
      <c r="B21" s="168"/>
      <c r="C21" s="167">
        <v>351362000</v>
      </c>
      <c r="D21" s="166">
        <v>358557000</v>
      </c>
      <c r="E21" s="166">
        <v>322058000</v>
      </c>
      <c r="F21" s="166">
        <v>360318000</v>
      </c>
      <c r="G21" s="166">
        <v>371139000</v>
      </c>
      <c r="H21" s="166">
        <v>376404000</v>
      </c>
      <c r="I21" s="166">
        <v>317528000</v>
      </c>
      <c r="J21" s="166">
        <v>277541000</v>
      </c>
      <c r="K21" s="166">
        <v>183011000</v>
      </c>
      <c r="L21" s="166">
        <v>185341000</v>
      </c>
      <c r="M21" s="166">
        <v>259482000</v>
      </c>
      <c r="N21" s="166">
        <f>SUM(N11:N20)</f>
        <v>225232000</v>
      </c>
      <c r="O21" s="165">
        <f t="shared" si="0"/>
        <v>3587973000</v>
      </c>
    </row>
    <row r="23" spans="1:15">
      <c r="B23" s="164" t="s">
        <v>276</v>
      </c>
      <c r="C23" s="163">
        <f t="shared" ref="C23:O23" si="1">(C11+C15+C18+C19)/1000</f>
        <v>357393</v>
      </c>
      <c r="D23" s="163">
        <f t="shared" si="1"/>
        <v>356886</v>
      </c>
      <c r="E23" s="163">
        <f t="shared" si="1"/>
        <v>326583</v>
      </c>
      <c r="F23" s="163">
        <f t="shared" si="1"/>
        <v>358764</v>
      </c>
      <c r="G23" s="163">
        <f t="shared" si="1"/>
        <v>365481</v>
      </c>
      <c r="H23" s="163">
        <f t="shared" si="1"/>
        <v>370563</v>
      </c>
      <c r="I23" s="163">
        <f t="shared" si="1"/>
        <v>312534</v>
      </c>
      <c r="J23" s="163">
        <f t="shared" si="1"/>
        <v>273792</v>
      </c>
      <c r="K23" s="163">
        <f t="shared" si="1"/>
        <v>183363</v>
      </c>
      <c r="L23" s="163">
        <f t="shared" si="1"/>
        <v>191526</v>
      </c>
      <c r="M23" s="163">
        <f t="shared" si="1"/>
        <v>263017</v>
      </c>
      <c r="N23" s="163">
        <f t="shared" si="1"/>
        <v>229219</v>
      </c>
      <c r="O23" s="162">
        <f t="shared" si="1"/>
        <v>3589121</v>
      </c>
    </row>
    <row r="24" spans="1:15">
      <c r="B24" s="161" t="s">
        <v>277</v>
      </c>
      <c r="C24" s="160">
        <f t="shared" ref="C24:O24" si="2">(C16+C17)/1000</f>
        <v>-10368</v>
      </c>
      <c r="D24" s="160">
        <f t="shared" si="2"/>
        <v>-9216</v>
      </c>
      <c r="E24" s="160">
        <f t="shared" si="2"/>
        <v>-10368</v>
      </c>
      <c r="F24" s="160">
        <f t="shared" si="2"/>
        <v>-9600</v>
      </c>
      <c r="G24" s="160">
        <f t="shared" si="2"/>
        <v>-10368</v>
      </c>
      <c r="H24" s="160">
        <f t="shared" si="2"/>
        <v>-9984</v>
      </c>
      <c r="I24" s="160">
        <f t="shared" si="2"/>
        <v>-9984</v>
      </c>
      <c r="J24" s="160">
        <f t="shared" si="2"/>
        <v>-10368</v>
      </c>
      <c r="K24" s="160">
        <f t="shared" si="2"/>
        <v>-9600</v>
      </c>
      <c r="L24" s="160">
        <f t="shared" si="2"/>
        <v>-10387</v>
      </c>
      <c r="M24" s="160">
        <f t="shared" si="2"/>
        <v>-10088</v>
      </c>
      <c r="N24" s="160">
        <f t="shared" si="2"/>
        <v>-10088</v>
      </c>
      <c r="O24" s="159">
        <f t="shared" si="2"/>
        <v>-120419</v>
      </c>
    </row>
    <row r="25" spans="1:15">
      <c r="B25" s="158"/>
      <c r="C25" s="157">
        <f t="shared" ref="C25:O25" si="3">SUM(C23:C24)</f>
        <v>347025</v>
      </c>
      <c r="D25" s="157">
        <f t="shared" si="3"/>
        <v>347670</v>
      </c>
      <c r="E25" s="157">
        <f t="shared" si="3"/>
        <v>316215</v>
      </c>
      <c r="F25" s="157">
        <f t="shared" si="3"/>
        <v>349164</v>
      </c>
      <c r="G25" s="157">
        <f t="shared" si="3"/>
        <v>355113</v>
      </c>
      <c r="H25" s="157">
        <f t="shared" si="3"/>
        <v>360579</v>
      </c>
      <c r="I25" s="157">
        <f t="shared" si="3"/>
        <v>302550</v>
      </c>
      <c r="J25" s="157">
        <f t="shared" si="3"/>
        <v>263424</v>
      </c>
      <c r="K25" s="157">
        <f t="shared" si="3"/>
        <v>173763</v>
      </c>
      <c r="L25" s="157">
        <f t="shared" si="3"/>
        <v>181139</v>
      </c>
      <c r="M25" s="157">
        <f t="shared" si="3"/>
        <v>252929</v>
      </c>
      <c r="N25" s="157">
        <f t="shared" si="3"/>
        <v>219131</v>
      </c>
      <c r="O25" s="156">
        <f t="shared" si="3"/>
        <v>3468702</v>
      </c>
    </row>
    <row r="27" spans="1:15">
      <c r="A27" s="174" t="s">
        <v>142</v>
      </c>
    </row>
    <row r="28" spans="1:15" s="513" customFormat="1">
      <c r="A28" s="503" t="s">
        <v>239</v>
      </c>
      <c r="B28" s="512"/>
      <c r="C28" s="503" t="s">
        <v>240</v>
      </c>
      <c r="D28" s="512"/>
      <c r="E28" s="512"/>
      <c r="F28" s="512"/>
      <c r="G28" s="512"/>
      <c r="H28" s="512"/>
      <c r="I28" s="512"/>
      <c r="J28" s="512"/>
      <c r="K28" s="512"/>
      <c r="L28" s="512"/>
      <c r="M28" s="512"/>
      <c r="N28" s="512"/>
      <c r="O28" s="172"/>
    </row>
    <row r="29" spans="1:15" s="513" customFormat="1">
      <c r="A29" s="503" t="s">
        <v>241</v>
      </c>
      <c r="B29" s="503" t="s">
        <v>242</v>
      </c>
      <c r="C29" s="503" t="s">
        <v>243</v>
      </c>
      <c r="D29" s="171" t="s">
        <v>244</v>
      </c>
      <c r="E29" s="171" t="s">
        <v>245</v>
      </c>
      <c r="F29" s="171" t="s">
        <v>246</v>
      </c>
      <c r="G29" s="171" t="s">
        <v>247</v>
      </c>
      <c r="H29" s="171" t="s">
        <v>248</v>
      </c>
      <c r="I29" s="171" t="s">
        <v>249</v>
      </c>
      <c r="J29" s="171" t="s">
        <v>250</v>
      </c>
      <c r="K29" s="171" t="s">
        <v>251</v>
      </c>
      <c r="L29" s="171" t="s">
        <v>252</v>
      </c>
      <c r="M29" s="171" t="s">
        <v>253</v>
      </c>
      <c r="N29" s="155" t="s">
        <v>254</v>
      </c>
      <c r="O29" s="170" t="s">
        <v>255</v>
      </c>
    </row>
    <row r="30" spans="1:15" s="513" customFormat="1">
      <c r="A30" s="503" t="s">
        <v>278</v>
      </c>
      <c r="B30" s="503" t="s">
        <v>279</v>
      </c>
      <c r="C30" s="504"/>
      <c r="D30" s="505"/>
      <c r="E30" s="505"/>
      <c r="F30" s="505"/>
      <c r="G30" s="505"/>
      <c r="H30" s="505"/>
      <c r="I30" s="505"/>
      <c r="J30" s="505"/>
      <c r="K30" s="505"/>
      <c r="L30" s="505"/>
      <c r="M30" s="505"/>
      <c r="O30" s="506"/>
    </row>
    <row r="31" spans="1:15" s="513" customFormat="1">
      <c r="A31" s="507"/>
      <c r="B31" s="508" t="s">
        <v>280</v>
      </c>
      <c r="C31" s="509">
        <v>0</v>
      </c>
      <c r="D31" s="510">
        <v>0</v>
      </c>
      <c r="E31" s="510">
        <v>0</v>
      </c>
      <c r="F31" s="510">
        <v>0</v>
      </c>
      <c r="G31" s="510">
        <v>0</v>
      </c>
      <c r="H31" s="510">
        <v>0</v>
      </c>
      <c r="I31" s="510">
        <v>0</v>
      </c>
      <c r="J31" s="510">
        <v>0</v>
      </c>
      <c r="K31" s="510">
        <v>0</v>
      </c>
      <c r="L31" s="510">
        <v>0</v>
      </c>
      <c r="M31" s="510">
        <v>0</v>
      </c>
      <c r="N31" s="510">
        <v>0</v>
      </c>
      <c r="O31" s="511">
        <v>0</v>
      </c>
    </row>
    <row r="32" spans="1:15" s="513" customFormat="1">
      <c r="A32" s="507"/>
      <c r="B32" s="508" t="s">
        <v>281</v>
      </c>
      <c r="C32" s="509">
        <v>0</v>
      </c>
      <c r="D32" s="510">
        <v>0</v>
      </c>
      <c r="E32" s="510">
        <v>0</v>
      </c>
      <c r="F32" s="510">
        <v>0</v>
      </c>
      <c r="G32" s="510">
        <v>0</v>
      </c>
      <c r="H32" s="510">
        <v>0</v>
      </c>
      <c r="I32" s="510">
        <v>0</v>
      </c>
      <c r="J32" s="510">
        <v>0</v>
      </c>
      <c r="K32" s="510">
        <v>0</v>
      </c>
      <c r="L32" s="510">
        <v>0</v>
      </c>
      <c r="M32" s="510">
        <v>0</v>
      </c>
      <c r="N32" s="510">
        <v>0</v>
      </c>
      <c r="O32" s="511">
        <v>0</v>
      </c>
    </row>
    <row r="33" spans="1:15" s="513" customFormat="1">
      <c r="A33" s="503" t="s">
        <v>282</v>
      </c>
      <c r="B33" s="512"/>
      <c r="C33" s="504">
        <v>0</v>
      </c>
      <c r="D33" s="505">
        <v>0</v>
      </c>
      <c r="E33" s="505">
        <v>0</v>
      </c>
      <c r="F33" s="505">
        <v>0</v>
      </c>
      <c r="G33" s="505">
        <v>0</v>
      </c>
      <c r="H33" s="505">
        <v>0</v>
      </c>
      <c r="I33" s="505">
        <v>0</v>
      </c>
      <c r="J33" s="505">
        <v>0</v>
      </c>
      <c r="K33" s="505">
        <v>0</v>
      </c>
      <c r="L33" s="505">
        <v>0</v>
      </c>
      <c r="M33" s="505">
        <v>0</v>
      </c>
      <c r="N33" s="505">
        <v>0</v>
      </c>
      <c r="O33" s="506">
        <v>0</v>
      </c>
    </row>
    <row r="34" spans="1:15" s="513" customFormat="1">
      <c r="A34" s="503" t="s">
        <v>180</v>
      </c>
      <c r="B34" s="503" t="s">
        <v>279</v>
      </c>
      <c r="C34" s="504"/>
      <c r="D34" s="505"/>
      <c r="E34" s="505"/>
      <c r="F34" s="505"/>
      <c r="G34" s="505"/>
      <c r="H34" s="505"/>
      <c r="I34" s="505"/>
      <c r="J34" s="505"/>
      <c r="K34" s="505"/>
      <c r="L34" s="505"/>
      <c r="M34" s="505"/>
      <c r="N34" s="505"/>
      <c r="O34" s="506"/>
    </row>
    <row r="35" spans="1:15" s="513" customFormat="1">
      <c r="A35" s="507"/>
      <c r="B35" s="508" t="s">
        <v>280</v>
      </c>
      <c r="C35" s="509">
        <v>44382400</v>
      </c>
      <c r="D35" s="510">
        <v>35181000</v>
      </c>
      <c r="E35" s="510">
        <v>15286900</v>
      </c>
      <c r="F35" s="510">
        <v>16903600</v>
      </c>
      <c r="G35" s="510">
        <v>38104000</v>
      </c>
      <c r="H35" s="510">
        <v>39683500</v>
      </c>
      <c r="I35" s="510">
        <v>34604700</v>
      </c>
      <c r="J35" s="510">
        <v>17119800</v>
      </c>
      <c r="K35" s="510">
        <v>15134500</v>
      </c>
      <c r="L35" s="510">
        <v>35897500</v>
      </c>
      <c r="M35" s="510">
        <v>47194500</v>
      </c>
      <c r="N35" s="510">
        <v>46434600</v>
      </c>
      <c r="O35" s="511">
        <f>SUM(C35:N35)</f>
        <v>385927000</v>
      </c>
    </row>
    <row r="36" spans="1:15" s="513" customFormat="1">
      <c r="A36" s="507"/>
      <c r="B36" s="508" t="s">
        <v>281</v>
      </c>
      <c r="C36" s="509">
        <v>-74200</v>
      </c>
      <c r="D36" s="510">
        <v>-74900</v>
      </c>
      <c r="E36" s="510">
        <v>-72200</v>
      </c>
      <c r="F36" s="510">
        <v>-60000</v>
      </c>
      <c r="G36" s="510">
        <v>-46700</v>
      </c>
      <c r="H36" s="510">
        <v>-44400</v>
      </c>
      <c r="I36" s="510">
        <v>-45100</v>
      </c>
      <c r="J36" s="510">
        <v>-45100</v>
      </c>
      <c r="K36" s="510">
        <v>-42100</v>
      </c>
      <c r="L36" s="510">
        <v>-45400</v>
      </c>
      <c r="M36" s="510">
        <v>-47600</v>
      </c>
      <c r="N36" s="510">
        <v>-67100</v>
      </c>
      <c r="O36" s="511">
        <f>SUM(C36:N36)</f>
        <v>-664800</v>
      </c>
    </row>
    <row r="37" spans="1:15" s="513" customFormat="1">
      <c r="A37" s="503" t="s">
        <v>283</v>
      </c>
      <c r="B37" s="512"/>
      <c r="C37" s="504">
        <v>44308200</v>
      </c>
      <c r="D37" s="505">
        <v>35106100</v>
      </c>
      <c r="E37" s="505">
        <v>15214700</v>
      </c>
      <c r="F37" s="505">
        <v>16843600</v>
      </c>
      <c r="G37" s="505">
        <v>38057300</v>
      </c>
      <c r="H37" s="505">
        <v>39639100</v>
      </c>
      <c r="I37" s="505">
        <v>34559600</v>
      </c>
      <c r="J37" s="505">
        <v>17074700</v>
      </c>
      <c r="K37" s="505">
        <v>15092400</v>
      </c>
      <c r="L37" s="505">
        <v>35852100</v>
      </c>
      <c r="M37" s="505">
        <v>47146900</v>
      </c>
      <c r="N37" s="505">
        <f>SUM(N35:N36)</f>
        <v>46367500</v>
      </c>
      <c r="O37" s="506">
        <f>SUM(C37:N37)</f>
        <v>385262200</v>
      </c>
    </row>
    <row r="38" spans="1:15" s="513" customFormat="1">
      <c r="A38" s="503" t="s">
        <v>284</v>
      </c>
      <c r="B38" s="503" t="s">
        <v>279</v>
      </c>
      <c r="C38" s="504"/>
      <c r="D38" s="505"/>
      <c r="E38" s="505"/>
      <c r="F38" s="505"/>
      <c r="G38" s="505"/>
      <c r="H38" s="505"/>
      <c r="I38" s="505"/>
      <c r="J38" s="505"/>
      <c r="K38" s="505"/>
      <c r="L38" s="505"/>
      <c r="M38" s="505"/>
      <c r="N38" s="505"/>
      <c r="O38" s="506"/>
    </row>
    <row r="39" spans="1:15" s="513" customFormat="1">
      <c r="A39" s="507"/>
      <c r="B39" s="508" t="s">
        <v>280</v>
      </c>
      <c r="C39" s="509">
        <v>8185000</v>
      </c>
      <c r="D39" s="510">
        <v>6907000</v>
      </c>
      <c r="E39" s="510">
        <v>6654000</v>
      </c>
      <c r="F39" s="510">
        <v>1477000</v>
      </c>
      <c r="G39" s="510">
        <v>8055000</v>
      </c>
      <c r="H39" s="510">
        <v>5229000</v>
      </c>
      <c r="I39" s="510">
        <v>4786000</v>
      </c>
      <c r="J39" s="510">
        <v>3687000</v>
      </c>
      <c r="K39" s="510">
        <v>4409000</v>
      </c>
      <c r="L39" s="510">
        <v>5798000</v>
      </c>
      <c r="M39" s="510">
        <v>6538000</v>
      </c>
      <c r="N39" s="510">
        <v>7242000</v>
      </c>
      <c r="O39" s="511">
        <f>SUM(C39:N39)</f>
        <v>68967000</v>
      </c>
    </row>
    <row r="40" spans="1:15" s="513" customFormat="1">
      <c r="A40" s="507"/>
      <c r="B40" s="508" t="s">
        <v>281</v>
      </c>
      <c r="C40" s="509">
        <v>-63000</v>
      </c>
      <c r="D40" s="510">
        <v>-51000</v>
      </c>
      <c r="E40" s="510">
        <v>-56000</v>
      </c>
      <c r="F40" s="510">
        <v>-61000</v>
      </c>
      <c r="G40" s="510">
        <v>-55000</v>
      </c>
      <c r="H40" s="510">
        <v>-44000</v>
      </c>
      <c r="I40" s="510">
        <v>-47000</v>
      </c>
      <c r="J40" s="510">
        <v>-48000</v>
      </c>
      <c r="K40" s="510">
        <v>-45000</v>
      </c>
      <c r="L40" s="510">
        <v>-53000</v>
      </c>
      <c r="M40" s="510">
        <v>-61000</v>
      </c>
      <c r="N40" s="510">
        <v>-63000</v>
      </c>
      <c r="O40" s="511">
        <f>SUM(C40:N40)</f>
        <v>-647000</v>
      </c>
    </row>
    <row r="41" spans="1:15" s="513" customFormat="1">
      <c r="A41" s="503" t="s">
        <v>285</v>
      </c>
      <c r="B41" s="512"/>
      <c r="C41" s="504">
        <v>8122000</v>
      </c>
      <c r="D41" s="505">
        <v>6856000</v>
      </c>
      <c r="E41" s="505">
        <v>6598000</v>
      </c>
      <c r="F41" s="505">
        <v>1416000</v>
      </c>
      <c r="G41" s="505">
        <v>8000000</v>
      </c>
      <c r="H41" s="505">
        <v>5185000</v>
      </c>
      <c r="I41" s="505">
        <v>4739000</v>
      </c>
      <c r="J41" s="505">
        <v>3639000</v>
      </c>
      <c r="K41" s="505">
        <v>4364000</v>
      </c>
      <c r="L41" s="505">
        <v>5745000</v>
      </c>
      <c r="M41" s="505">
        <v>6477000</v>
      </c>
      <c r="N41" s="505">
        <f>SUM(N39:N40)</f>
        <v>7179000</v>
      </c>
      <c r="O41" s="506">
        <f>SUM(C41:N41)</f>
        <v>68320000</v>
      </c>
    </row>
    <row r="42" spans="1:15" s="513" customFormat="1">
      <c r="A42" s="503" t="s">
        <v>286</v>
      </c>
      <c r="B42" s="503" t="s">
        <v>279</v>
      </c>
      <c r="C42" s="504"/>
      <c r="D42" s="505"/>
      <c r="E42" s="505"/>
      <c r="F42" s="505"/>
      <c r="G42" s="505"/>
      <c r="H42" s="505"/>
      <c r="I42" s="505"/>
      <c r="J42" s="505"/>
      <c r="K42" s="505"/>
      <c r="L42" s="505"/>
      <c r="M42" s="505"/>
      <c r="N42" s="505"/>
      <c r="O42" s="506"/>
    </row>
    <row r="43" spans="1:15" s="513" customFormat="1">
      <c r="A43" s="507"/>
      <c r="B43" s="508" t="s">
        <v>280</v>
      </c>
      <c r="C43" s="509">
        <v>17555000</v>
      </c>
      <c r="D43" s="510">
        <v>15350000</v>
      </c>
      <c r="E43" s="510">
        <v>16043000</v>
      </c>
      <c r="F43" s="510">
        <v>17764000</v>
      </c>
      <c r="G43" s="510">
        <v>17552000</v>
      </c>
      <c r="H43" s="510">
        <v>6609000</v>
      </c>
      <c r="I43" s="510">
        <v>7342000</v>
      </c>
      <c r="J43" s="510">
        <v>0</v>
      </c>
      <c r="K43" s="510">
        <v>0</v>
      </c>
      <c r="L43" s="510">
        <v>888000</v>
      </c>
      <c r="M43" s="510">
        <v>12578000</v>
      </c>
      <c r="N43" s="510">
        <v>16116000</v>
      </c>
      <c r="O43" s="511">
        <f>SUM(C43:N43)</f>
        <v>127797000</v>
      </c>
    </row>
    <row r="44" spans="1:15" s="513" customFormat="1">
      <c r="A44" s="507"/>
      <c r="B44" s="508" t="s">
        <v>281</v>
      </c>
      <c r="C44" s="509">
        <v>-68000</v>
      </c>
      <c r="D44" s="510">
        <v>-56000</v>
      </c>
      <c r="E44" s="510">
        <v>-67000</v>
      </c>
      <c r="F44" s="510">
        <v>-57000</v>
      </c>
      <c r="G44" s="510">
        <v>-44000</v>
      </c>
      <c r="H44" s="510">
        <v>-40000</v>
      </c>
      <c r="I44" s="510">
        <v>-31000</v>
      </c>
      <c r="J44" s="510">
        <v>-27000</v>
      </c>
      <c r="K44" s="510">
        <v>-30000</v>
      </c>
      <c r="L44" s="510">
        <v>-52000</v>
      </c>
      <c r="M44" s="510">
        <v>-82000</v>
      </c>
      <c r="N44" s="510">
        <v>-76000</v>
      </c>
      <c r="O44" s="511">
        <f>SUM(C44:N44)</f>
        <v>-630000</v>
      </c>
    </row>
    <row r="45" spans="1:15" s="513" customFormat="1">
      <c r="A45" s="503" t="s">
        <v>287</v>
      </c>
      <c r="B45" s="512"/>
      <c r="C45" s="504">
        <v>17487000</v>
      </c>
      <c r="D45" s="505">
        <v>15294000</v>
      </c>
      <c r="E45" s="505">
        <v>15976000</v>
      </c>
      <c r="F45" s="505">
        <v>17707000</v>
      </c>
      <c r="G45" s="505">
        <v>17508000</v>
      </c>
      <c r="H45" s="505">
        <v>6569000</v>
      </c>
      <c r="I45" s="505">
        <v>7311000</v>
      </c>
      <c r="J45" s="505">
        <v>-27000</v>
      </c>
      <c r="K45" s="505">
        <v>-30000</v>
      </c>
      <c r="L45" s="505">
        <v>836000</v>
      </c>
      <c r="M45" s="505">
        <v>12496000</v>
      </c>
      <c r="N45" s="505">
        <f>SUM(N43:N44)</f>
        <v>16040000</v>
      </c>
      <c r="O45" s="506">
        <f>SUM(C45:N45)</f>
        <v>127167000</v>
      </c>
    </row>
    <row r="46" spans="1:15" s="513" customFormat="1">
      <c r="A46" s="503" t="s">
        <v>288</v>
      </c>
      <c r="B46" s="503" t="s">
        <v>279</v>
      </c>
      <c r="C46" s="504"/>
      <c r="D46" s="505"/>
      <c r="E46" s="505"/>
      <c r="F46" s="505"/>
      <c r="G46" s="505"/>
      <c r="H46" s="505"/>
      <c r="I46" s="505"/>
      <c r="J46" s="505"/>
      <c r="K46" s="505"/>
      <c r="L46" s="505"/>
      <c r="M46" s="505"/>
      <c r="N46" s="505"/>
      <c r="O46" s="506"/>
    </row>
    <row r="47" spans="1:15" s="513" customFormat="1">
      <c r="A47" s="507"/>
      <c r="B47" s="508" t="s">
        <v>280</v>
      </c>
      <c r="C47" s="509"/>
      <c r="D47" s="510"/>
      <c r="E47" s="510"/>
      <c r="F47" s="510"/>
      <c r="G47" s="510"/>
      <c r="H47" s="510"/>
      <c r="I47" s="510"/>
      <c r="J47" s="510"/>
      <c r="K47" s="510"/>
      <c r="L47" s="510"/>
      <c r="M47" s="510"/>
      <c r="N47" s="510"/>
      <c r="O47" s="511"/>
    </row>
    <row r="48" spans="1:15" s="513" customFormat="1">
      <c r="A48" s="503" t="s">
        <v>289</v>
      </c>
      <c r="B48" s="512"/>
      <c r="C48" s="504"/>
      <c r="D48" s="505"/>
      <c r="E48" s="505"/>
      <c r="F48" s="505"/>
      <c r="G48" s="505"/>
      <c r="H48" s="505"/>
      <c r="I48" s="505"/>
      <c r="J48" s="505"/>
      <c r="K48" s="505"/>
      <c r="L48" s="505"/>
      <c r="M48" s="505"/>
      <c r="N48" s="505"/>
      <c r="O48" s="506"/>
    </row>
    <row r="49" spans="1:15" s="513" customFormat="1">
      <c r="A49" s="503" t="s">
        <v>181</v>
      </c>
      <c r="B49" s="503" t="s">
        <v>279</v>
      </c>
      <c r="C49" s="504"/>
      <c r="D49" s="505"/>
      <c r="E49" s="505"/>
      <c r="F49" s="505"/>
      <c r="G49" s="505"/>
      <c r="H49" s="505"/>
      <c r="I49" s="505"/>
      <c r="J49" s="505"/>
      <c r="K49" s="505"/>
      <c r="L49" s="505"/>
      <c r="M49" s="505"/>
      <c r="N49" s="505"/>
      <c r="O49" s="506"/>
    </row>
    <row r="50" spans="1:15" s="513" customFormat="1">
      <c r="A50" s="507"/>
      <c r="B50" s="508" t="s">
        <v>280</v>
      </c>
      <c r="C50" s="509">
        <v>36457300</v>
      </c>
      <c r="D50" s="510">
        <v>24901900</v>
      </c>
      <c r="E50" s="510">
        <v>9525800</v>
      </c>
      <c r="F50" s="510">
        <v>19568700</v>
      </c>
      <c r="G50" s="510">
        <v>17054900</v>
      </c>
      <c r="H50" s="510">
        <v>37907500</v>
      </c>
      <c r="I50" s="510">
        <v>32326700</v>
      </c>
      <c r="J50" s="510">
        <v>15801400</v>
      </c>
      <c r="K50" s="510">
        <v>23709000</v>
      </c>
      <c r="L50" s="510">
        <v>40043800</v>
      </c>
      <c r="M50" s="510">
        <v>41974200</v>
      </c>
      <c r="N50" s="510">
        <v>34902700</v>
      </c>
      <c r="O50" s="511">
        <f>SUM(C50:N50)</f>
        <v>334173900</v>
      </c>
    </row>
    <row r="51" spans="1:15" s="513" customFormat="1">
      <c r="A51" s="507"/>
      <c r="B51" s="508" t="s">
        <v>281</v>
      </c>
      <c r="C51" s="509">
        <v>-41600</v>
      </c>
      <c r="D51" s="510">
        <v>-35900</v>
      </c>
      <c r="E51" s="510">
        <v>-47800</v>
      </c>
      <c r="F51" s="510">
        <v>-38200</v>
      </c>
      <c r="G51" s="510">
        <v>-30720</v>
      </c>
      <c r="H51" s="510">
        <v>-30000</v>
      </c>
      <c r="I51" s="510">
        <v>-26600</v>
      </c>
      <c r="J51" s="510">
        <v>-24300</v>
      </c>
      <c r="K51" s="510">
        <v>-24300</v>
      </c>
      <c r="L51" s="510">
        <v>-25500</v>
      </c>
      <c r="M51" s="510">
        <v>-28100</v>
      </c>
      <c r="N51" s="510">
        <v>-29700</v>
      </c>
      <c r="O51" s="511">
        <f>SUM(C51:N51)</f>
        <v>-382720</v>
      </c>
    </row>
    <row r="52" spans="1:15" s="513" customFormat="1">
      <c r="A52" s="503" t="s">
        <v>290</v>
      </c>
      <c r="B52" s="512"/>
      <c r="C52" s="504">
        <v>36415700</v>
      </c>
      <c r="D52" s="505">
        <v>24866000</v>
      </c>
      <c r="E52" s="505">
        <v>9478000</v>
      </c>
      <c r="F52" s="505">
        <v>19530500</v>
      </c>
      <c r="G52" s="505">
        <v>17024180</v>
      </c>
      <c r="H52" s="505">
        <v>37877500</v>
      </c>
      <c r="I52" s="505">
        <v>32300100</v>
      </c>
      <c r="J52" s="505">
        <v>15777100</v>
      </c>
      <c r="K52" s="505">
        <v>23684700</v>
      </c>
      <c r="L52" s="505">
        <v>40018300</v>
      </c>
      <c r="M52" s="505">
        <v>41946100</v>
      </c>
      <c r="N52" s="505">
        <f>SUM(N50:N51)</f>
        <v>34873000</v>
      </c>
      <c r="O52" s="506">
        <f>SUM(C52:N52)</f>
        <v>333791180</v>
      </c>
    </row>
    <row r="53" spans="1:15" s="513" customFormat="1">
      <c r="A53" s="169" t="s">
        <v>255</v>
      </c>
      <c r="B53" s="168"/>
      <c r="C53" s="167">
        <v>106332900</v>
      </c>
      <c r="D53" s="166">
        <v>82122100</v>
      </c>
      <c r="E53" s="166">
        <v>47266700</v>
      </c>
      <c r="F53" s="166">
        <v>55497100</v>
      </c>
      <c r="G53" s="166">
        <v>80589480</v>
      </c>
      <c r="H53" s="166">
        <v>89270600</v>
      </c>
      <c r="I53" s="166">
        <v>78909700</v>
      </c>
      <c r="J53" s="166">
        <v>36463800</v>
      </c>
      <c r="K53" s="166">
        <v>43111100</v>
      </c>
      <c r="L53" s="166">
        <v>82451400</v>
      </c>
      <c r="M53" s="166">
        <v>108066000</v>
      </c>
      <c r="N53" s="166">
        <f>N37+N41+N45+N52</f>
        <v>104459500</v>
      </c>
      <c r="O53" s="165">
        <f>SUM(C53:N53)</f>
        <v>914540380</v>
      </c>
    </row>
    <row r="55" spans="1:15">
      <c r="B55" s="154" t="s">
        <v>179</v>
      </c>
      <c r="C55" s="163">
        <f t="shared" ref="C55:O55" si="4">(C41+C45)/1000</f>
        <v>25609</v>
      </c>
      <c r="D55" s="163">
        <f t="shared" si="4"/>
        <v>22150</v>
      </c>
      <c r="E55" s="163">
        <f t="shared" si="4"/>
        <v>22574</v>
      </c>
      <c r="F55" s="163">
        <f t="shared" si="4"/>
        <v>19123</v>
      </c>
      <c r="G55" s="163">
        <f t="shared" si="4"/>
        <v>25508</v>
      </c>
      <c r="H55" s="163">
        <f t="shared" si="4"/>
        <v>11754</v>
      </c>
      <c r="I55" s="163">
        <f t="shared" si="4"/>
        <v>12050</v>
      </c>
      <c r="J55" s="163">
        <f t="shared" si="4"/>
        <v>3612</v>
      </c>
      <c r="K55" s="163">
        <f t="shared" si="4"/>
        <v>4334</v>
      </c>
      <c r="L55" s="163">
        <f t="shared" si="4"/>
        <v>6581</v>
      </c>
      <c r="M55" s="163">
        <f t="shared" si="4"/>
        <v>18973</v>
      </c>
      <c r="N55" s="163">
        <f t="shared" si="4"/>
        <v>23219</v>
      </c>
      <c r="O55" s="162">
        <f t="shared" si="4"/>
        <v>195487</v>
      </c>
    </row>
    <row r="56" spans="1:15">
      <c r="B56" s="153" t="s">
        <v>180</v>
      </c>
      <c r="C56" s="152">
        <f t="shared" ref="C56:O56" si="5">C37/1000</f>
        <v>44308.2</v>
      </c>
      <c r="D56" s="152">
        <f t="shared" si="5"/>
        <v>35106.1</v>
      </c>
      <c r="E56" s="152">
        <f t="shared" si="5"/>
        <v>15214.7</v>
      </c>
      <c r="F56" s="152">
        <f t="shared" si="5"/>
        <v>16843.599999999999</v>
      </c>
      <c r="G56" s="152">
        <f t="shared" si="5"/>
        <v>38057.300000000003</v>
      </c>
      <c r="H56" s="152">
        <f t="shared" si="5"/>
        <v>39639.1</v>
      </c>
      <c r="I56" s="152">
        <f t="shared" si="5"/>
        <v>34559.599999999999</v>
      </c>
      <c r="J56" s="152">
        <f t="shared" si="5"/>
        <v>17074.7</v>
      </c>
      <c r="K56" s="152">
        <f t="shared" si="5"/>
        <v>15092.4</v>
      </c>
      <c r="L56" s="152">
        <f t="shared" si="5"/>
        <v>35852.1</v>
      </c>
      <c r="M56" s="152">
        <f t="shared" si="5"/>
        <v>47146.9</v>
      </c>
      <c r="N56" s="152">
        <f t="shared" si="5"/>
        <v>46367.5</v>
      </c>
      <c r="O56" s="151">
        <f t="shared" si="5"/>
        <v>385262.2</v>
      </c>
    </row>
    <row r="57" spans="1:15">
      <c r="B57" s="150" t="s">
        <v>181</v>
      </c>
      <c r="C57" s="149">
        <f t="shared" ref="C57:O57" si="6">C52/1000</f>
        <v>36415.699999999997</v>
      </c>
      <c r="D57" s="149">
        <f t="shared" si="6"/>
        <v>24866</v>
      </c>
      <c r="E57" s="149">
        <f t="shared" si="6"/>
        <v>9478</v>
      </c>
      <c r="F57" s="149">
        <f t="shared" si="6"/>
        <v>19530.5</v>
      </c>
      <c r="G57" s="149">
        <f t="shared" si="6"/>
        <v>17024.18</v>
      </c>
      <c r="H57" s="149">
        <f t="shared" si="6"/>
        <v>37877.5</v>
      </c>
      <c r="I57" s="149">
        <f t="shared" si="6"/>
        <v>32300.1</v>
      </c>
      <c r="J57" s="149">
        <f t="shared" si="6"/>
        <v>15777.1</v>
      </c>
      <c r="K57" s="149">
        <f t="shared" si="6"/>
        <v>23684.7</v>
      </c>
      <c r="L57" s="149">
        <f t="shared" si="6"/>
        <v>40018.300000000003</v>
      </c>
      <c r="M57" s="149">
        <f t="shared" si="6"/>
        <v>41946.1</v>
      </c>
      <c r="N57" s="149">
        <f t="shared" si="6"/>
        <v>34873</v>
      </c>
      <c r="O57" s="148">
        <f t="shared" si="6"/>
        <v>333791.18</v>
      </c>
    </row>
    <row r="60" spans="1:15">
      <c r="A60" s="174" t="s">
        <v>143</v>
      </c>
    </row>
    <row r="61" spans="1:15">
      <c r="A61" s="503" t="s">
        <v>239</v>
      </c>
      <c r="B61" s="512"/>
      <c r="C61" s="503" t="s">
        <v>240</v>
      </c>
      <c r="D61" s="512"/>
      <c r="E61" s="512"/>
      <c r="F61" s="512"/>
      <c r="G61" s="512"/>
      <c r="H61" s="512"/>
      <c r="I61" s="512"/>
      <c r="J61" s="512"/>
      <c r="K61" s="512"/>
      <c r="L61" s="512"/>
      <c r="M61" s="512"/>
      <c r="N61" s="512"/>
      <c r="O61" s="172"/>
    </row>
    <row r="62" spans="1:15">
      <c r="A62" s="503" t="s">
        <v>241</v>
      </c>
      <c r="B62" s="503" t="s">
        <v>242</v>
      </c>
      <c r="C62" s="503" t="s">
        <v>243</v>
      </c>
      <c r="D62" s="171" t="s">
        <v>244</v>
      </c>
      <c r="E62" s="171" t="s">
        <v>245</v>
      </c>
      <c r="F62" s="171" t="s">
        <v>246</v>
      </c>
      <c r="G62" s="171" t="s">
        <v>247</v>
      </c>
      <c r="H62" s="171" t="s">
        <v>248</v>
      </c>
      <c r="I62" s="171" t="s">
        <v>249</v>
      </c>
      <c r="J62" s="171" t="s">
        <v>250</v>
      </c>
      <c r="K62" s="171" t="s">
        <v>251</v>
      </c>
      <c r="L62" s="171" t="s">
        <v>252</v>
      </c>
      <c r="M62" s="171" t="s">
        <v>253</v>
      </c>
      <c r="N62" s="171" t="s">
        <v>254</v>
      </c>
      <c r="O62" s="170" t="s">
        <v>255</v>
      </c>
    </row>
    <row r="63" spans="1:15">
      <c r="A63" s="503" t="s">
        <v>291</v>
      </c>
      <c r="B63" s="503" t="s">
        <v>292</v>
      </c>
      <c r="C63" s="504"/>
      <c r="D63" s="505"/>
      <c r="E63" s="505"/>
      <c r="F63" s="505"/>
      <c r="G63" s="505"/>
      <c r="H63" s="505"/>
      <c r="I63" s="505"/>
      <c r="J63" s="505"/>
      <c r="K63" s="505"/>
      <c r="L63" s="505"/>
      <c r="M63" s="505"/>
      <c r="N63" s="505"/>
      <c r="O63" s="506"/>
    </row>
    <row r="64" spans="1:15">
      <c r="A64" s="507"/>
      <c r="B64" s="508" t="s">
        <v>293</v>
      </c>
      <c r="C64" s="509"/>
      <c r="D64" s="510"/>
      <c r="E64" s="510"/>
      <c r="F64" s="510"/>
      <c r="G64" s="510"/>
      <c r="H64" s="510"/>
      <c r="I64" s="510"/>
      <c r="J64" s="510"/>
      <c r="K64" s="510"/>
      <c r="L64" s="510"/>
      <c r="M64" s="510"/>
      <c r="N64" s="510"/>
      <c r="O64" s="511"/>
    </row>
    <row r="65" spans="1:15">
      <c r="A65" s="507"/>
      <c r="B65" s="508" t="s">
        <v>294</v>
      </c>
      <c r="C65" s="509">
        <v>42654848</v>
      </c>
      <c r="D65" s="510">
        <v>55543616</v>
      </c>
      <c r="E65" s="510">
        <v>43456448</v>
      </c>
      <c r="F65" s="510">
        <v>41533312</v>
      </c>
      <c r="G65" s="510">
        <v>20557056</v>
      </c>
      <c r="H65" s="510">
        <v>28600560</v>
      </c>
      <c r="I65" s="510">
        <v>25190888</v>
      </c>
      <c r="J65" s="510">
        <v>33257064</v>
      </c>
      <c r="K65" s="510">
        <v>27038840</v>
      </c>
      <c r="L65" s="510">
        <v>20580304</v>
      </c>
      <c r="M65" s="510">
        <v>37862256</v>
      </c>
      <c r="N65" s="510">
        <v>34637600</v>
      </c>
      <c r="O65" s="511">
        <f>SUM(C65:N65)</f>
        <v>410912792</v>
      </c>
    </row>
    <row r="66" spans="1:15">
      <c r="A66" s="503" t="s">
        <v>295</v>
      </c>
      <c r="B66" s="512"/>
      <c r="C66" s="504">
        <v>42654848</v>
      </c>
      <c r="D66" s="505">
        <v>55543616</v>
      </c>
      <c r="E66" s="505">
        <v>43456448</v>
      </c>
      <c r="F66" s="505">
        <v>41533312</v>
      </c>
      <c r="G66" s="505">
        <v>20557056</v>
      </c>
      <c r="H66" s="505">
        <v>28600560</v>
      </c>
      <c r="I66" s="505">
        <v>25190888</v>
      </c>
      <c r="J66" s="505">
        <v>33257064</v>
      </c>
      <c r="K66" s="505">
        <v>27038840</v>
      </c>
      <c r="L66" s="505">
        <v>20580304</v>
      </c>
      <c r="M66" s="505">
        <v>37862256</v>
      </c>
      <c r="N66" s="505">
        <f>N65</f>
        <v>34637600</v>
      </c>
      <c r="O66" s="506">
        <f>SUM(C66:N66)</f>
        <v>410912792</v>
      </c>
    </row>
    <row r="67" spans="1:15">
      <c r="A67" s="503" t="s">
        <v>218</v>
      </c>
      <c r="B67" s="503" t="s">
        <v>292</v>
      </c>
      <c r="C67" s="504"/>
      <c r="D67" s="505"/>
      <c r="E67" s="505"/>
      <c r="F67" s="505"/>
      <c r="G67" s="505"/>
      <c r="H67" s="505"/>
      <c r="I67" s="505"/>
      <c r="J67" s="505"/>
      <c r="K67" s="505"/>
      <c r="L67" s="505"/>
      <c r="M67" s="505"/>
      <c r="N67" s="505"/>
      <c r="O67" s="506"/>
    </row>
    <row r="68" spans="1:15">
      <c r="A68" s="507"/>
      <c r="B68" s="508" t="s">
        <v>293</v>
      </c>
      <c r="C68" s="509"/>
      <c r="D68" s="510"/>
      <c r="E68" s="510"/>
      <c r="F68" s="510"/>
      <c r="G68" s="510"/>
      <c r="H68" s="510"/>
      <c r="I68" s="510"/>
      <c r="J68" s="510"/>
      <c r="K68" s="510"/>
      <c r="L68" s="510"/>
      <c r="M68" s="510"/>
      <c r="N68" s="510"/>
      <c r="O68" s="511"/>
    </row>
    <row r="69" spans="1:15">
      <c r="A69" s="507"/>
      <c r="B69" s="508" t="s">
        <v>294</v>
      </c>
      <c r="C69" s="509">
        <v>81165916</v>
      </c>
      <c r="D69" s="510">
        <v>122525699</v>
      </c>
      <c r="E69" s="510">
        <v>93914044</v>
      </c>
      <c r="F69" s="510">
        <v>91343650</v>
      </c>
      <c r="G69" s="510">
        <v>43565187</v>
      </c>
      <c r="H69" s="510">
        <v>80903950</v>
      </c>
      <c r="I69" s="510">
        <v>59524750</v>
      </c>
      <c r="J69" s="510">
        <v>68782350</v>
      </c>
      <c r="K69" s="510">
        <v>58738900</v>
      </c>
      <c r="L69" s="510">
        <v>42756650</v>
      </c>
      <c r="M69" s="510">
        <v>74477900</v>
      </c>
      <c r="N69" s="510">
        <v>65077650</v>
      </c>
      <c r="O69" s="511">
        <f>SUM(C69:N69)</f>
        <v>882776646</v>
      </c>
    </row>
    <row r="70" spans="1:15">
      <c r="A70" s="503" t="s">
        <v>296</v>
      </c>
      <c r="B70" s="512"/>
      <c r="C70" s="504">
        <v>81165916</v>
      </c>
      <c r="D70" s="505">
        <v>122525699</v>
      </c>
      <c r="E70" s="505">
        <v>93914044</v>
      </c>
      <c r="F70" s="505">
        <v>91343650</v>
      </c>
      <c r="G70" s="505">
        <v>43565187</v>
      </c>
      <c r="H70" s="505">
        <v>80903950</v>
      </c>
      <c r="I70" s="505">
        <v>59524750</v>
      </c>
      <c r="J70" s="505">
        <v>68782350</v>
      </c>
      <c r="K70" s="505">
        <v>58738900</v>
      </c>
      <c r="L70" s="505">
        <v>42756650</v>
      </c>
      <c r="M70" s="505">
        <v>74477900</v>
      </c>
      <c r="N70" s="505">
        <f>N69</f>
        <v>65077650</v>
      </c>
      <c r="O70" s="506">
        <f>SUM(C70:N70)</f>
        <v>882776646</v>
      </c>
    </row>
    <row r="71" spans="1:15">
      <c r="A71" s="503" t="s">
        <v>297</v>
      </c>
      <c r="B71" s="503" t="s">
        <v>292</v>
      </c>
      <c r="C71" s="504"/>
      <c r="D71" s="505"/>
      <c r="E71" s="505"/>
      <c r="F71" s="505"/>
      <c r="G71" s="505"/>
      <c r="H71" s="505"/>
      <c r="I71" s="505"/>
      <c r="J71" s="505"/>
      <c r="K71" s="505"/>
      <c r="L71" s="505"/>
      <c r="M71" s="505"/>
      <c r="N71" s="505"/>
      <c r="O71" s="506"/>
    </row>
    <row r="72" spans="1:15">
      <c r="A72" s="507"/>
      <c r="B72" s="508" t="s">
        <v>293</v>
      </c>
      <c r="C72" s="509"/>
      <c r="D72" s="510"/>
      <c r="E72" s="510"/>
      <c r="F72" s="510"/>
      <c r="G72" s="510"/>
      <c r="H72" s="510"/>
      <c r="I72" s="510"/>
      <c r="J72" s="510"/>
      <c r="K72" s="510"/>
      <c r="L72" s="510"/>
      <c r="M72" s="510"/>
      <c r="N72" s="510"/>
      <c r="O72" s="511"/>
    </row>
    <row r="73" spans="1:15">
      <c r="A73" s="503" t="s">
        <v>298</v>
      </c>
      <c r="B73" s="512"/>
      <c r="C73" s="504"/>
      <c r="D73" s="505"/>
      <c r="E73" s="505"/>
      <c r="F73" s="505"/>
      <c r="G73" s="505"/>
      <c r="H73" s="505"/>
      <c r="I73" s="505"/>
      <c r="J73" s="505"/>
      <c r="K73" s="505"/>
      <c r="L73" s="505"/>
      <c r="M73" s="505"/>
      <c r="N73" s="505"/>
      <c r="O73" s="506"/>
    </row>
    <row r="74" spans="1:15">
      <c r="A74" s="503" t="s">
        <v>299</v>
      </c>
      <c r="B74" s="503" t="s">
        <v>292</v>
      </c>
      <c r="C74" s="504"/>
      <c r="D74" s="505"/>
      <c r="E74" s="505"/>
      <c r="F74" s="505"/>
      <c r="G74" s="505"/>
      <c r="H74" s="505"/>
      <c r="I74" s="505"/>
      <c r="J74" s="505"/>
      <c r="K74" s="505"/>
      <c r="L74" s="505"/>
      <c r="M74" s="505"/>
      <c r="N74" s="505"/>
      <c r="O74" s="506"/>
    </row>
    <row r="75" spans="1:15">
      <c r="A75" s="507"/>
      <c r="B75" s="508" t="s">
        <v>293</v>
      </c>
      <c r="C75" s="509"/>
      <c r="D75" s="510"/>
      <c r="E75" s="510"/>
      <c r="F75" s="510"/>
      <c r="G75" s="510"/>
      <c r="H75" s="510"/>
      <c r="I75" s="510"/>
      <c r="J75" s="510"/>
      <c r="K75" s="510"/>
      <c r="L75" s="510"/>
      <c r="M75" s="510"/>
      <c r="N75" s="510"/>
      <c r="O75" s="511"/>
    </row>
    <row r="76" spans="1:15">
      <c r="A76" s="507"/>
      <c r="B76" s="508" t="s">
        <v>294</v>
      </c>
      <c r="C76" s="509">
        <v>54268516</v>
      </c>
      <c r="D76" s="510">
        <v>84804672</v>
      </c>
      <c r="E76" s="510">
        <v>63563340</v>
      </c>
      <c r="F76" s="510">
        <v>70442856</v>
      </c>
      <c r="G76" s="510">
        <v>34786584</v>
      </c>
      <c r="H76" s="510">
        <v>61905088</v>
      </c>
      <c r="I76" s="510">
        <v>39860848</v>
      </c>
      <c r="J76" s="510">
        <v>52996432</v>
      </c>
      <c r="K76" s="510">
        <v>40137968</v>
      </c>
      <c r="L76" s="510">
        <v>37991216</v>
      </c>
      <c r="M76" s="510">
        <v>51562592</v>
      </c>
      <c r="N76" s="510">
        <v>48676176</v>
      </c>
      <c r="O76" s="511">
        <f>SUM(C76:N76)</f>
        <v>640996288</v>
      </c>
    </row>
    <row r="77" spans="1:15">
      <c r="A77" s="507"/>
      <c r="B77" s="508" t="s">
        <v>300</v>
      </c>
      <c r="C77" s="509">
        <v>-168781</v>
      </c>
      <c r="D77" s="510">
        <v>-86742</v>
      </c>
      <c r="E77" s="510">
        <v>-178613</v>
      </c>
      <c r="F77" s="510">
        <v>-130159</v>
      </c>
      <c r="G77" s="510">
        <v>-283799</v>
      </c>
      <c r="H77" s="510">
        <v>-149310</v>
      </c>
      <c r="I77" s="510">
        <v>-189615</v>
      </c>
      <c r="J77" s="510">
        <v>-285258</v>
      </c>
      <c r="K77" s="510">
        <v>-170581</v>
      </c>
      <c r="L77" s="510">
        <v>-263652</v>
      </c>
      <c r="M77" s="510">
        <v>-221923</v>
      </c>
      <c r="N77" s="510">
        <v>-179354</v>
      </c>
      <c r="O77" s="511">
        <f>SUM(C77:N77)</f>
        <v>-2307787</v>
      </c>
    </row>
    <row r="78" spans="1:15">
      <c r="A78" s="503" t="s">
        <v>301</v>
      </c>
      <c r="B78" s="512"/>
      <c r="C78" s="504">
        <v>54099735</v>
      </c>
      <c r="D78" s="505">
        <v>84717930</v>
      </c>
      <c r="E78" s="505">
        <v>63384727</v>
      </c>
      <c r="F78" s="505">
        <v>70312697</v>
      </c>
      <c r="G78" s="505">
        <v>34502785</v>
      </c>
      <c r="H78" s="505">
        <v>61755778</v>
      </c>
      <c r="I78" s="505">
        <v>39671233</v>
      </c>
      <c r="J78" s="505">
        <v>52711174</v>
      </c>
      <c r="K78" s="505">
        <v>39967387</v>
      </c>
      <c r="L78" s="505">
        <v>37727564</v>
      </c>
      <c r="M78" s="505">
        <v>51340669</v>
      </c>
      <c r="N78" s="505">
        <f>SUM(N76:N77)</f>
        <v>48496822</v>
      </c>
      <c r="O78" s="506">
        <f>SUM(C78:N78)</f>
        <v>638688501</v>
      </c>
    </row>
    <row r="79" spans="1:15">
      <c r="A79" s="169" t="s">
        <v>255</v>
      </c>
      <c r="B79" s="168"/>
      <c r="C79" s="167">
        <v>177920499</v>
      </c>
      <c r="D79" s="166">
        <v>262787245</v>
      </c>
      <c r="E79" s="166">
        <v>200755219</v>
      </c>
      <c r="F79" s="166">
        <v>203189659</v>
      </c>
      <c r="G79" s="166">
        <v>98625028</v>
      </c>
      <c r="H79" s="166">
        <v>171260288</v>
      </c>
      <c r="I79" s="166">
        <v>124386871</v>
      </c>
      <c r="J79" s="166">
        <v>154750588</v>
      </c>
      <c r="K79" s="166">
        <v>125745127</v>
      </c>
      <c r="L79" s="166">
        <v>101064518</v>
      </c>
      <c r="M79" s="166">
        <v>163680825</v>
      </c>
      <c r="N79" s="166">
        <f>N66+N70+N78</f>
        <v>148212072</v>
      </c>
      <c r="O79" s="165">
        <f>SUM(C79:N79)</f>
        <v>1932377939</v>
      </c>
    </row>
    <row r="81" spans="1:15">
      <c r="B81" s="147" t="s">
        <v>217</v>
      </c>
      <c r="C81" s="163">
        <f t="shared" ref="C81:O81" si="7">C66/1000</f>
        <v>42654.847999999998</v>
      </c>
      <c r="D81" s="163">
        <f t="shared" si="7"/>
        <v>55543.616000000002</v>
      </c>
      <c r="E81" s="163">
        <f t="shared" si="7"/>
        <v>43456.447999999997</v>
      </c>
      <c r="F81" s="163">
        <f t="shared" si="7"/>
        <v>41533.311999999998</v>
      </c>
      <c r="G81" s="163">
        <f t="shared" si="7"/>
        <v>20557.056</v>
      </c>
      <c r="H81" s="163">
        <f t="shared" si="7"/>
        <v>28600.560000000001</v>
      </c>
      <c r="I81" s="163">
        <f t="shared" si="7"/>
        <v>25190.887999999999</v>
      </c>
      <c r="J81" s="163">
        <f t="shared" si="7"/>
        <v>33257.063999999998</v>
      </c>
      <c r="K81" s="163">
        <f t="shared" si="7"/>
        <v>27038.84</v>
      </c>
      <c r="L81" s="163">
        <f t="shared" si="7"/>
        <v>20580.304</v>
      </c>
      <c r="M81" s="163">
        <f t="shared" si="7"/>
        <v>37862.256000000001</v>
      </c>
      <c r="N81" s="163">
        <f t="shared" si="7"/>
        <v>34637.599999999999</v>
      </c>
      <c r="O81" s="162">
        <f t="shared" si="7"/>
        <v>410912.79200000002</v>
      </c>
    </row>
    <row r="82" spans="1:15">
      <c r="B82" s="146" t="s">
        <v>218</v>
      </c>
      <c r="C82" s="152">
        <f t="shared" ref="C82:O82" si="8">C70/1000</f>
        <v>81165.915999999997</v>
      </c>
      <c r="D82" s="152">
        <f t="shared" si="8"/>
        <v>122525.69899999999</v>
      </c>
      <c r="E82" s="152">
        <f t="shared" si="8"/>
        <v>93914.043999999994</v>
      </c>
      <c r="F82" s="152">
        <f t="shared" si="8"/>
        <v>91343.65</v>
      </c>
      <c r="G82" s="152">
        <f t="shared" si="8"/>
        <v>43565.186999999998</v>
      </c>
      <c r="H82" s="152">
        <f t="shared" si="8"/>
        <v>80903.95</v>
      </c>
      <c r="I82" s="152">
        <f t="shared" si="8"/>
        <v>59524.75</v>
      </c>
      <c r="J82" s="152">
        <f t="shared" si="8"/>
        <v>68782.350000000006</v>
      </c>
      <c r="K82" s="152">
        <f t="shared" si="8"/>
        <v>58738.9</v>
      </c>
      <c r="L82" s="152">
        <f t="shared" si="8"/>
        <v>42756.65</v>
      </c>
      <c r="M82" s="152">
        <f t="shared" si="8"/>
        <v>74477.899999999994</v>
      </c>
      <c r="N82" s="152">
        <f t="shared" si="8"/>
        <v>65077.65</v>
      </c>
      <c r="O82" s="151">
        <f t="shared" si="8"/>
        <v>882776.64599999995</v>
      </c>
    </row>
    <row r="83" spans="1:15">
      <c r="B83" s="145" t="s">
        <v>219</v>
      </c>
      <c r="C83" s="152">
        <f t="shared" ref="C83:O83" si="9">C78/1000</f>
        <v>54099.735000000001</v>
      </c>
      <c r="D83" s="152">
        <f t="shared" si="9"/>
        <v>84717.93</v>
      </c>
      <c r="E83" s="152">
        <f t="shared" si="9"/>
        <v>63384.726999999999</v>
      </c>
      <c r="F83" s="152">
        <f t="shared" si="9"/>
        <v>70312.697</v>
      </c>
      <c r="G83" s="152">
        <f t="shared" si="9"/>
        <v>34502.785000000003</v>
      </c>
      <c r="H83" s="152">
        <f t="shared" si="9"/>
        <v>61755.777999999998</v>
      </c>
      <c r="I83" s="152">
        <f t="shared" si="9"/>
        <v>39671.233</v>
      </c>
      <c r="J83" s="152">
        <f t="shared" si="9"/>
        <v>52711.173999999999</v>
      </c>
      <c r="K83" s="152">
        <f t="shared" si="9"/>
        <v>39967.387000000002</v>
      </c>
      <c r="L83" s="152">
        <f t="shared" si="9"/>
        <v>37727.563999999998</v>
      </c>
      <c r="M83" s="152">
        <f t="shared" si="9"/>
        <v>51340.669000000002</v>
      </c>
      <c r="N83" s="152">
        <f t="shared" si="9"/>
        <v>48496.822</v>
      </c>
      <c r="O83" s="151">
        <f t="shared" si="9"/>
        <v>638688.50100000005</v>
      </c>
    </row>
    <row r="84" spans="1:15">
      <c r="B84" s="144" t="s">
        <v>220</v>
      </c>
      <c r="C84" s="149">
        <f t="shared" ref="C84:O84" si="10">C20/1000</f>
        <v>4337</v>
      </c>
      <c r="D84" s="149">
        <f t="shared" si="10"/>
        <v>10887</v>
      </c>
      <c r="E84" s="149">
        <f t="shared" si="10"/>
        <v>5843</v>
      </c>
      <c r="F84" s="149">
        <f t="shared" si="10"/>
        <v>11154</v>
      </c>
      <c r="G84" s="149">
        <f t="shared" si="10"/>
        <v>16026</v>
      </c>
      <c r="H84" s="149">
        <f t="shared" si="10"/>
        <v>15825</v>
      </c>
      <c r="I84" s="149">
        <f t="shared" si="10"/>
        <v>14978</v>
      </c>
      <c r="J84" s="149">
        <f t="shared" si="10"/>
        <v>14117</v>
      </c>
      <c r="K84" s="149">
        <f t="shared" si="10"/>
        <v>9248</v>
      </c>
      <c r="L84" s="149">
        <f t="shared" si="10"/>
        <v>4190</v>
      </c>
      <c r="M84" s="149">
        <f t="shared" si="10"/>
        <v>6553</v>
      </c>
      <c r="N84" s="149">
        <f t="shared" si="10"/>
        <v>6101</v>
      </c>
      <c r="O84" s="148">
        <f t="shared" si="10"/>
        <v>119259</v>
      </c>
    </row>
    <row r="85" spans="1:15">
      <c r="B85" s="143" t="s">
        <v>302</v>
      </c>
      <c r="C85" s="142">
        <f t="shared" ref="C85:O85" si="11">SUM(C81:C84)</f>
        <v>182257.49900000001</v>
      </c>
      <c r="D85" s="142">
        <f t="shared" si="11"/>
        <v>273674.245</v>
      </c>
      <c r="E85" s="142">
        <f t="shared" si="11"/>
        <v>206598.21899999998</v>
      </c>
      <c r="F85" s="142">
        <f t="shared" si="11"/>
        <v>214343.65899999999</v>
      </c>
      <c r="G85" s="142">
        <f t="shared" si="11"/>
        <v>114651.02800000001</v>
      </c>
      <c r="H85" s="142">
        <f t="shared" si="11"/>
        <v>187085.288</v>
      </c>
      <c r="I85" s="142">
        <f t="shared" si="11"/>
        <v>139364.87100000001</v>
      </c>
      <c r="J85" s="142">
        <f t="shared" si="11"/>
        <v>168867.58799999999</v>
      </c>
      <c r="K85" s="142">
        <f t="shared" si="11"/>
        <v>134993.12700000001</v>
      </c>
      <c r="L85" s="142">
        <f t="shared" si="11"/>
        <v>105254.518</v>
      </c>
      <c r="M85" s="142">
        <f t="shared" si="11"/>
        <v>170233.82499999998</v>
      </c>
      <c r="N85" s="142">
        <f t="shared" si="11"/>
        <v>154313.07199999999</v>
      </c>
      <c r="O85" s="141">
        <f t="shared" si="11"/>
        <v>2051636.9390000002</v>
      </c>
    </row>
    <row r="88" spans="1:15">
      <c r="A88" s="513" t="s">
        <v>303</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workbookViewId="0">
      <selection activeCell="G53" sqref="G53"/>
    </sheetView>
  </sheetViews>
  <sheetFormatPr defaultRowHeight="12.75"/>
  <cols>
    <col min="1" max="2" width="9.140625" style="502"/>
    <col min="3" max="3" width="11.5703125" style="502" customWidth="1"/>
    <col min="4" max="4" width="12.5703125" style="502" customWidth="1"/>
    <col min="5" max="5" width="12.140625" style="502" customWidth="1"/>
    <col min="6" max="16384" width="9.140625" style="502"/>
  </cols>
  <sheetData>
    <row r="3" spans="2:5" ht="15">
      <c r="B3" s="465" t="s">
        <v>304</v>
      </c>
    </row>
    <row r="4" spans="2:5" ht="13.5" thickBot="1">
      <c r="B4" s="514" t="s">
        <v>305</v>
      </c>
    </row>
    <row r="5" spans="2:5" ht="13.5" thickBot="1">
      <c r="C5" s="859">
        <v>2018</v>
      </c>
      <c r="D5" s="860"/>
      <c r="E5" s="861"/>
    </row>
    <row r="6" spans="2:5">
      <c r="C6" s="515" t="s">
        <v>181</v>
      </c>
      <c r="D6" s="515" t="s">
        <v>180</v>
      </c>
      <c r="E6" s="515" t="s">
        <v>306</v>
      </c>
    </row>
    <row r="7" spans="2:5">
      <c r="B7" s="516" t="s">
        <v>307</v>
      </c>
      <c r="C7" s="517">
        <v>23231.789077668414</v>
      </c>
      <c r="D7" s="517">
        <v>27019.32408307444</v>
      </c>
      <c r="E7" s="517">
        <v>50251.113160742854</v>
      </c>
    </row>
    <row r="8" spans="2:5">
      <c r="B8" s="516" t="s">
        <v>308</v>
      </c>
      <c r="C8" s="517">
        <v>18520.712250070246</v>
      </c>
      <c r="D8" s="517">
        <v>20221.492652177927</v>
      </c>
      <c r="E8" s="517">
        <v>38742.204902248173</v>
      </c>
    </row>
    <row r="9" spans="2:5">
      <c r="B9" s="516" t="s">
        <v>309</v>
      </c>
      <c r="C9" s="517">
        <v>19534.248654684787</v>
      </c>
      <c r="D9" s="517">
        <v>19379.902194388786</v>
      </c>
      <c r="E9" s="517">
        <v>38914.150849073572</v>
      </c>
    </row>
    <row r="10" spans="2:5">
      <c r="B10" s="516" t="s">
        <v>310</v>
      </c>
      <c r="C10" s="518">
        <v>14811.731501498811</v>
      </c>
      <c r="D10" s="518">
        <v>19357.725334996179</v>
      </c>
      <c r="E10" s="518">
        <v>34169.456836494988</v>
      </c>
    </row>
    <row r="11" spans="2:5">
      <c r="B11" s="516" t="s">
        <v>247</v>
      </c>
      <c r="C11" s="518">
        <v>10580.26096656025</v>
      </c>
      <c r="D11" s="518">
        <v>24898.267837938609</v>
      </c>
      <c r="E11" s="518">
        <v>35478.528804498856</v>
      </c>
    </row>
    <row r="12" spans="2:5">
      <c r="B12" s="516" t="s">
        <v>311</v>
      </c>
      <c r="C12" s="518">
        <v>38339.255370402105</v>
      </c>
      <c r="D12" s="518">
        <v>47038.394443493926</v>
      </c>
      <c r="E12" s="518">
        <v>85377.649813896031</v>
      </c>
    </row>
    <row r="13" spans="2:5">
      <c r="B13" s="516" t="s">
        <v>312</v>
      </c>
      <c r="C13" s="518">
        <v>41739.790243416326</v>
      </c>
      <c r="D13" s="518">
        <v>45476.104621754726</v>
      </c>
      <c r="E13" s="518">
        <v>87215.894865171053</v>
      </c>
    </row>
    <row r="14" spans="2:5">
      <c r="B14" s="516" t="s">
        <v>313</v>
      </c>
      <c r="C14" s="518">
        <v>23051</v>
      </c>
      <c r="D14" s="518">
        <v>31133</v>
      </c>
      <c r="E14" s="518">
        <f>SUM(C14:D14)</f>
        <v>54184</v>
      </c>
    </row>
    <row r="15" spans="2:5">
      <c r="B15" s="516" t="s">
        <v>314</v>
      </c>
      <c r="C15" s="518">
        <v>21975</v>
      </c>
      <c r="D15" s="518">
        <v>22344</v>
      </c>
      <c r="E15" s="518">
        <f>SUM(C15:D15)</f>
        <v>44319</v>
      </c>
    </row>
    <row r="16" spans="2:5">
      <c r="B16" s="516" t="s">
        <v>315</v>
      </c>
      <c r="C16" s="518">
        <v>34306</v>
      </c>
      <c r="D16" s="518">
        <v>31944</v>
      </c>
      <c r="E16" s="518">
        <f>SUM(C16:D16)</f>
        <v>66250</v>
      </c>
    </row>
    <row r="17" spans="2:5">
      <c r="B17" s="516" t="s">
        <v>316</v>
      </c>
      <c r="C17" s="518">
        <v>38819</v>
      </c>
      <c r="D17" s="518">
        <v>39422</v>
      </c>
      <c r="E17" s="518">
        <f>SUM(C17:D17)</f>
        <v>78241</v>
      </c>
    </row>
    <row r="18" spans="2:5">
      <c r="B18" s="519" t="s">
        <v>317</v>
      </c>
      <c r="C18" s="520">
        <v>27187</v>
      </c>
      <c r="D18" s="520">
        <v>31855</v>
      </c>
      <c r="E18" s="520">
        <f>SUM(C18:D18)</f>
        <v>59042</v>
      </c>
    </row>
    <row r="19" spans="2:5">
      <c r="B19" s="516" t="s">
        <v>318</v>
      </c>
      <c r="C19" s="518">
        <v>312095</v>
      </c>
      <c r="D19" s="518">
        <v>360090</v>
      </c>
      <c r="E19" s="518">
        <v>672184</v>
      </c>
    </row>
    <row r="20" spans="2:5">
      <c r="B20" s="521" t="s">
        <v>319</v>
      </c>
      <c r="C20" s="502" t="s">
        <v>320</v>
      </c>
    </row>
    <row r="22" spans="2:5" ht="15">
      <c r="B22" s="465" t="s">
        <v>321</v>
      </c>
    </row>
    <row r="23" spans="2:5" ht="13.5" thickBot="1">
      <c r="B23" s="514" t="s">
        <v>305</v>
      </c>
    </row>
    <row r="24" spans="2:5" ht="13.5" thickBot="1">
      <c r="B24" s="514"/>
      <c r="C24" s="859">
        <v>2018</v>
      </c>
      <c r="D24" s="860"/>
      <c r="E24" s="861"/>
    </row>
    <row r="25" spans="2:5">
      <c r="C25" s="515" t="s">
        <v>322</v>
      </c>
      <c r="D25" s="515" t="s">
        <v>323</v>
      </c>
      <c r="E25" s="515" t="s">
        <v>122</v>
      </c>
    </row>
    <row r="26" spans="2:5">
      <c r="B26" s="516" t="s">
        <v>307</v>
      </c>
      <c r="C26" s="517">
        <v>6957.8886299295036</v>
      </c>
      <c r="D26" s="517">
        <v>13594.887384865906</v>
      </c>
      <c r="E26" s="517">
        <v>20552.77601479541</v>
      </c>
    </row>
    <row r="27" spans="2:5">
      <c r="B27" s="516" t="s">
        <v>308</v>
      </c>
      <c r="C27" s="517">
        <v>6236.2038078358219</v>
      </c>
      <c r="D27" s="517">
        <v>11910.588644973659</v>
      </c>
      <c r="E27" s="517">
        <v>18146.792452809481</v>
      </c>
    </row>
    <row r="28" spans="2:5">
      <c r="B28" s="516" t="s">
        <v>309</v>
      </c>
      <c r="C28" s="517">
        <v>7312.5297024175597</v>
      </c>
      <c r="D28" s="517">
        <v>14277.056562410289</v>
      </c>
      <c r="E28" s="517">
        <v>21589.586264827849</v>
      </c>
    </row>
    <row r="29" spans="2:5">
      <c r="B29" s="516" t="s">
        <v>310</v>
      </c>
      <c r="C29" s="518">
        <v>1186.6580354311238</v>
      </c>
      <c r="D29" s="518">
        <v>16734.413148116946</v>
      </c>
      <c r="E29" s="518">
        <v>17921.071183548069</v>
      </c>
    </row>
    <row r="30" spans="2:5">
      <c r="B30" s="516" t="s">
        <v>247</v>
      </c>
      <c r="C30" s="518">
        <v>7283.9786733698884</v>
      </c>
      <c r="D30" s="518">
        <v>14457.341727885685</v>
      </c>
      <c r="E30" s="518">
        <v>21741.320401255573</v>
      </c>
    </row>
    <row r="31" spans="2:5">
      <c r="B31" s="516" t="s">
        <v>311</v>
      </c>
      <c r="C31" s="518">
        <v>6651.8936607788264</v>
      </c>
      <c r="D31" s="518">
        <v>11656.920987915189</v>
      </c>
      <c r="E31" s="518">
        <v>18308.814648694017</v>
      </c>
    </row>
    <row r="32" spans="2:5">
      <c r="B32" s="516" t="s">
        <v>312</v>
      </c>
      <c r="C32" s="518">
        <v>6874</v>
      </c>
      <c r="D32" s="518">
        <v>8613.4937095762962</v>
      </c>
      <c r="E32" s="518">
        <f t="shared" ref="E32:E37" si="0">SUM(C32:D32)</f>
        <v>15487.493709576296</v>
      </c>
    </row>
    <row r="33" spans="2:5">
      <c r="B33" s="516" t="s">
        <v>313</v>
      </c>
      <c r="C33" s="518">
        <v>5972</v>
      </c>
      <c r="D33" s="518">
        <v>813</v>
      </c>
      <c r="E33" s="518">
        <f t="shared" si="0"/>
        <v>6785</v>
      </c>
    </row>
    <row r="34" spans="2:5">
      <c r="B34" s="516" t="s">
        <v>314</v>
      </c>
      <c r="C34" s="518">
        <v>5763</v>
      </c>
      <c r="D34" s="518">
        <v>598</v>
      </c>
      <c r="E34" s="518">
        <f t="shared" si="0"/>
        <v>6361</v>
      </c>
    </row>
    <row r="35" spans="2:5">
      <c r="B35" s="516" t="s">
        <v>315</v>
      </c>
      <c r="C35" s="518">
        <v>6137</v>
      </c>
      <c r="D35" s="518">
        <v>7530</v>
      </c>
      <c r="E35" s="518">
        <f t="shared" si="0"/>
        <v>13667</v>
      </c>
    </row>
    <row r="36" spans="2:5">
      <c r="B36" s="516" t="s">
        <v>316</v>
      </c>
      <c r="C36" s="518">
        <v>6308</v>
      </c>
      <c r="D36" s="518">
        <v>10522</v>
      </c>
      <c r="E36" s="518">
        <f t="shared" si="0"/>
        <v>16830</v>
      </c>
    </row>
    <row r="37" spans="2:5">
      <c r="B37" s="519" t="s">
        <v>317</v>
      </c>
      <c r="C37" s="520">
        <v>6127</v>
      </c>
      <c r="D37" s="520">
        <v>15113</v>
      </c>
      <c r="E37" s="520">
        <f t="shared" si="0"/>
        <v>21240</v>
      </c>
    </row>
    <row r="38" spans="2:5">
      <c r="B38" s="516" t="s">
        <v>324</v>
      </c>
      <c r="C38" s="518">
        <f>SUM(C26:C37)</f>
        <v>72810.152509762731</v>
      </c>
      <c r="D38" s="518">
        <f>SUM(D26:D37)</f>
        <v>125820.70216574398</v>
      </c>
      <c r="E38" s="518">
        <f>SUM(E26:E37)</f>
        <v>198630.85467550668</v>
      </c>
    </row>
    <row r="39" spans="2:5">
      <c r="B39" s="521" t="s">
        <v>325</v>
      </c>
      <c r="C39" s="502" t="s">
        <v>320</v>
      </c>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topLeftCell="A3" workbookViewId="0">
      <selection activeCell="K24" sqref="K24"/>
    </sheetView>
  </sheetViews>
  <sheetFormatPr defaultRowHeight="15" outlineLevelRow="1"/>
  <cols>
    <col min="1" max="1" width="2.5703125" style="575" customWidth="1"/>
    <col min="2" max="2" width="4" style="575" bestFit="1" customWidth="1"/>
    <col min="3" max="3" width="14.140625" style="575" bestFit="1" customWidth="1"/>
    <col min="4" max="4" width="15.140625" style="575" bestFit="1" customWidth="1"/>
    <col min="5" max="5" width="10.7109375" style="575" bestFit="1" customWidth="1"/>
    <col min="6" max="6" width="12.7109375" style="575" bestFit="1" customWidth="1"/>
    <col min="7" max="7" width="10.7109375" style="575" bestFit="1" customWidth="1"/>
    <col min="8" max="8" width="2.5703125" style="575" customWidth="1"/>
    <col min="9" max="9" width="7.140625" style="575" bestFit="1" customWidth="1"/>
    <col min="10" max="10" width="11.28515625" style="575" customWidth="1"/>
    <col min="11" max="11" width="11.28515625" style="575" bestFit="1" customWidth="1"/>
    <col min="12" max="12" width="12.28515625" style="575" bestFit="1" customWidth="1"/>
    <col min="13" max="14" width="11.28515625" style="575" bestFit="1" customWidth="1"/>
    <col min="15" max="15" width="13.7109375" style="575" bestFit="1" customWidth="1"/>
    <col min="16" max="16" width="9.28515625" style="575" bestFit="1" customWidth="1"/>
    <col min="17" max="17" width="9.5703125" style="575" customWidth="1"/>
    <col min="18" max="16384" width="9.140625" style="575"/>
  </cols>
  <sheetData>
    <row r="1" spans="2:23" hidden="1" outlineLevel="1"/>
    <row r="2" spans="2:23" hidden="1" outlineLevel="1"/>
    <row r="3" spans="2:23" ht="18" collapsed="1">
      <c r="B3" s="326" t="s">
        <v>326</v>
      </c>
    </row>
    <row r="5" spans="2:23">
      <c r="C5" s="435" t="s">
        <v>327</v>
      </c>
    </row>
    <row r="6" spans="2:23" ht="15.75" thickBot="1">
      <c r="C6" s="435" t="s">
        <v>328</v>
      </c>
      <c r="I6" s="435" t="s">
        <v>329</v>
      </c>
      <c r="P6" s="435" t="s">
        <v>330</v>
      </c>
    </row>
    <row r="7" spans="2:23" ht="15.75" thickBot="1">
      <c r="C7" s="229"/>
      <c r="D7" s="229" t="s">
        <v>331</v>
      </c>
      <c r="E7" s="229" t="s">
        <v>332</v>
      </c>
      <c r="G7" s="229" t="s">
        <v>333</v>
      </c>
      <c r="I7" s="140" t="s">
        <v>334</v>
      </c>
      <c r="J7" s="229"/>
      <c r="K7" s="229" t="s">
        <v>331</v>
      </c>
      <c r="L7" s="229" t="s">
        <v>332</v>
      </c>
      <c r="N7" s="229" t="s">
        <v>333</v>
      </c>
      <c r="Q7" s="229"/>
      <c r="R7" s="229" t="s">
        <v>331</v>
      </c>
      <c r="S7" s="229" t="s">
        <v>332</v>
      </c>
      <c r="U7" s="229" t="s">
        <v>333</v>
      </c>
    </row>
    <row r="8" spans="2:23" ht="15.75" thickBot="1">
      <c r="C8" s="245" t="s">
        <v>335</v>
      </c>
      <c r="D8" s="245" t="s">
        <v>336</v>
      </c>
      <c r="E8" s="245" t="s">
        <v>337</v>
      </c>
      <c r="F8" s="245" t="s">
        <v>338</v>
      </c>
      <c r="G8" s="245" t="s">
        <v>339</v>
      </c>
      <c r="I8" s="140" t="s">
        <v>340</v>
      </c>
      <c r="J8" s="139" t="s">
        <v>335</v>
      </c>
      <c r="K8" s="139" t="s">
        <v>336</v>
      </c>
      <c r="L8" s="139" t="s">
        <v>341</v>
      </c>
      <c r="M8" s="139" t="s">
        <v>338</v>
      </c>
      <c r="N8" s="139" t="s">
        <v>339</v>
      </c>
      <c r="O8" s="139" t="s">
        <v>122</v>
      </c>
      <c r="P8" s="140" t="s">
        <v>340</v>
      </c>
      <c r="Q8" s="245" t="s">
        <v>335</v>
      </c>
      <c r="R8" s="245" t="s">
        <v>336</v>
      </c>
      <c r="S8" s="245" t="s">
        <v>341</v>
      </c>
      <c r="T8" s="245" t="s">
        <v>338</v>
      </c>
      <c r="U8" s="245" t="s">
        <v>339</v>
      </c>
    </row>
    <row r="9" spans="2:23">
      <c r="B9" s="229">
        <v>1</v>
      </c>
      <c r="C9" s="138">
        <v>1.0572581929903879</v>
      </c>
      <c r="D9" s="138">
        <v>1.0368184968706589</v>
      </c>
      <c r="E9" s="138">
        <v>1.0812902350397615</v>
      </c>
      <c r="F9" s="138">
        <v>1.0941343901270155</v>
      </c>
      <c r="G9" s="138">
        <v>1.1217653914798873</v>
      </c>
      <c r="I9" s="229">
        <v>1</v>
      </c>
      <c r="J9" s="137">
        <v>116097.09405</v>
      </c>
      <c r="K9" s="137">
        <v>136249.65</v>
      </c>
      <c r="L9" s="137">
        <v>61138.2</v>
      </c>
      <c r="M9" s="137">
        <v>2969.0361600000001</v>
      </c>
      <c r="N9" s="137">
        <v>2835.4732800000002</v>
      </c>
      <c r="O9" s="137">
        <v>319289.45348999999</v>
      </c>
      <c r="P9" s="229">
        <v>1</v>
      </c>
      <c r="Q9" s="136">
        <v>0.2989</v>
      </c>
      <c r="R9" s="136">
        <v>0.25</v>
      </c>
      <c r="S9" s="136">
        <v>0.25</v>
      </c>
      <c r="T9" s="136">
        <v>6.4000000000000003E-3</v>
      </c>
      <c r="U9" s="136">
        <v>6.4000000000000003E-3</v>
      </c>
    </row>
    <row r="10" spans="2:23">
      <c r="B10" s="229">
        <v>2</v>
      </c>
      <c r="C10" s="138">
        <v>0.97155964821509477</v>
      </c>
      <c r="D10" s="138">
        <v>0.94515462320181265</v>
      </c>
      <c r="E10" s="138">
        <v>0.99315593923449241</v>
      </c>
      <c r="F10" s="138">
        <v>1.0049632186017328</v>
      </c>
      <c r="G10" s="138">
        <v>1.0359425907255935</v>
      </c>
      <c r="I10" s="229">
        <v>2</v>
      </c>
      <c r="J10" s="137">
        <v>96538.721999999994</v>
      </c>
      <c r="K10" s="137">
        <v>112478.1</v>
      </c>
      <c r="L10" s="137">
        <v>50843.1</v>
      </c>
      <c r="M10" s="137">
        <v>2470.5408000000002</v>
      </c>
      <c r="N10" s="137">
        <v>2372.3212800000001</v>
      </c>
      <c r="O10" s="137">
        <v>264702.78407999995</v>
      </c>
      <c r="P10" s="229">
        <v>2</v>
      </c>
      <c r="Q10" s="136">
        <v>0.2989</v>
      </c>
      <c r="R10" s="136">
        <v>0.25</v>
      </c>
      <c r="S10" s="136">
        <v>0.25</v>
      </c>
      <c r="T10" s="136">
        <v>6.4000000000000003E-3</v>
      </c>
      <c r="U10" s="136">
        <v>6.4000000000000003E-3</v>
      </c>
    </row>
    <row r="11" spans="2:23">
      <c r="B11" s="229">
        <v>3</v>
      </c>
      <c r="C11" s="138">
        <v>0.93199916319052778</v>
      </c>
      <c r="D11" s="138">
        <v>0.90720319676005146</v>
      </c>
      <c r="E11" s="138">
        <v>0.95775163516127504</v>
      </c>
      <c r="F11" s="138">
        <v>0.96838626250805571</v>
      </c>
      <c r="G11" s="138">
        <v>0.9893149663936569</v>
      </c>
      <c r="I11" s="229">
        <v>3</v>
      </c>
      <c r="J11" s="137">
        <v>102239.9406</v>
      </c>
      <c r="K11" s="137">
        <v>119086.5</v>
      </c>
      <c r="L11" s="137">
        <v>54116.7</v>
      </c>
      <c r="M11" s="137">
        <v>2633.2838400000001</v>
      </c>
      <c r="N11" s="137">
        <v>2502.8755200000001</v>
      </c>
      <c r="O11" s="137">
        <v>280579.29995999997</v>
      </c>
      <c r="P11" s="229">
        <v>3</v>
      </c>
      <c r="Q11" s="136">
        <v>0.2989</v>
      </c>
      <c r="R11" s="136">
        <v>0.25</v>
      </c>
      <c r="S11" s="136">
        <v>0.25</v>
      </c>
      <c r="T11" s="136">
        <v>6.4000000000000003E-3</v>
      </c>
      <c r="U11" s="136">
        <v>6.4000000000000003E-3</v>
      </c>
    </row>
    <row r="12" spans="2:23">
      <c r="B12" s="229">
        <v>4</v>
      </c>
      <c r="C12" s="138">
        <v>1.050464309823617</v>
      </c>
      <c r="D12" s="138">
        <v>1.0886264545731221</v>
      </c>
      <c r="E12" s="138">
        <v>1.0893968308138051</v>
      </c>
      <c r="F12" s="138">
        <v>1.0607378016921656</v>
      </c>
      <c r="G12" s="138">
        <v>1.0300292458942653</v>
      </c>
      <c r="I12" s="229">
        <v>4</v>
      </c>
      <c r="J12" s="137">
        <v>110965.27995</v>
      </c>
      <c r="K12" s="137">
        <v>137418.75</v>
      </c>
      <c r="L12" s="137">
        <v>59207.625</v>
      </c>
      <c r="M12" s="137">
        <v>2777.2128000000002</v>
      </c>
      <c r="N12" s="137">
        <v>2514.5856000000003</v>
      </c>
      <c r="O12" s="137">
        <v>312883.45334999997</v>
      </c>
      <c r="P12" s="229">
        <v>4</v>
      </c>
      <c r="Q12" s="136">
        <v>0.2989</v>
      </c>
      <c r="R12" s="136">
        <v>0.25</v>
      </c>
      <c r="S12" s="136">
        <v>0.25</v>
      </c>
      <c r="T12" s="136">
        <v>6.4000000000000003E-3</v>
      </c>
      <c r="U12" s="136">
        <v>6.4000000000000003E-3</v>
      </c>
    </row>
    <row r="13" spans="2:23">
      <c r="B13" s="229">
        <v>5</v>
      </c>
      <c r="C13" s="138">
        <v>1.2712434868845324</v>
      </c>
      <c r="D13" s="138">
        <v>1.4023196041901054</v>
      </c>
      <c r="E13" s="138">
        <v>1.3200715579220539</v>
      </c>
      <c r="F13" s="138">
        <v>1.2376692835088143</v>
      </c>
      <c r="G13" s="138">
        <v>1.1973536251419881</v>
      </c>
      <c r="I13" s="229">
        <v>5</v>
      </c>
      <c r="J13" s="137">
        <v>138129.55106999999</v>
      </c>
      <c r="K13" s="137">
        <v>182277.67499999999</v>
      </c>
      <c r="L13" s="137">
        <v>73842</v>
      </c>
      <c r="M13" s="137">
        <v>3316.1568000000002</v>
      </c>
      <c r="N13" s="137">
        <v>3000.5222399999998</v>
      </c>
      <c r="O13" s="137">
        <v>400565.90510999999</v>
      </c>
      <c r="P13" s="229">
        <v>5</v>
      </c>
      <c r="Q13" s="136">
        <v>0.2989</v>
      </c>
      <c r="R13" s="136">
        <v>0.25</v>
      </c>
      <c r="S13" s="136">
        <v>0.25</v>
      </c>
      <c r="T13" s="136">
        <v>6.4000000000000003E-3</v>
      </c>
      <c r="U13" s="136">
        <v>6.4000000000000003E-3</v>
      </c>
    </row>
    <row r="14" spans="2:23">
      <c r="B14" s="229">
        <v>6</v>
      </c>
      <c r="C14" s="138">
        <v>1.2362006542294928</v>
      </c>
      <c r="D14" s="138">
        <v>1.3193005921763414</v>
      </c>
      <c r="E14" s="138">
        <v>1.2042977538476265</v>
      </c>
      <c r="F14" s="138">
        <v>1.2032710338789507</v>
      </c>
      <c r="G14" s="138">
        <v>1.1538441402122166</v>
      </c>
      <c r="I14" s="229">
        <v>6</v>
      </c>
      <c r="J14" s="137">
        <v>130477.9203</v>
      </c>
      <c r="K14" s="137">
        <v>167031.00000000003</v>
      </c>
      <c r="L14" s="137">
        <v>65630.25</v>
      </c>
      <c r="M14" s="137">
        <v>3138.7392</v>
      </c>
      <c r="N14" s="137">
        <v>2812.4928</v>
      </c>
      <c r="O14" s="137">
        <v>369090.40230000002</v>
      </c>
      <c r="P14" s="229">
        <v>6</v>
      </c>
      <c r="Q14" s="136">
        <v>0.2989</v>
      </c>
      <c r="R14" s="136">
        <v>0.25</v>
      </c>
      <c r="S14" s="136">
        <v>0.25</v>
      </c>
      <c r="T14" s="136">
        <v>6.4000000000000003E-3</v>
      </c>
      <c r="U14" s="136">
        <v>6.4000000000000003E-3</v>
      </c>
    </row>
    <row r="15" spans="2:23">
      <c r="B15" s="229">
        <v>7</v>
      </c>
      <c r="C15" s="138">
        <v>1.1495271830884335</v>
      </c>
      <c r="D15" s="138">
        <v>1.1458546562315188</v>
      </c>
      <c r="E15" s="138">
        <v>1.0453596078516303</v>
      </c>
      <c r="F15" s="138">
        <v>1.1135807667343163</v>
      </c>
      <c r="G15" s="138">
        <v>1.0643616398746367</v>
      </c>
      <c r="I15" s="229">
        <v>7</v>
      </c>
      <c r="J15" s="137">
        <v>125567.77043999999</v>
      </c>
      <c r="K15" s="137">
        <v>150136.875</v>
      </c>
      <c r="L15" s="137">
        <v>58875.974999999999</v>
      </c>
      <c r="M15" s="137">
        <v>3017.7830399999998</v>
      </c>
      <c r="N15" s="137">
        <v>2698.2796800000001</v>
      </c>
      <c r="O15" s="137">
        <v>340296.68315999996</v>
      </c>
      <c r="P15" s="229">
        <v>7</v>
      </c>
      <c r="Q15" s="136">
        <v>0.2989</v>
      </c>
      <c r="R15" s="136">
        <v>0.25</v>
      </c>
      <c r="S15" s="136">
        <v>0.25</v>
      </c>
      <c r="T15" s="136">
        <v>6.4000000000000003E-3</v>
      </c>
      <c r="U15" s="136">
        <v>6.4000000000000003E-3</v>
      </c>
    </row>
    <row r="16" spans="2:23">
      <c r="B16" s="229">
        <v>8</v>
      </c>
      <c r="C16" s="138">
        <v>1.0292560813774216</v>
      </c>
      <c r="D16" s="138">
        <v>1.0017616930325968</v>
      </c>
      <c r="E16" s="138">
        <v>0.96065778656602507</v>
      </c>
      <c r="F16" s="138">
        <v>0.99468225045492564</v>
      </c>
      <c r="G16" s="138">
        <v>0.89807338903495226</v>
      </c>
      <c r="I16" s="229">
        <v>8</v>
      </c>
      <c r="J16" s="137">
        <v>112324.13913</v>
      </c>
      <c r="K16" s="137">
        <v>130571.625</v>
      </c>
      <c r="L16" s="137">
        <v>53935.275000000001</v>
      </c>
      <c r="M16" s="137">
        <v>2697.8361600000003</v>
      </c>
      <c r="N16" s="137">
        <v>2281.6320000000001</v>
      </c>
      <c r="O16" s="137">
        <v>301810.50728999998</v>
      </c>
      <c r="P16" s="229">
        <v>8</v>
      </c>
      <c r="Q16" s="136">
        <v>0.2989</v>
      </c>
      <c r="R16" s="136">
        <v>0.25</v>
      </c>
      <c r="S16" s="136">
        <v>0.25</v>
      </c>
      <c r="T16" s="136">
        <v>6.4000000000000003E-3</v>
      </c>
      <c r="U16" s="136">
        <v>6.4000000000000003E-3</v>
      </c>
      <c r="W16" s="135"/>
    </row>
    <row r="17" spans="2:21">
      <c r="B17" s="229">
        <v>9</v>
      </c>
      <c r="C17" s="138">
        <v>0.65456527561160371</v>
      </c>
      <c r="D17" s="138">
        <v>0.61159434496818588</v>
      </c>
      <c r="E17" s="138">
        <v>0.66257245345194737</v>
      </c>
      <c r="F17" s="138">
        <v>0.62727162798886982</v>
      </c>
      <c r="G17" s="138">
        <v>0.68305411755407408</v>
      </c>
      <c r="I17" s="229">
        <v>9</v>
      </c>
      <c r="J17" s="137">
        <v>68939.1927</v>
      </c>
      <c r="K17" s="137">
        <v>76871.25</v>
      </c>
      <c r="L17" s="137">
        <v>35856</v>
      </c>
      <c r="M17" s="137">
        <v>1638.8352</v>
      </c>
      <c r="N17" s="137">
        <v>1664.4672</v>
      </c>
      <c r="O17" s="137">
        <v>184969.74510000003</v>
      </c>
      <c r="P17" s="229">
        <v>9</v>
      </c>
      <c r="Q17" s="136">
        <v>0.2989</v>
      </c>
      <c r="R17" s="136">
        <v>0.25</v>
      </c>
      <c r="S17" s="136">
        <v>0.25</v>
      </c>
      <c r="T17" s="136">
        <v>6.4000000000000003E-3</v>
      </c>
      <c r="U17" s="136">
        <v>6.4000000000000003E-3</v>
      </c>
    </row>
    <row r="18" spans="2:21">
      <c r="B18" s="229">
        <v>10</v>
      </c>
      <c r="C18" s="138">
        <v>0.70267959525226753</v>
      </c>
      <c r="D18" s="138">
        <v>0.67089365951556712</v>
      </c>
      <c r="E18" s="138">
        <v>0.72054114194254149</v>
      </c>
      <c r="F18" s="138">
        <v>0.6898485628418094</v>
      </c>
      <c r="G18" s="138">
        <v>0.746085984294803</v>
      </c>
      <c r="I18" s="229">
        <v>10</v>
      </c>
      <c r="J18" s="137">
        <v>75748.732499999998</v>
      </c>
      <c r="K18" s="137">
        <v>85936.65</v>
      </c>
      <c r="L18" s="137">
        <v>39829.574999999997</v>
      </c>
      <c r="M18" s="137">
        <v>1839.9417600000002</v>
      </c>
      <c r="N18" s="137">
        <v>1859.2857600000002</v>
      </c>
      <c r="O18" s="137">
        <v>205214.18502</v>
      </c>
      <c r="P18" s="229">
        <v>10</v>
      </c>
      <c r="Q18" s="136">
        <v>0.2989</v>
      </c>
      <c r="R18" s="136">
        <v>0.25</v>
      </c>
      <c r="S18" s="136">
        <v>0.25</v>
      </c>
      <c r="T18" s="136">
        <v>6.4000000000000003E-3</v>
      </c>
      <c r="U18" s="136">
        <v>6.4000000000000003E-3</v>
      </c>
    </row>
    <row r="19" spans="2:21">
      <c r="B19" s="229">
        <v>11</v>
      </c>
      <c r="C19" s="138">
        <v>0.91016246273444978</v>
      </c>
      <c r="D19" s="138">
        <v>0.87172845252307529</v>
      </c>
      <c r="E19" s="138">
        <v>0.92293822767430989</v>
      </c>
      <c r="F19" s="138">
        <v>0.93010680391005296</v>
      </c>
      <c r="G19" s="138">
        <v>0.97303162125402876</v>
      </c>
      <c r="I19" s="229">
        <v>11</v>
      </c>
      <c r="J19" s="137">
        <v>94984.740900000004</v>
      </c>
      <c r="K19" s="137">
        <v>108123.75</v>
      </c>
      <c r="L19" s="137">
        <v>49434.75</v>
      </c>
      <c r="M19" s="137">
        <v>2403.4176000000002</v>
      </c>
      <c r="N19" s="137">
        <v>2348.1792</v>
      </c>
      <c r="O19" s="137">
        <v>257294.8377</v>
      </c>
      <c r="P19" s="229">
        <v>11</v>
      </c>
      <c r="Q19" s="136">
        <v>0.2989</v>
      </c>
      <c r="R19" s="136">
        <v>0.25</v>
      </c>
      <c r="S19" s="136">
        <v>0.25</v>
      </c>
      <c r="T19" s="136">
        <v>6.4000000000000003E-3</v>
      </c>
      <c r="U19" s="136">
        <v>6.4000000000000003E-3</v>
      </c>
    </row>
    <row r="20" spans="2:21">
      <c r="B20" s="134">
        <v>12</v>
      </c>
      <c r="C20" s="133">
        <v>1.0275378707003802</v>
      </c>
      <c r="D20" s="133">
        <v>0.98992853930683999</v>
      </c>
      <c r="E20" s="133">
        <v>1.0374078977039225</v>
      </c>
      <c r="F20" s="133">
        <v>1.0700666081815247</v>
      </c>
      <c r="G20" s="133">
        <v>1.1054589944976836</v>
      </c>
      <c r="I20" s="134">
        <v>12</v>
      </c>
      <c r="J20" s="132">
        <v>111610.54527</v>
      </c>
      <c r="K20" s="132">
        <v>128216.77499999999</v>
      </c>
      <c r="L20" s="132">
        <v>57929.7</v>
      </c>
      <c r="M20" s="132">
        <v>2875.53024</v>
      </c>
      <c r="N20" s="132">
        <v>2771.7868800000001</v>
      </c>
      <c r="O20" s="132">
        <v>303404.33739</v>
      </c>
      <c r="P20" s="134">
        <v>12</v>
      </c>
      <c r="Q20" s="136">
        <v>0.2989</v>
      </c>
      <c r="R20" s="136">
        <v>0.25</v>
      </c>
      <c r="S20" s="136">
        <v>0.25</v>
      </c>
      <c r="T20" s="136">
        <v>6.4000000000000003E-3</v>
      </c>
      <c r="U20" s="136">
        <v>6.4000000000000003E-3</v>
      </c>
    </row>
    <row r="21" spans="2:21">
      <c r="B21" s="229">
        <v>13</v>
      </c>
      <c r="C21" s="138">
        <v>0.6331789491376989</v>
      </c>
      <c r="D21" s="138">
        <v>0.54752364329073311</v>
      </c>
      <c r="E21" s="138">
        <v>0.48364514366944417</v>
      </c>
      <c r="F21" s="138">
        <v>0.54607137672552597</v>
      </c>
      <c r="G21" s="138">
        <v>0.55365441349335143</v>
      </c>
      <c r="I21" s="229" t="s">
        <v>122</v>
      </c>
      <c r="J21" s="137">
        <v>1283623.6289100004</v>
      </c>
      <c r="K21" s="137">
        <v>1534398.6</v>
      </c>
      <c r="L21" s="137">
        <v>660639.15</v>
      </c>
      <c r="M21" s="137">
        <v>31778.313600000009</v>
      </c>
      <c r="N21" s="137">
        <v>29661.901440000009</v>
      </c>
      <c r="O21" s="137">
        <v>3540101.5939500001</v>
      </c>
      <c r="P21" s="229" t="s">
        <v>342</v>
      </c>
      <c r="Q21" s="131">
        <v>0.29890000000000005</v>
      </c>
      <c r="R21" s="131">
        <v>0.25</v>
      </c>
      <c r="S21" s="131">
        <v>0.25</v>
      </c>
      <c r="T21" s="131">
        <v>6.400000000000002E-3</v>
      </c>
      <c r="U21" s="131">
        <v>6.400000000000002E-3</v>
      </c>
    </row>
    <row r="22" spans="2:21">
      <c r="J22" s="130"/>
      <c r="K22" s="130"/>
      <c r="L22" s="130"/>
      <c r="M22" s="130"/>
      <c r="N22" s="130"/>
      <c r="O22" s="130"/>
      <c r="P22" s="575" t="s">
        <v>343</v>
      </c>
    </row>
    <row r="23" spans="2:21">
      <c r="C23" s="129"/>
      <c r="J23" s="130"/>
      <c r="K23" s="130"/>
      <c r="L23" s="130"/>
      <c r="M23" s="130"/>
      <c r="N23" s="130"/>
      <c r="O23" s="130"/>
    </row>
    <row r="24" spans="2:21">
      <c r="C24" s="129"/>
      <c r="J24" s="130"/>
      <c r="K24" s="130"/>
      <c r="L24" s="130"/>
      <c r="M24" s="130"/>
      <c r="N24" s="130"/>
      <c r="O24" s="130"/>
    </row>
    <row r="25" spans="2:21" ht="15.75" thickBot="1">
      <c r="C25" s="129"/>
      <c r="I25" s="435" t="s">
        <v>344</v>
      </c>
      <c r="J25" s="130"/>
      <c r="K25" s="130"/>
      <c r="L25" s="130"/>
      <c r="M25" s="130"/>
      <c r="N25" s="130"/>
      <c r="O25" s="130"/>
      <c r="P25" s="435" t="s">
        <v>330</v>
      </c>
    </row>
    <row r="26" spans="2:21" ht="15.75" thickBot="1">
      <c r="C26" s="129"/>
      <c r="I26" s="140" t="s">
        <v>334</v>
      </c>
      <c r="J26" s="137"/>
      <c r="K26" s="137" t="s">
        <v>331</v>
      </c>
      <c r="L26" s="137" t="s">
        <v>332</v>
      </c>
      <c r="M26" s="130"/>
      <c r="N26" s="137" t="s">
        <v>333</v>
      </c>
      <c r="O26" s="130"/>
      <c r="Q26" s="229"/>
      <c r="R26" s="229" t="s">
        <v>331</v>
      </c>
      <c r="S26" s="229" t="s">
        <v>332</v>
      </c>
      <c r="U26" s="229" t="s">
        <v>333</v>
      </c>
    </row>
    <row r="27" spans="2:21" ht="15.75" thickBot="1">
      <c r="C27" s="129"/>
      <c r="I27" s="140" t="s">
        <v>345</v>
      </c>
      <c r="J27" s="139" t="s">
        <v>335</v>
      </c>
      <c r="K27" s="139" t="s">
        <v>336</v>
      </c>
      <c r="L27" s="139" t="s">
        <v>341</v>
      </c>
      <c r="M27" s="139" t="s">
        <v>338</v>
      </c>
      <c r="N27" s="139" t="s">
        <v>339</v>
      </c>
      <c r="O27" s="139" t="s">
        <v>122</v>
      </c>
      <c r="P27" s="140" t="s">
        <v>345</v>
      </c>
      <c r="Q27" s="245" t="s">
        <v>335</v>
      </c>
      <c r="R27" s="245" t="s">
        <v>336</v>
      </c>
      <c r="S27" s="245" t="s">
        <v>341</v>
      </c>
      <c r="T27" s="245" t="s">
        <v>338</v>
      </c>
      <c r="U27" s="245" t="s">
        <v>339</v>
      </c>
    </row>
    <row r="28" spans="2:21">
      <c r="C28" s="129"/>
      <c r="I28" s="229">
        <v>1</v>
      </c>
      <c r="J28" s="137">
        <v>121020.38557142863</v>
      </c>
      <c r="K28" s="137">
        <v>152997.48857142858</v>
      </c>
      <c r="L28" s="137">
        <v>65339.939999999973</v>
      </c>
      <c r="M28" s="137">
        <v>2848.6340022857157</v>
      </c>
      <c r="N28" s="137">
        <v>3072.5924571428582</v>
      </c>
      <c r="O28" s="137">
        <v>345279.04060228576</v>
      </c>
      <c r="P28" s="229">
        <v>1</v>
      </c>
      <c r="Q28" s="136">
        <v>0.2989</v>
      </c>
      <c r="R28" s="136">
        <v>0.25</v>
      </c>
      <c r="S28" s="136">
        <v>0.25</v>
      </c>
      <c r="T28" s="136">
        <v>6.4000000000000003E-3</v>
      </c>
      <c r="U28" s="136">
        <v>6.4000000000000003E-3</v>
      </c>
    </row>
    <row r="29" spans="2:21">
      <c r="C29" s="129"/>
      <c r="I29" s="229">
        <v>2</v>
      </c>
      <c r="J29" s="137">
        <v>94995.965142857152</v>
      </c>
      <c r="K29" s="137">
        <v>117005.28000000004</v>
      </c>
      <c r="L29" s="137">
        <v>51538.559999999998</v>
      </c>
      <c r="M29" s="137">
        <v>2337.2943360000004</v>
      </c>
      <c r="N29" s="137">
        <v>2229.9770880000001</v>
      </c>
      <c r="O29" s="137">
        <v>268107.07656685717</v>
      </c>
      <c r="P29" s="229">
        <v>2</v>
      </c>
      <c r="Q29" s="136">
        <v>0.2989</v>
      </c>
      <c r="R29" s="136">
        <v>0.25</v>
      </c>
      <c r="S29" s="136">
        <v>0.25</v>
      </c>
      <c r="T29" s="136">
        <v>6.4000000000000003E-3</v>
      </c>
      <c r="U29" s="136">
        <v>6.4000000000000003E-3</v>
      </c>
    </row>
    <row r="30" spans="2:21">
      <c r="C30" s="129"/>
      <c r="I30" s="229">
        <v>3</v>
      </c>
      <c r="J30" s="137">
        <v>100117.14800000002</v>
      </c>
      <c r="K30" s="137">
        <v>130611.05999999997</v>
      </c>
      <c r="L30" s="137">
        <v>57126.445714285714</v>
      </c>
      <c r="M30" s="137">
        <v>2517.5395474285715</v>
      </c>
      <c r="N30" s="137">
        <v>2419.266925714287</v>
      </c>
      <c r="O30" s="137">
        <v>292791.46018742851</v>
      </c>
      <c r="P30" s="229">
        <v>3</v>
      </c>
      <c r="Q30" s="136">
        <v>0.2989</v>
      </c>
      <c r="R30" s="136">
        <v>0.25</v>
      </c>
      <c r="S30" s="136">
        <v>0.25</v>
      </c>
      <c r="T30" s="136">
        <v>6.4000000000000003E-3</v>
      </c>
      <c r="U30" s="136">
        <v>6.4000000000000003E-3</v>
      </c>
    </row>
    <row r="31" spans="2:21">
      <c r="C31" s="129"/>
      <c r="I31" s="229">
        <v>4</v>
      </c>
      <c r="J31" s="137">
        <v>102575.20371428573</v>
      </c>
      <c r="K31" s="137">
        <v>138155.52857142859</v>
      </c>
      <c r="L31" s="137">
        <v>57651.942857142858</v>
      </c>
      <c r="M31" s="137">
        <v>2619.8586514285721</v>
      </c>
      <c r="N31" s="137">
        <v>2489.4489600000011</v>
      </c>
      <c r="O31" s="137">
        <v>303491.98275428574</v>
      </c>
      <c r="P31" s="229">
        <v>4</v>
      </c>
      <c r="Q31" s="136">
        <v>0.2989</v>
      </c>
      <c r="R31" s="136">
        <v>0.25</v>
      </c>
      <c r="S31" s="136">
        <v>0.25</v>
      </c>
      <c r="T31" s="136">
        <v>6.4000000000000003E-3</v>
      </c>
      <c r="U31" s="136">
        <v>6.4000000000000003E-3</v>
      </c>
    </row>
    <row r="32" spans="2:21">
      <c r="C32" s="129"/>
      <c r="I32" s="229">
        <v>5</v>
      </c>
      <c r="J32" s="137">
        <v>121265.95728571426</v>
      </c>
      <c r="K32" s="137">
        <v>169601.70857142861</v>
      </c>
      <c r="L32" s="137">
        <v>66582.951428571439</v>
      </c>
      <c r="M32" s="137">
        <v>2965.4224457142877</v>
      </c>
      <c r="N32" s="137">
        <v>2764.8366445714305</v>
      </c>
      <c r="O32" s="137">
        <v>363180.87637600006</v>
      </c>
      <c r="P32" s="229">
        <v>5</v>
      </c>
      <c r="Q32" s="136">
        <v>0.2989</v>
      </c>
      <c r="R32" s="136">
        <v>0.25</v>
      </c>
      <c r="S32" s="136">
        <v>0.25</v>
      </c>
      <c r="T32" s="136">
        <v>6.4000000000000003E-3</v>
      </c>
      <c r="U32" s="136">
        <v>6.4000000000000003E-3</v>
      </c>
    </row>
    <row r="33" spans="3:27">
      <c r="C33" s="129"/>
      <c r="I33" s="229">
        <v>6</v>
      </c>
      <c r="J33" s="137">
        <v>132964.72571428574</v>
      </c>
      <c r="K33" s="137">
        <v>179432.48571428572</v>
      </c>
      <c r="L33" s="137">
        <v>67930.457142857136</v>
      </c>
      <c r="M33" s="137">
        <v>3338.7593142857154</v>
      </c>
      <c r="N33" s="137">
        <v>3128.7398400000006</v>
      </c>
      <c r="O33" s="137">
        <v>386795.16772571433</v>
      </c>
      <c r="P33" s="229">
        <v>6</v>
      </c>
      <c r="Q33" s="136">
        <v>0.2989</v>
      </c>
      <c r="R33" s="136">
        <v>0.25</v>
      </c>
      <c r="S33" s="136">
        <v>0.25</v>
      </c>
      <c r="T33" s="136">
        <v>6.4000000000000003E-3</v>
      </c>
      <c r="U33" s="136">
        <v>6.4000000000000003E-3</v>
      </c>
    </row>
    <row r="34" spans="3:27">
      <c r="C34" s="129"/>
      <c r="I34" s="229">
        <v>7</v>
      </c>
      <c r="J34" s="137">
        <v>127385.58571428565</v>
      </c>
      <c r="K34" s="137">
        <v>163738.19142857144</v>
      </c>
      <c r="L34" s="137">
        <v>61454.399999999987</v>
      </c>
      <c r="M34" s="137">
        <v>2892.4883382857151</v>
      </c>
      <c r="N34" s="137">
        <v>2881.1625325714294</v>
      </c>
      <c r="O34" s="137">
        <v>358351.82801371417</v>
      </c>
      <c r="P34" s="229">
        <v>7</v>
      </c>
      <c r="Q34" s="136">
        <v>0.2989</v>
      </c>
      <c r="R34" s="136">
        <v>0.25</v>
      </c>
      <c r="S34" s="136">
        <v>0.25</v>
      </c>
      <c r="T34" s="136">
        <v>6.4000000000000003E-3</v>
      </c>
      <c r="U34" s="136">
        <v>6.4000000000000003E-3</v>
      </c>
    </row>
    <row r="35" spans="3:27">
      <c r="C35" s="129"/>
      <c r="I35" s="229">
        <v>8</v>
      </c>
      <c r="J35" s="137">
        <v>116674.76800000005</v>
      </c>
      <c r="K35" s="137">
        <v>146314.37999999998</v>
      </c>
      <c r="L35" s="137">
        <v>57904.68</v>
      </c>
      <c r="M35" s="137">
        <v>2531.6966400000001</v>
      </c>
      <c r="N35" s="137">
        <v>2456.6259565714295</v>
      </c>
      <c r="O35" s="137">
        <v>325882.15059657145</v>
      </c>
      <c r="P35" s="229">
        <v>8</v>
      </c>
      <c r="Q35" s="136">
        <v>0.2989</v>
      </c>
      <c r="R35" s="136">
        <v>0.25</v>
      </c>
      <c r="S35" s="136">
        <v>0.25</v>
      </c>
      <c r="T35" s="136">
        <v>6.4000000000000003E-3</v>
      </c>
      <c r="U35" s="136">
        <v>6.4000000000000003E-3</v>
      </c>
    </row>
    <row r="36" spans="3:27">
      <c r="C36" s="129"/>
      <c r="I36" s="229">
        <v>9</v>
      </c>
      <c r="J36" s="137">
        <v>73551.330142857129</v>
      </c>
      <c r="K36" s="137">
        <v>87778.28571428571</v>
      </c>
      <c r="L36" s="137">
        <v>40318.971428571429</v>
      </c>
      <c r="M36" s="137">
        <v>1775.7191314285719</v>
      </c>
      <c r="N36" s="137">
        <v>1626.7951542857147</v>
      </c>
      <c r="O36" s="137">
        <v>205051.10157142856</v>
      </c>
      <c r="P36" s="229">
        <v>9</v>
      </c>
      <c r="Q36" s="136">
        <v>0.2989</v>
      </c>
      <c r="R36" s="136">
        <v>0.25</v>
      </c>
      <c r="S36" s="136">
        <v>0.25</v>
      </c>
      <c r="T36" s="136">
        <v>6.4000000000000003E-3</v>
      </c>
      <c r="U36" s="136">
        <v>6.4000000000000003E-3</v>
      </c>
    </row>
    <row r="37" spans="3:27">
      <c r="C37" s="129"/>
      <c r="I37" s="229">
        <v>10</v>
      </c>
      <c r="J37" s="137">
        <v>85097.178285714297</v>
      </c>
      <c r="K37" s="137">
        <v>102427.27714285716</v>
      </c>
      <c r="L37" s="137">
        <v>46839.582857142865</v>
      </c>
      <c r="M37" s="137">
        <v>2091.4035565714289</v>
      </c>
      <c r="N37" s="137">
        <v>2090.4648411428566</v>
      </c>
      <c r="O37" s="137">
        <v>238545.90668342859</v>
      </c>
      <c r="P37" s="229">
        <v>10</v>
      </c>
      <c r="Q37" s="136">
        <v>0.2989</v>
      </c>
      <c r="R37" s="136">
        <v>0.25</v>
      </c>
      <c r="S37" s="136">
        <v>0.25</v>
      </c>
      <c r="T37" s="136">
        <v>6.4000000000000003E-3</v>
      </c>
      <c r="U37" s="136">
        <v>6.4000000000000003E-3</v>
      </c>
    </row>
    <row r="38" spans="3:27">
      <c r="C38" s="129"/>
      <c r="I38" s="229">
        <v>11</v>
      </c>
      <c r="J38" s="137">
        <v>87196.748857142869</v>
      </c>
      <c r="K38" s="137">
        <v>105534.25714285714</v>
      </c>
      <c r="L38" s="137">
        <v>48137.914285714287</v>
      </c>
      <c r="M38" s="137">
        <v>2198.0686628571434</v>
      </c>
      <c r="N38" s="137">
        <v>2175.9568457142864</v>
      </c>
      <c r="O38" s="137">
        <v>245242.94579428568</v>
      </c>
      <c r="P38" s="229">
        <v>11</v>
      </c>
      <c r="Q38" s="136">
        <v>0.2989</v>
      </c>
      <c r="R38" s="136">
        <v>0.25</v>
      </c>
      <c r="S38" s="136">
        <v>0.25</v>
      </c>
      <c r="T38" s="136">
        <v>6.4000000000000003E-3</v>
      </c>
      <c r="U38" s="136">
        <v>6.4000000000000003E-3</v>
      </c>
    </row>
    <row r="39" spans="3:27">
      <c r="C39" s="129"/>
      <c r="I39" s="134">
        <v>12</v>
      </c>
      <c r="J39" s="132">
        <v>112195.96514285717</v>
      </c>
      <c r="K39" s="132">
        <v>138739.52571428573</v>
      </c>
      <c r="L39" s="132">
        <v>60819.608571428565</v>
      </c>
      <c r="M39" s="132">
        <v>2833.9682742857158</v>
      </c>
      <c r="N39" s="132">
        <v>2860.8305005714296</v>
      </c>
      <c r="O39" s="132">
        <v>317449.8982034286</v>
      </c>
      <c r="P39" s="134">
        <v>12</v>
      </c>
      <c r="Q39" s="136">
        <v>0.2989</v>
      </c>
      <c r="R39" s="136">
        <v>0.25</v>
      </c>
      <c r="S39" s="136">
        <v>0.25</v>
      </c>
      <c r="T39" s="136">
        <v>6.4000000000000003E-3</v>
      </c>
      <c r="U39" s="136">
        <v>6.4000000000000003E-3</v>
      </c>
    </row>
    <row r="40" spans="3:27">
      <c r="C40" s="129"/>
      <c r="F40" s="135"/>
      <c r="I40" s="229" t="s">
        <v>122</v>
      </c>
      <c r="J40" s="137">
        <v>1275040.9615714285</v>
      </c>
      <c r="K40" s="137">
        <v>1632335.4685714284</v>
      </c>
      <c r="L40" s="137">
        <v>681645.45428571419</v>
      </c>
      <c r="M40" s="137">
        <v>30950.852900571441</v>
      </c>
      <c r="N40" s="137">
        <v>30196.697746285721</v>
      </c>
      <c r="O40" s="137">
        <v>3650169.4350754293</v>
      </c>
      <c r="P40" s="229" t="s">
        <v>342</v>
      </c>
      <c r="Q40" s="131">
        <v>0.29890000000000005</v>
      </c>
      <c r="R40" s="131">
        <v>0.25</v>
      </c>
      <c r="S40" s="131">
        <v>0.25</v>
      </c>
      <c r="T40" s="131">
        <v>6.400000000000002E-3</v>
      </c>
      <c r="U40" s="131">
        <v>6.400000000000002E-3</v>
      </c>
    </row>
    <row r="41" spans="3:27">
      <c r="C41" s="129"/>
      <c r="F41" s="135"/>
      <c r="J41" s="130"/>
      <c r="K41" s="130"/>
      <c r="L41" s="130"/>
      <c r="M41" s="130"/>
      <c r="N41" s="130"/>
      <c r="O41" s="130"/>
      <c r="P41" s="574"/>
    </row>
    <row r="42" spans="3:27">
      <c r="C42" s="129"/>
      <c r="F42" s="135"/>
      <c r="J42" s="130"/>
      <c r="K42" s="130"/>
      <c r="L42" s="130"/>
      <c r="M42" s="130"/>
      <c r="N42" s="130"/>
      <c r="O42" s="130"/>
      <c r="P42" s="573"/>
    </row>
    <row r="43" spans="3:27">
      <c r="C43" s="129"/>
      <c r="F43" s="135"/>
      <c r="J43" s="523"/>
      <c r="K43" s="523"/>
      <c r="L43" s="523"/>
      <c r="M43" s="523"/>
      <c r="N43" s="523"/>
      <c r="O43" s="523"/>
      <c r="P43" s="573"/>
    </row>
    <row r="44" spans="3:27">
      <c r="F44" s="135"/>
      <c r="I44" s="435" t="s">
        <v>346</v>
      </c>
      <c r="J44" s="130"/>
      <c r="K44" s="130"/>
      <c r="L44" s="130"/>
      <c r="M44" s="130"/>
      <c r="N44" s="130"/>
      <c r="O44" s="130"/>
      <c r="Q44" s="435" t="s">
        <v>330</v>
      </c>
      <c r="AA44" s="135"/>
    </row>
    <row r="45" spans="3:27" ht="15.75" thickBot="1">
      <c r="F45" s="135"/>
      <c r="J45" s="137"/>
      <c r="K45" s="137" t="s">
        <v>331</v>
      </c>
      <c r="L45" s="137" t="s">
        <v>332</v>
      </c>
      <c r="M45" s="130"/>
      <c r="N45" s="137" t="s">
        <v>333</v>
      </c>
      <c r="O45" s="130"/>
      <c r="P45" s="229" t="s">
        <v>347</v>
      </c>
      <c r="Q45" s="229"/>
      <c r="R45" s="229" t="s">
        <v>331</v>
      </c>
      <c r="S45" s="229" t="s">
        <v>332</v>
      </c>
      <c r="U45" s="229" t="s">
        <v>333</v>
      </c>
    </row>
    <row r="46" spans="3:27" ht="15.75" thickBot="1">
      <c r="I46" s="140" t="s">
        <v>334</v>
      </c>
      <c r="J46" s="139" t="s">
        <v>335</v>
      </c>
      <c r="K46" s="139" t="s">
        <v>336</v>
      </c>
      <c r="L46" s="139" t="s">
        <v>341</v>
      </c>
      <c r="M46" s="139" t="s">
        <v>338</v>
      </c>
      <c r="N46" s="139" t="s">
        <v>339</v>
      </c>
      <c r="O46" s="139" t="s">
        <v>122</v>
      </c>
      <c r="P46" s="245" t="s">
        <v>348</v>
      </c>
      <c r="Q46" s="245" t="s">
        <v>335</v>
      </c>
      <c r="R46" s="245" t="s">
        <v>336</v>
      </c>
      <c r="S46" s="245" t="s">
        <v>341</v>
      </c>
      <c r="T46" s="245" t="s">
        <v>338</v>
      </c>
      <c r="U46" s="245" t="s">
        <v>339</v>
      </c>
    </row>
    <row r="47" spans="3:27">
      <c r="I47" s="229">
        <v>1</v>
      </c>
      <c r="J47" s="137">
        <v>-4923.2915214286331</v>
      </c>
      <c r="K47" s="137">
        <v>-16747.838571428583</v>
      </c>
      <c r="L47" s="137">
        <v>-4201.7399999999761</v>
      </c>
      <c r="M47" s="137">
        <v>120.40215771428439</v>
      </c>
      <c r="N47" s="137">
        <v>-237.11917714285801</v>
      </c>
      <c r="O47" s="137">
        <v>-25989.587112285764</v>
      </c>
      <c r="P47" s="128">
        <v>-7.5271256161251368E-2</v>
      </c>
      <c r="Q47" s="136">
        <v>0</v>
      </c>
      <c r="R47" s="136">
        <v>0</v>
      </c>
      <c r="S47" s="136">
        <v>0</v>
      </c>
      <c r="T47" s="136">
        <v>0</v>
      </c>
      <c r="U47" s="136">
        <v>0</v>
      </c>
    </row>
    <row r="48" spans="3:27">
      <c r="I48" s="229">
        <v>2</v>
      </c>
      <c r="J48" s="137">
        <v>1542.7568571428419</v>
      </c>
      <c r="K48" s="137">
        <v>-4527.1800000000367</v>
      </c>
      <c r="L48" s="137">
        <v>-695.45999999999913</v>
      </c>
      <c r="M48" s="137">
        <v>133.24646399999983</v>
      </c>
      <c r="N48" s="137">
        <v>142.34419200000002</v>
      </c>
      <c r="O48" s="137">
        <v>-3404.292486857194</v>
      </c>
      <c r="P48" s="128">
        <v>-1.2697510749994227E-2</v>
      </c>
      <c r="Q48" s="136">
        <v>0</v>
      </c>
      <c r="R48" s="136">
        <v>0</v>
      </c>
      <c r="S48" s="136">
        <v>0</v>
      </c>
      <c r="T48" s="136">
        <v>0</v>
      </c>
      <c r="U48" s="136">
        <v>0</v>
      </c>
    </row>
    <row r="49" spans="9:21">
      <c r="I49" s="229">
        <v>3</v>
      </c>
      <c r="J49" s="137">
        <v>2122.7925999999861</v>
      </c>
      <c r="K49" s="137">
        <v>-11524.559999999969</v>
      </c>
      <c r="L49" s="137">
        <v>-3009.7457142857165</v>
      </c>
      <c r="M49" s="137">
        <v>115.74429257142856</v>
      </c>
      <c r="N49" s="137">
        <v>83.608594285713025</v>
      </c>
      <c r="O49" s="137">
        <v>-12212.160227428558</v>
      </c>
      <c r="P49" s="128">
        <v>-4.1709413995924011E-2</v>
      </c>
      <c r="Q49" s="136">
        <v>0</v>
      </c>
      <c r="R49" s="136">
        <v>0</v>
      </c>
      <c r="S49" s="136">
        <v>0</v>
      </c>
      <c r="T49" s="136">
        <v>0</v>
      </c>
      <c r="U49" s="136">
        <v>0</v>
      </c>
    </row>
    <row r="50" spans="9:21">
      <c r="I50" s="229">
        <v>4</v>
      </c>
      <c r="J50" s="137">
        <v>8390.0762357142667</v>
      </c>
      <c r="K50" s="137">
        <v>-736.77857142858556</v>
      </c>
      <c r="L50" s="137">
        <v>1555.682142857142</v>
      </c>
      <c r="M50" s="137">
        <v>157.35414857142814</v>
      </c>
      <c r="N50" s="137">
        <v>25.136639999999261</v>
      </c>
      <c r="O50" s="137">
        <v>9391.4705957142505</v>
      </c>
      <c r="P50" s="128">
        <v>3.0944707370796697E-2</v>
      </c>
      <c r="Q50" s="136">
        <v>0</v>
      </c>
      <c r="R50" s="136">
        <v>0</v>
      </c>
      <c r="S50" s="136">
        <v>0</v>
      </c>
      <c r="T50" s="136">
        <v>0</v>
      </c>
      <c r="U50" s="136">
        <v>0</v>
      </c>
    </row>
    <row r="51" spans="9:21">
      <c r="I51" s="229">
        <v>5</v>
      </c>
      <c r="J51" s="137">
        <v>16863.593784285724</v>
      </c>
      <c r="K51" s="137">
        <v>12675.966428571381</v>
      </c>
      <c r="L51" s="137">
        <v>7259.0485714285605</v>
      </c>
      <c r="M51" s="137">
        <v>350.73435428571247</v>
      </c>
      <c r="N51" s="137">
        <v>235.68559542856929</v>
      </c>
      <c r="O51" s="137">
        <v>37385.028733999949</v>
      </c>
      <c r="P51" s="128">
        <v>0.10293776783361067</v>
      </c>
      <c r="Q51" s="136">
        <v>0</v>
      </c>
      <c r="R51" s="136">
        <v>0</v>
      </c>
      <c r="S51" s="136">
        <v>0</v>
      </c>
      <c r="T51" s="136">
        <v>0</v>
      </c>
      <c r="U51" s="136">
        <v>0</v>
      </c>
    </row>
    <row r="52" spans="9:21">
      <c r="I52" s="229">
        <v>6</v>
      </c>
      <c r="J52" s="137">
        <v>-2486.8054142857436</v>
      </c>
      <c r="K52" s="137">
        <v>-12401.485714285693</v>
      </c>
      <c r="L52" s="137">
        <v>-2300.2071428571362</v>
      </c>
      <c r="M52" s="137">
        <v>-200.02011428571541</v>
      </c>
      <c r="N52" s="137">
        <v>-316.24704000000065</v>
      </c>
      <c r="O52" s="137">
        <v>-17704.765425714289</v>
      </c>
      <c r="P52" s="128">
        <v>-4.5772974698249487E-2</v>
      </c>
      <c r="Q52" s="136">
        <v>0</v>
      </c>
      <c r="R52" s="136">
        <v>0</v>
      </c>
      <c r="S52" s="136">
        <v>0</v>
      </c>
      <c r="T52" s="136">
        <v>0</v>
      </c>
      <c r="U52" s="136">
        <v>0</v>
      </c>
    </row>
    <row r="53" spans="9:21">
      <c r="I53" s="229">
        <v>7</v>
      </c>
      <c r="J53" s="137">
        <v>-1817.8152742856619</v>
      </c>
      <c r="K53" s="137">
        <v>-13601.316428571445</v>
      </c>
      <c r="L53" s="137">
        <v>-2578.4249999999884</v>
      </c>
      <c r="M53" s="137">
        <v>125.29470171428466</v>
      </c>
      <c r="N53" s="137">
        <v>-182.88285257142934</v>
      </c>
      <c r="O53" s="137">
        <v>-18055.144853714242</v>
      </c>
      <c r="P53" s="128">
        <v>-5.0383850289786355E-2</v>
      </c>
      <c r="Q53" s="136">
        <v>0</v>
      </c>
      <c r="R53" s="136">
        <v>0</v>
      </c>
      <c r="S53" s="136">
        <v>0</v>
      </c>
      <c r="T53" s="136">
        <v>0</v>
      </c>
      <c r="U53" s="136">
        <v>0</v>
      </c>
    </row>
    <row r="54" spans="9:21">
      <c r="I54" s="229">
        <v>8</v>
      </c>
      <c r="J54" s="137">
        <v>-4350.6288700000587</v>
      </c>
      <c r="K54" s="137">
        <v>-15742.754999999976</v>
      </c>
      <c r="L54" s="137">
        <v>-3969.4049999999988</v>
      </c>
      <c r="M54" s="137">
        <v>166.13952000000018</v>
      </c>
      <c r="N54" s="137">
        <v>-174.99395657142941</v>
      </c>
      <c r="O54" s="137">
        <v>-24071.643306571463</v>
      </c>
      <c r="P54" s="128">
        <v>-7.3866099332243446E-2</v>
      </c>
      <c r="Q54" s="136">
        <v>0</v>
      </c>
      <c r="R54" s="136">
        <v>0</v>
      </c>
      <c r="S54" s="136">
        <v>0</v>
      </c>
      <c r="T54" s="136">
        <v>0</v>
      </c>
      <c r="U54" s="136">
        <v>0</v>
      </c>
    </row>
    <row r="55" spans="9:21">
      <c r="I55" s="229">
        <v>9</v>
      </c>
      <c r="J55" s="137">
        <v>-4612.1374428571289</v>
      </c>
      <c r="K55" s="137">
        <v>-10907.03571428571</v>
      </c>
      <c r="L55" s="137">
        <v>-4462.971428571429</v>
      </c>
      <c r="M55" s="137">
        <v>-136.88393142857194</v>
      </c>
      <c r="N55" s="137">
        <v>37.672045714285332</v>
      </c>
      <c r="O55" s="137">
        <v>-20081.356471428557</v>
      </c>
      <c r="P55" s="128">
        <v>-9.7933423997887251E-2</v>
      </c>
      <c r="Q55" s="136">
        <v>0</v>
      </c>
      <c r="R55" s="136">
        <v>0</v>
      </c>
      <c r="S55" s="136">
        <v>0</v>
      </c>
      <c r="T55" s="136">
        <v>0</v>
      </c>
      <c r="U55" s="136">
        <v>0</v>
      </c>
    </row>
    <row r="56" spans="9:21">
      <c r="I56" s="229">
        <v>10</v>
      </c>
      <c r="J56" s="137">
        <v>-9348.4457857142988</v>
      </c>
      <c r="K56" s="137">
        <v>-16490.627142857164</v>
      </c>
      <c r="L56" s="137">
        <v>-7010.0078571428676</v>
      </c>
      <c r="M56" s="137">
        <v>-251.46179657142875</v>
      </c>
      <c r="N56" s="137">
        <v>-231.17908114285638</v>
      </c>
      <c r="O56" s="137">
        <v>-33331.721663428616</v>
      </c>
      <c r="P56" s="128">
        <v>-0.13972875127831366</v>
      </c>
      <c r="Q56" s="136">
        <v>0</v>
      </c>
      <c r="R56" s="136">
        <v>0</v>
      </c>
      <c r="S56" s="136">
        <v>0</v>
      </c>
      <c r="T56" s="136">
        <v>0</v>
      </c>
      <c r="U56" s="136">
        <v>0</v>
      </c>
    </row>
    <row r="57" spans="9:21">
      <c r="I57" s="229">
        <v>11</v>
      </c>
      <c r="J57" s="137">
        <v>7787.9920428571349</v>
      </c>
      <c r="K57" s="137">
        <v>2589.4928571428609</v>
      </c>
      <c r="L57" s="137">
        <v>1296.835714285713</v>
      </c>
      <c r="M57" s="137">
        <v>205.34893714285681</v>
      </c>
      <c r="N57" s="137">
        <v>172.22235428571366</v>
      </c>
      <c r="O57" s="137">
        <v>12051.891905714279</v>
      </c>
      <c r="P57" s="128">
        <v>4.9142664905940367E-2</v>
      </c>
      <c r="Q57" s="136">
        <v>0</v>
      </c>
      <c r="R57" s="136">
        <v>0</v>
      </c>
      <c r="S57" s="136">
        <v>0</v>
      </c>
      <c r="T57" s="136">
        <v>0</v>
      </c>
      <c r="U57" s="136">
        <v>0</v>
      </c>
    </row>
    <row r="58" spans="9:21">
      <c r="I58" s="134">
        <v>12</v>
      </c>
      <c r="J58" s="132">
        <v>-585.41987285716459</v>
      </c>
      <c r="K58" s="132">
        <v>-10522.750714285736</v>
      </c>
      <c r="L58" s="132">
        <v>-2889.9085714285684</v>
      </c>
      <c r="M58" s="132">
        <v>41.56196571428427</v>
      </c>
      <c r="N58" s="132">
        <v>-89.043620571429528</v>
      </c>
      <c r="O58" s="132">
        <v>-14045.560813428612</v>
      </c>
      <c r="P58" s="127">
        <v>-4.4244968711339511E-2</v>
      </c>
      <c r="Q58" s="136">
        <v>0</v>
      </c>
      <c r="R58" s="136">
        <v>0</v>
      </c>
      <c r="S58" s="136">
        <v>0</v>
      </c>
      <c r="T58" s="136">
        <v>0</v>
      </c>
      <c r="U58" s="136">
        <v>0</v>
      </c>
    </row>
    <row r="59" spans="9:21">
      <c r="I59" s="229" t="s">
        <v>122</v>
      </c>
      <c r="J59" s="137">
        <v>8582.6673385712638</v>
      </c>
      <c r="K59" s="137">
        <v>-97936.868571428655</v>
      </c>
      <c r="L59" s="137">
        <v>-21006.304285714265</v>
      </c>
      <c r="M59" s="137">
        <v>827.4606994285632</v>
      </c>
      <c r="N59" s="137">
        <v>-534.79630628572272</v>
      </c>
      <c r="O59" s="137">
        <v>-110067.84112542882</v>
      </c>
      <c r="P59" s="128">
        <v>-3.0154173137213372E-2</v>
      </c>
      <c r="Q59" s="131">
        <v>0</v>
      </c>
      <c r="R59" s="131">
        <v>0</v>
      </c>
      <c r="S59" s="131">
        <v>0</v>
      </c>
      <c r="T59" s="131">
        <v>0</v>
      </c>
      <c r="U59" s="131">
        <v>0</v>
      </c>
    </row>
    <row r="60" spans="9:21">
      <c r="I60" s="574"/>
      <c r="J60" s="126">
        <v>6.7312875407496923E-3</v>
      </c>
      <c r="K60" s="126">
        <v>-5.9998003141560168E-2</v>
      </c>
      <c r="L60" s="126">
        <v>-3.0817053284286109E-2</v>
      </c>
      <c r="M60" s="126">
        <v>2.6734665506205998E-2</v>
      </c>
      <c r="N60" s="126">
        <v>-1.7710423529722026E-2</v>
      </c>
      <c r="O60" s="126">
        <v>-3.0154173137213372E-2</v>
      </c>
      <c r="P60" s="574"/>
      <c r="Q60" s="574"/>
      <c r="R60" s="574"/>
      <c r="S60" s="574"/>
      <c r="T60" s="574"/>
    </row>
    <row r="61" spans="9:21">
      <c r="I61" s="574"/>
      <c r="J61" s="574"/>
      <c r="K61" s="574"/>
      <c r="L61" s="574"/>
      <c r="M61" s="574"/>
      <c r="N61" s="574"/>
      <c r="O61" s="574"/>
      <c r="P61" s="574"/>
      <c r="Q61" s="574"/>
      <c r="R61" s="574"/>
      <c r="S61" s="574"/>
      <c r="T61" s="574"/>
    </row>
    <row r="62" spans="9:21">
      <c r="I62" s="574"/>
      <c r="J62" s="574"/>
      <c r="K62" s="574"/>
      <c r="L62" s="574"/>
      <c r="M62" s="574"/>
      <c r="N62" s="574"/>
      <c r="O62" s="125"/>
      <c r="P62" s="574"/>
    </row>
    <row r="63" spans="9:21">
      <c r="I63" s="574"/>
      <c r="J63" s="574"/>
      <c r="K63" s="574"/>
      <c r="L63" s="574"/>
      <c r="M63" s="574"/>
      <c r="N63" s="574"/>
      <c r="O63" s="523"/>
      <c r="P63" s="574"/>
    </row>
  </sheetData>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82"/>
  <sheetViews>
    <sheetView showGridLines="0" zoomScale="85" zoomScaleNormal="85" workbookViewId="0">
      <selection activeCell="D20" sqref="D20"/>
    </sheetView>
  </sheetViews>
  <sheetFormatPr defaultRowHeight="15" outlineLevelRow="1"/>
  <cols>
    <col min="1" max="1" width="0.85546875" style="575" customWidth="1"/>
    <col min="2" max="2" width="40.7109375" style="575" customWidth="1"/>
    <col min="3" max="4" width="14.5703125" style="575" bestFit="1" customWidth="1"/>
    <col min="5" max="5" width="13.5703125" style="575" customWidth="1"/>
    <col min="6" max="6" width="10.5703125" style="575" bestFit="1" customWidth="1"/>
    <col min="7" max="7" width="11.5703125" style="575" customWidth="1"/>
    <col min="8" max="8" width="12.7109375" style="575" customWidth="1"/>
    <col min="9" max="9" width="12.42578125" style="575" customWidth="1"/>
    <col min="10" max="10" width="12" style="575" customWidth="1"/>
    <col min="11" max="11" width="9.7109375" style="575" bestFit="1" customWidth="1"/>
    <col min="12" max="12" width="9.7109375" style="575" customWidth="1"/>
    <col min="13" max="13" width="11.5703125" style="575" bestFit="1" customWidth="1"/>
    <col min="14" max="14" width="10.5703125" style="575" bestFit="1" customWidth="1"/>
    <col min="15" max="15" width="11.140625" style="575" customWidth="1"/>
    <col min="16" max="17" width="11" style="575" customWidth="1"/>
    <col min="18" max="18" width="12.42578125" style="575" customWidth="1"/>
    <col min="19" max="19" width="3.140625" style="575" customWidth="1"/>
    <col min="20" max="20" width="12.7109375" style="575" customWidth="1"/>
    <col min="21" max="16384" width="9.140625" style="575"/>
  </cols>
  <sheetData>
    <row r="1" spans="2:17" ht="45">
      <c r="B1" s="240" t="s">
        <v>349</v>
      </c>
      <c r="C1" s="239" t="s">
        <v>350</v>
      </c>
      <c r="D1" s="238" t="s">
        <v>351</v>
      </c>
      <c r="E1" s="237" t="s">
        <v>352</v>
      </c>
      <c r="F1" s="237" t="s">
        <v>353</v>
      </c>
    </row>
    <row r="2" spans="2:17" ht="38.25" customHeight="1">
      <c r="B2" s="236" t="s">
        <v>354</v>
      </c>
      <c r="C2" s="524">
        <v>265624.980974395</v>
      </c>
      <c r="D2" s="235">
        <v>447830.62000000011</v>
      </c>
      <c r="E2" s="525">
        <v>0.59313715746903362</v>
      </c>
      <c r="F2" s="234" t="s">
        <v>355</v>
      </c>
    </row>
    <row r="3" spans="2:17" ht="38.25" customHeight="1">
      <c r="B3" s="236" t="s">
        <v>356</v>
      </c>
      <c r="C3" s="524">
        <v>434963.42143418256</v>
      </c>
      <c r="D3" s="235">
        <v>897613.54799999984</v>
      </c>
      <c r="E3" s="525">
        <v>0.48457760291535018</v>
      </c>
      <c r="F3" s="234" t="s">
        <v>355</v>
      </c>
    </row>
    <row r="4" spans="2:17" ht="38.25" customHeight="1">
      <c r="B4" s="236" t="s">
        <v>357</v>
      </c>
      <c r="C4" s="524">
        <v>237344.05876537063</v>
      </c>
      <c r="D4" s="235">
        <v>696463.83799999987</v>
      </c>
      <c r="E4" s="525">
        <v>0.34078446836082632</v>
      </c>
      <c r="F4" s="234" t="s">
        <v>355</v>
      </c>
    </row>
    <row r="5" spans="2:17" ht="38.25" customHeight="1">
      <c r="B5" s="236" t="s">
        <v>358</v>
      </c>
      <c r="C5" s="526">
        <v>71058.710754206855</v>
      </c>
      <c r="D5" s="233">
        <v>159394.87099999998</v>
      </c>
      <c r="E5" s="525">
        <v>0.4458029942143299</v>
      </c>
      <c r="F5" s="234" t="s">
        <v>355</v>
      </c>
    </row>
    <row r="6" spans="2:17" ht="15.75" thickBot="1">
      <c r="B6" s="536"/>
      <c r="C6" s="527">
        <v>1008991.171928155</v>
      </c>
      <c r="D6" s="232">
        <v>2201302.8769999999</v>
      </c>
      <c r="E6" s="231"/>
      <c r="F6" s="230"/>
    </row>
    <row r="7" spans="2:17" ht="15.75" thickTop="1">
      <c r="E7" s="229"/>
      <c r="F7" s="229"/>
      <c r="J7" s="228"/>
    </row>
    <row r="8" spans="2:17" hidden="1" outlineLevel="1">
      <c r="E8" s="229"/>
      <c r="F8" s="229"/>
    </row>
    <row r="9" spans="2:17" hidden="1" outlineLevel="1">
      <c r="E9" s="229"/>
      <c r="F9" s="229"/>
    </row>
    <row r="10" spans="2:17" hidden="1" outlineLevel="1">
      <c r="E10" s="229"/>
      <c r="F10" s="229"/>
    </row>
    <row r="11" spans="2:17" collapsed="1">
      <c r="B11" s="227" t="s">
        <v>359</v>
      </c>
      <c r="C11" s="226"/>
      <c r="D11" s="226"/>
      <c r="E11" s="226"/>
      <c r="F11" s="226"/>
      <c r="G11" s="226"/>
      <c r="H11" s="226"/>
      <c r="I11" s="226"/>
      <c r="J11" s="226"/>
      <c r="K11" s="226"/>
      <c r="L11" s="226"/>
      <c r="M11" s="226"/>
      <c r="N11" s="226"/>
      <c r="O11" s="226"/>
      <c r="P11" s="226"/>
      <c r="Q11" s="225"/>
    </row>
    <row r="12" spans="2:17">
      <c r="B12" s="224" t="s">
        <v>360</v>
      </c>
      <c r="C12" s="574"/>
      <c r="D12" s="574"/>
      <c r="E12" s="223" t="s">
        <v>361</v>
      </c>
      <c r="F12" s="223" t="s">
        <v>361</v>
      </c>
      <c r="G12" s="223" t="s">
        <v>361</v>
      </c>
      <c r="H12" s="223" t="s">
        <v>361</v>
      </c>
      <c r="I12" s="223" t="s">
        <v>361</v>
      </c>
      <c r="J12" s="223" t="s">
        <v>361</v>
      </c>
      <c r="K12" s="223" t="s">
        <v>361</v>
      </c>
      <c r="L12" s="223" t="s">
        <v>361</v>
      </c>
      <c r="M12" s="223" t="s">
        <v>361</v>
      </c>
      <c r="N12" s="223" t="s">
        <v>361</v>
      </c>
      <c r="O12" s="223" t="s">
        <v>361</v>
      </c>
      <c r="P12" s="223" t="s">
        <v>361</v>
      </c>
      <c r="Q12" s="222"/>
    </row>
    <row r="13" spans="2:17">
      <c r="B13" s="221"/>
      <c r="C13" s="574"/>
      <c r="D13" s="574"/>
      <c r="E13" s="220">
        <v>43101</v>
      </c>
      <c r="F13" s="220">
        <v>43132</v>
      </c>
      <c r="G13" s="220">
        <v>43160</v>
      </c>
      <c r="H13" s="220">
        <v>43191</v>
      </c>
      <c r="I13" s="220">
        <v>43221</v>
      </c>
      <c r="J13" s="220">
        <v>43252</v>
      </c>
      <c r="K13" s="220">
        <v>43282</v>
      </c>
      <c r="L13" s="220">
        <v>43313</v>
      </c>
      <c r="M13" s="220">
        <v>43344</v>
      </c>
      <c r="N13" s="220">
        <v>43374</v>
      </c>
      <c r="O13" s="220">
        <v>43405</v>
      </c>
      <c r="P13" s="220">
        <v>43435</v>
      </c>
      <c r="Q13" s="222"/>
    </row>
    <row r="14" spans="2:17">
      <c r="B14" s="219"/>
      <c r="C14" s="218"/>
      <c r="D14" s="218"/>
      <c r="E14" s="217">
        <v>0.49638345528571592</v>
      </c>
      <c r="F14" s="217">
        <v>0.57080103114491743</v>
      </c>
      <c r="G14" s="217">
        <v>0.50770526428778062</v>
      </c>
      <c r="H14" s="217">
        <v>0.31424930328202794</v>
      </c>
      <c r="I14" s="217">
        <v>0.2386133862119986</v>
      </c>
      <c r="J14" s="217">
        <v>0.21889279898617747</v>
      </c>
      <c r="K14" s="217">
        <v>0.47247122399497105</v>
      </c>
      <c r="L14" s="217">
        <v>0.60799356081962108</v>
      </c>
      <c r="M14" s="217">
        <v>0.49397572267535506</v>
      </c>
      <c r="N14" s="217">
        <v>0.49047779660312296</v>
      </c>
      <c r="O14" s="217">
        <v>0.45517086246052763</v>
      </c>
      <c r="P14" s="217">
        <v>0.53216577712964608</v>
      </c>
      <c r="Q14" s="216"/>
    </row>
    <row r="15" spans="2:17">
      <c r="B15" s="227" t="s">
        <v>362</v>
      </c>
      <c r="C15" s="226"/>
      <c r="D15" s="226"/>
      <c r="E15" s="226"/>
      <c r="F15" s="226"/>
      <c r="G15" s="226"/>
      <c r="H15" s="226"/>
      <c r="I15" s="226"/>
      <c r="J15" s="226"/>
      <c r="K15" s="226"/>
      <c r="L15" s="226"/>
      <c r="M15" s="226"/>
      <c r="N15" s="226"/>
      <c r="O15" s="226"/>
      <c r="P15" s="226"/>
      <c r="Q15" s="225"/>
    </row>
    <row r="16" spans="2:17" ht="26.25">
      <c r="B16" s="577"/>
      <c r="C16" s="528"/>
      <c r="D16" s="529" t="s">
        <v>363</v>
      </c>
      <c r="E16" s="529" t="s">
        <v>364</v>
      </c>
      <c r="F16" s="529" t="s">
        <v>365</v>
      </c>
      <c r="G16" s="529" t="s">
        <v>366</v>
      </c>
      <c r="H16" s="529" t="s">
        <v>353</v>
      </c>
      <c r="I16" s="529" t="s">
        <v>367</v>
      </c>
      <c r="J16" s="529" t="s">
        <v>368</v>
      </c>
      <c r="K16" s="529" t="s">
        <v>369</v>
      </c>
      <c r="L16" s="574"/>
      <c r="M16" s="574"/>
      <c r="N16" s="574"/>
      <c r="O16" s="574"/>
      <c r="P16" s="574"/>
      <c r="Q16" s="222"/>
    </row>
    <row r="17" spans="2:20">
      <c r="B17" s="530" t="s">
        <v>370</v>
      </c>
      <c r="C17" s="531"/>
      <c r="D17" s="532">
        <v>273</v>
      </c>
      <c r="E17" s="215">
        <v>696463.83799999999</v>
      </c>
      <c r="F17" s="534">
        <v>3.7043630471005602</v>
      </c>
      <c r="G17" s="214">
        <f>E17*F17</f>
        <v>2579954.9051290308</v>
      </c>
      <c r="H17" s="213" t="s">
        <v>371</v>
      </c>
      <c r="I17" s="533">
        <v>2534120</v>
      </c>
      <c r="J17" s="533">
        <f>2200352+333768</f>
        <v>2534120</v>
      </c>
      <c r="K17" s="534">
        <v>0</v>
      </c>
      <c r="L17" s="218"/>
      <c r="M17" s="218"/>
      <c r="N17" s="218"/>
      <c r="O17" s="218"/>
      <c r="P17" s="218"/>
      <c r="Q17" s="216"/>
    </row>
    <row r="18" spans="2:20">
      <c r="B18" s="576"/>
      <c r="C18" s="576"/>
      <c r="D18" s="576"/>
      <c r="E18" s="229"/>
      <c r="F18" s="576"/>
      <c r="G18" s="212"/>
      <c r="H18" s="229"/>
      <c r="I18" s="229"/>
    </row>
    <row r="19" spans="2:20">
      <c r="B19" s="211" t="s">
        <v>227</v>
      </c>
      <c r="C19" s="210"/>
      <c r="D19" s="210"/>
      <c r="E19" s="226"/>
      <c r="F19" s="226"/>
      <c r="G19" s="226"/>
      <c r="H19" s="226"/>
      <c r="I19" s="226"/>
      <c r="J19" s="226"/>
      <c r="K19" s="226"/>
      <c r="L19" s="226"/>
      <c r="M19" s="226"/>
      <c r="N19" s="226"/>
      <c r="O19" s="226"/>
      <c r="P19" s="226"/>
      <c r="Q19" s="225"/>
    </row>
    <row r="20" spans="2:20">
      <c r="B20" s="221"/>
      <c r="C20" s="574"/>
      <c r="D20" s="574"/>
      <c r="E20" s="209">
        <f>'2018 Wind'!B2</f>
        <v>43101</v>
      </c>
      <c r="F20" s="209">
        <f>'2018 Wind'!C2</f>
        <v>43132</v>
      </c>
      <c r="G20" s="209">
        <f>'2018 Wind'!D2</f>
        <v>43160</v>
      </c>
      <c r="H20" s="209">
        <f>'2018 Wind'!E2</f>
        <v>43191</v>
      </c>
      <c r="I20" s="209">
        <f>'2018 Wind'!F2</f>
        <v>43221</v>
      </c>
      <c r="J20" s="209">
        <f>'2018 Wind'!G2</f>
        <v>43252</v>
      </c>
      <c r="K20" s="209">
        <f>'2018 Wind'!H2</f>
        <v>43282</v>
      </c>
      <c r="L20" s="209">
        <f>'2018 Wind'!I2</f>
        <v>43313</v>
      </c>
      <c r="M20" s="209">
        <f>'2018 Wind'!J2</f>
        <v>43344</v>
      </c>
      <c r="N20" s="209">
        <f>'2018 Wind'!K2</f>
        <v>43374</v>
      </c>
      <c r="O20" s="209">
        <f>'2018 Wind'!L2</f>
        <v>43405</v>
      </c>
      <c r="P20" s="209">
        <f>'2018 Wind'!M2</f>
        <v>43435</v>
      </c>
      <c r="Q20" s="208" t="s">
        <v>122</v>
      </c>
      <c r="R20" s="535"/>
    </row>
    <row r="21" spans="2:20" s="496" customFormat="1" ht="12.75">
      <c r="B21" s="207" t="s">
        <v>372</v>
      </c>
      <c r="C21" s="206"/>
      <c r="D21" s="206"/>
      <c r="E21" s="205"/>
      <c r="F21" s="205"/>
      <c r="G21" s="205"/>
      <c r="H21" s="205"/>
      <c r="I21" s="205"/>
      <c r="J21" s="205"/>
      <c r="K21" s="205"/>
      <c r="L21" s="205"/>
      <c r="M21" s="205"/>
      <c r="N21" s="205"/>
      <c r="O21" s="205"/>
      <c r="P21" s="205"/>
      <c r="Q21" s="204"/>
      <c r="R21" s="536"/>
    </row>
    <row r="22" spans="2:20" s="496" customFormat="1" ht="12.75">
      <c r="B22" s="537" t="s">
        <v>217</v>
      </c>
      <c r="C22" s="538"/>
      <c r="D22" s="538"/>
      <c r="E22" s="540">
        <f>-'2018 Wind'!B18</f>
        <v>194.02626532412251</v>
      </c>
      <c r="F22" s="540">
        <f>-'2018 Wind'!C18</f>
        <v>-26798.603169970647</v>
      </c>
      <c r="G22" s="540">
        <f>-'2018 Wind'!D18</f>
        <v>12645.578598172557</v>
      </c>
      <c r="H22" s="540">
        <f>-'2018 Wind'!E18</f>
        <v>-8176.5603514456816</v>
      </c>
      <c r="I22" s="540">
        <f>-'2018 Wind'!F18</f>
        <v>21978.399122317573</v>
      </c>
      <c r="J22" s="540">
        <f>-'2018 Wind'!G18</f>
        <v>7084.4481394601135</v>
      </c>
      <c r="K22" s="540">
        <f>-'2018 Wind'!H18</f>
        <v>12464.183324072728</v>
      </c>
      <c r="L22" s="540">
        <f>-'2018 Wind'!I18</f>
        <v>-2676.3104752179897</v>
      </c>
      <c r="M22" s="540">
        <f>-'2018 Wind'!J18</f>
        <v>6855.2016079941204</v>
      </c>
      <c r="N22" s="540">
        <f>-'2018 Wind'!K18</f>
        <v>11254.126096808213</v>
      </c>
      <c r="O22" s="540">
        <f>-'2018 Wind'!L18</f>
        <v>-2938.4086364129398</v>
      </c>
      <c r="P22" s="540">
        <f>-'2018 Wind'!M18</f>
        <v>5032.3086719719722</v>
      </c>
      <c r="Q22" s="203">
        <f>SUM(E22:P22)</f>
        <v>36918.389193074145</v>
      </c>
      <c r="R22" s="539"/>
      <c r="S22" s="202"/>
      <c r="T22" s="202"/>
    </row>
    <row r="23" spans="2:20" s="496" customFormat="1" ht="12.75">
      <c r="B23" s="537" t="s">
        <v>218</v>
      </c>
      <c r="C23" s="538"/>
      <c r="D23" s="538"/>
      <c r="E23" s="540">
        <f>-'2018 Wind'!B19</f>
        <v>9268.3125241379166</v>
      </c>
      <c r="F23" s="540">
        <f>-'2018 Wind'!C19</f>
        <v>-64479.125731034503</v>
      </c>
      <c r="G23" s="540">
        <f>-'2018 Wind'!D19</f>
        <v>467.71037241378508</v>
      </c>
      <c r="H23" s="540">
        <f>-'2018 Wind'!E19</f>
        <v>-5126.0968137931195</v>
      </c>
      <c r="I23" s="540">
        <f>-'2018 Wind'!F19</f>
        <v>39153.422820689644</v>
      </c>
      <c r="J23" s="540">
        <f>-'2018 Wind'!G19</f>
        <v>1007.2113517241523</v>
      </c>
      <c r="K23" s="540">
        <f>-'2018 Wind'!H19</f>
        <v>8390.637889655176</v>
      </c>
      <c r="L23" s="540">
        <f>-'2018 Wind'!I19</f>
        <v>2362.8317655172141</v>
      </c>
      <c r="M23" s="540">
        <f>-'2018 Wind'!J19</f>
        <v>2986.0496275861733</v>
      </c>
      <c r="N23" s="540">
        <f>-'2018 Wind'!K19</f>
        <v>19686.03159999998</v>
      </c>
      <c r="O23" s="540">
        <f>-'2018 Wind'!L19</f>
        <v>-15534.161765517245</v>
      </c>
      <c r="P23" s="540">
        <f>-'2018 Wind'!M19</f>
        <v>16654.078358620674</v>
      </c>
      <c r="Q23" s="203">
        <f>SUM(E23:P23)</f>
        <v>14836.901999999849</v>
      </c>
      <c r="R23" s="539"/>
      <c r="T23" s="202"/>
    </row>
    <row r="24" spans="2:20" s="496" customFormat="1" ht="12.75">
      <c r="B24" s="537" t="s">
        <v>219</v>
      </c>
      <c r="C24" s="538"/>
      <c r="D24" s="538"/>
      <c r="E24" s="540">
        <f>-'2018 Wind'!B20</f>
        <v>13038.653405121891</v>
      </c>
      <c r="F24" s="540">
        <f>-'2018 Wind'!C20</f>
        <v>-26359.532679992197</v>
      </c>
      <c r="G24" s="540">
        <f>-'2018 Wind'!D20</f>
        <v>-3102.939166886048</v>
      </c>
      <c r="H24" s="540">
        <f>-'2018 Wind'!E20</f>
        <v>-8905.9392530891928</v>
      </c>
      <c r="I24" s="540">
        <f>-'2018 Wind'!F20</f>
        <v>28695.165641883177</v>
      </c>
      <c r="J24" s="540">
        <f>-'2018 Wind'!G20</f>
        <v>-596.48907311877701</v>
      </c>
      <c r="K24" s="540">
        <f>-'2018 Wind'!H20</f>
        <v>17545.998393212954</v>
      </c>
      <c r="L24" s="540">
        <f>-'2018 Wind'!I20</f>
        <v>3953.0263242547517</v>
      </c>
      <c r="M24" s="540">
        <f>-'2018 Wind'!J20</f>
        <v>1368.0921197154094</v>
      </c>
      <c r="N24" s="540">
        <f>-'2018 Wind'!K20</f>
        <v>21553.541320560871</v>
      </c>
      <c r="O24" s="540">
        <f>-'2018 Wind'!L20</f>
        <v>10361.689469281191</v>
      </c>
      <c r="P24" s="540">
        <f>-'2018 Wind'!M20</f>
        <v>224.02187554583361</v>
      </c>
      <c r="Q24" s="203">
        <f>SUM(E24:P24)</f>
        <v>57775.288376489865</v>
      </c>
      <c r="R24" s="539"/>
      <c r="T24" s="202"/>
    </row>
    <row r="25" spans="2:20" s="496" customFormat="1" ht="12.75">
      <c r="B25" s="537" t="s">
        <v>220</v>
      </c>
      <c r="C25" s="538"/>
      <c r="D25" s="538"/>
      <c r="E25" s="201">
        <f>-'2018 Wind'!B21</f>
        <v>4456.8982458799801</v>
      </c>
      <c r="F25" s="201">
        <f>-'2018 Wind'!C21</f>
        <v>-2495.3554994113128</v>
      </c>
      <c r="G25" s="201">
        <f>-'2018 Wind'!D21</f>
        <v>5890.926469110369</v>
      </c>
      <c r="H25" s="201">
        <f>-'2018 Wind'!E21</f>
        <v>2414.0472324088241</v>
      </c>
      <c r="I25" s="201">
        <f>-'2018 Wind'!F21</f>
        <v>779.20693039714388</v>
      </c>
      <c r="J25" s="201">
        <f>-'2018 Wind'!G21</f>
        <v>2316.7831284337772</v>
      </c>
      <c r="K25" s="201">
        <f>-'2018 Wind'!H21</f>
        <v>4601.6514707929055</v>
      </c>
      <c r="L25" s="201">
        <f>-'2018 Wind'!I21</f>
        <v>4031.2513881220038</v>
      </c>
      <c r="M25" s="201">
        <f>-'2018 Wind'!J21</f>
        <v>4682.1876787102065</v>
      </c>
      <c r="N25" s="201">
        <f>-'2018 Wind'!K21</f>
        <v>8213.9781112745295</v>
      </c>
      <c r="O25" s="201">
        <f>-'2018 Wind'!L21</f>
        <v>1942.8444697323994</v>
      </c>
      <c r="P25" s="201">
        <f>-'2018 Wind'!M21</f>
        <v>3301.4159740158011</v>
      </c>
      <c r="Q25" s="200">
        <f>SUM(E25:P25)</f>
        <v>40135.835599466627</v>
      </c>
      <c r="R25" s="540"/>
      <c r="T25" s="202"/>
    </row>
    <row r="26" spans="2:20" s="496" customFormat="1" ht="12.75">
      <c r="B26" s="199" t="str">
        <f>B21</f>
        <v>INCREASE / (DECREASE) TO WIND GENERATION</v>
      </c>
      <c r="C26" s="198"/>
      <c r="D26" s="198"/>
      <c r="E26" s="540">
        <f t="shared" ref="E26:P26" si="0">SUM(E22:E25)</f>
        <v>26957.890440463911</v>
      </c>
      <c r="F26" s="540">
        <f t="shared" si="0"/>
        <v>-120132.61708040866</v>
      </c>
      <c r="G26" s="540">
        <f t="shared" si="0"/>
        <v>15901.276272810663</v>
      </c>
      <c r="H26" s="540">
        <f t="shared" si="0"/>
        <v>-19794.549185919168</v>
      </c>
      <c r="I26" s="540">
        <f t="shared" si="0"/>
        <v>90606.194515287527</v>
      </c>
      <c r="J26" s="540">
        <f t="shared" si="0"/>
        <v>9811.9535464992659</v>
      </c>
      <c r="K26" s="540">
        <f t="shared" si="0"/>
        <v>43002.47107773376</v>
      </c>
      <c r="L26" s="540">
        <f t="shared" si="0"/>
        <v>7670.7990026759799</v>
      </c>
      <c r="M26" s="540">
        <f t="shared" si="0"/>
        <v>15891.53103400591</v>
      </c>
      <c r="N26" s="540">
        <f t="shared" si="0"/>
        <v>60707.677128643598</v>
      </c>
      <c r="O26" s="540">
        <f t="shared" si="0"/>
        <v>-6168.0364629165942</v>
      </c>
      <c r="P26" s="540">
        <f t="shared" si="0"/>
        <v>25211.82488015428</v>
      </c>
      <c r="Q26" s="203">
        <f>SUM(E26:P26)</f>
        <v>149666.41516903049</v>
      </c>
      <c r="R26" s="539"/>
    </row>
    <row r="27" spans="2:20" s="496" customFormat="1" ht="12.75">
      <c r="B27" s="199"/>
      <c r="C27" s="198"/>
      <c r="D27" s="198"/>
      <c r="E27" s="205"/>
      <c r="F27" s="205"/>
      <c r="G27" s="205"/>
      <c r="H27" s="205"/>
      <c r="I27" s="205"/>
      <c r="J27" s="205"/>
      <c r="K27" s="205"/>
      <c r="L27" s="205"/>
      <c r="M27" s="205"/>
      <c r="N27" s="205"/>
      <c r="O27" s="205"/>
      <c r="P27" s="205"/>
      <c r="Q27" s="204"/>
      <c r="R27" s="536"/>
    </row>
    <row r="28" spans="2:20" s="496" customFormat="1" ht="12.75">
      <c r="B28" s="207" t="s">
        <v>227</v>
      </c>
      <c r="C28" s="206"/>
      <c r="D28" s="206"/>
      <c r="E28" s="205"/>
      <c r="F28" s="205"/>
      <c r="G28" s="205"/>
      <c r="H28" s="205"/>
      <c r="I28" s="205"/>
      <c r="J28" s="205"/>
      <c r="K28" s="205"/>
      <c r="L28" s="205"/>
      <c r="M28" s="205"/>
      <c r="N28" s="205"/>
      <c r="O28" s="205"/>
      <c r="P28" s="205"/>
      <c r="Q28" s="204"/>
      <c r="R28" s="536"/>
    </row>
    <row r="29" spans="2:20" s="496" customFormat="1" ht="12.75">
      <c r="B29" s="197"/>
      <c r="C29" s="205"/>
      <c r="D29" s="205"/>
      <c r="E29" s="205"/>
      <c r="F29" s="205"/>
      <c r="G29" s="205"/>
      <c r="H29" s="205"/>
      <c r="I29" s="205"/>
      <c r="J29" s="205"/>
      <c r="K29" s="205"/>
      <c r="L29" s="205"/>
      <c r="M29" s="205"/>
      <c r="N29" s="205"/>
      <c r="O29" s="205"/>
      <c r="P29" s="205"/>
      <c r="Q29" s="204"/>
      <c r="R29" s="536"/>
    </row>
    <row r="30" spans="2:20" s="496" customFormat="1" ht="12.75">
      <c r="B30" s="199"/>
      <c r="C30" s="196"/>
      <c r="D30" s="196" t="s">
        <v>373</v>
      </c>
      <c r="E30" s="209">
        <f t="shared" ref="E30:P30" si="1">E20</f>
        <v>43101</v>
      </c>
      <c r="F30" s="209">
        <f t="shared" si="1"/>
        <v>43132</v>
      </c>
      <c r="G30" s="209">
        <f t="shared" si="1"/>
        <v>43160</v>
      </c>
      <c r="H30" s="209">
        <f t="shared" si="1"/>
        <v>43191</v>
      </c>
      <c r="I30" s="209">
        <f t="shared" si="1"/>
        <v>43221</v>
      </c>
      <c r="J30" s="209">
        <f t="shared" si="1"/>
        <v>43252</v>
      </c>
      <c r="K30" s="209">
        <f t="shared" si="1"/>
        <v>43282</v>
      </c>
      <c r="L30" s="209">
        <f t="shared" si="1"/>
        <v>43313</v>
      </c>
      <c r="M30" s="209">
        <f t="shared" si="1"/>
        <v>43344</v>
      </c>
      <c r="N30" s="209">
        <f t="shared" si="1"/>
        <v>43374</v>
      </c>
      <c r="O30" s="209">
        <f t="shared" si="1"/>
        <v>43405</v>
      </c>
      <c r="P30" s="209">
        <f t="shared" si="1"/>
        <v>43435</v>
      </c>
      <c r="Q30" s="208" t="s">
        <v>122</v>
      </c>
      <c r="R30" s="535"/>
    </row>
    <row r="31" spans="2:20" s="496" customFormat="1" ht="12.75">
      <c r="B31" s="195" t="s">
        <v>374</v>
      </c>
      <c r="C31" s="194"/>
      <c r="D31" s="193" t="s">
        <v>375</v>
      </c>
      <c r="E31" s="205"/>
      <c r="F31" s="205"/>
      <c r="G31" s="205"/>
      <c r="H31" s="205"/>
      <c r="I31" s="205"/>
      <c r="J31" s="205"/>
      <c r="K31" s="205"/>
      <c r="L31" s="205"/>
      <c r="M31" s="205"/>
      <c r="N31" s="205"/>
      <c r="O31" s="205"/>
      <c r="P31" s="205"/>
      <c r="Q31" s="204"/>
      <c r="R31" s="541" t="s">
        <v>376</v>
      </c>
    </row>
    <row r="32" spans="2:20" s="496" customFormat="1" ht="12.75">
      <c r="B32" s="537" t="s">
        <v>217</v>
      </c>
      <c r="C32" s="542"/>
      <c r="D32" s="525">
        <f>E2</f>
        <v>0.59313715746903362</v>
      </c>
      <c r="E32" s="192">
        <f t="shared" ref="E32:P32" si="2">E22*$D$32</f>
        <v>115.08418748868255</v>
      </c>
      <c r="F32" s="192">
        <f t="shared" si="2"/>
        <v>-15895.247308377024</v>
      </c>
      <c r="G32" s="192">
        <f t="shared" si="2"/>
        <v>7500.5625442713172</v>
      </c>
      <c r="H32" s="192">
        <f t="shared" si="2"/>
        <v>-4849.8217647304937</v>
      </c>
      <c r="I32" s="192">
        <f t="shared" si="2"/>
        <v>13036.205181131349</v>
      </c>
      <c r="J32" s="192">
        <f t="shared" si="2"/>
        <v>4202.0494316761551</v>
      </c>
      <c r="K32" s="192">
        <f t="shared" si="2"/>
        <v>7392.9702670134284</v>
      </c>
      <c r="L32" s="192">
        <f t="shared" si="2"/>
        <v>-1587.4191877753969</v>
      </c>
      <c r="M32" s="192">
        <f t="shared" si="2"/>
        <v>4066.0747956427813</v>
      </c>
      <c r="N32" s="192">
        <f t="shared" si="2"/>
        <v>6675.2403628588936</v>
      </c>
      <c r="O32" s="192">
        <f t="shared" si="2"/>
        <v>-1742.8793460844302</v>
      </c>
      <c r="P32" s="192">
        <f t="shared" si="2"/>
        <v>2984.8492612002233</v>
      </c>
      <c r="Q32" s="191">
        <f>SUM(E32:P32)</f>
        <v>21897.668424315485</v>
      </c>
      <c r="R32" s="543">
        <f>SUM(E22:P22)*D32-Q32</f>
        <v>0</v>
      </c>
    </row>
    <row r="33" spans="2:20" s="496" customFormat="1" ht="12.75">
      <c r="B33" s="537" t="s">
        <v>218</v>
      </c>
      <c r="C33" s="542"/>
      <c r="D33" s="525">
        <f>E3</f>
        <v>0.48457760291535018</v>
      </c>
      <c r="E33" s="192">
        <f t="shared" ref="E33:P33" si="3">E23*$D$33</f>
        <v>4491.2166660170706</v>
      </c>
      <c r="F33" s="192">
        <f t="shared" si="3"/>
        <v>-31245.140184822176</v>
      </c>
      <c r="G33" s="192">
        <f t="shared" si="3"/>
        <v>226.64197112291771</v>
      </c>
      <c r="H33" s="192">
        <f t="shared" si="3"/>
        <v>-2483.9917063398839</v>
      </c>
      <c r="I33" s="192">
        <f t="shared" si="3"/>
        <v>18972.871776380958</v>
      </c>
      <c r="J33" s="192">
        <f t="shared" si="3"/>
        <v>488.07206244761937</v>
      </c>
      <c r="K33" s="192">
        <f t="shared" si="3"/>
        <v>4065.9151954998179</v>
      </c>
      <c r="L33" s="192">
        <f t="shared" si="3"/>
        <v>1144.9753530265764</v>
      </c>
      <c r="M33" s="192">
        <f t="shared" si="3"/>
        <v>1446.972770721982</v>
      </c>
      <c r="N33" s="192">
        <f t="shared" si="3"/>
        <v>9539.4100036438267</v>
      </c>
      <c r="O33" s="192">
        <f t="shared" si="3"/>
        <v>-7527.5068716336309</v>
      </c>
      <c r="P33" s="192">
        <f t="shared" si="3"/>
        <v>8070.1933697848162</v>
      </c>
      <c r="Q33" s="191">
        <f>SUM(E33:P33)</f>
        <v>7189.6304058498945</v>
      </c>
      <c r="R33" s="543">
        <f>SUM(E23:P23)*D33-Q33</f>
        <v>0</v>
      </c>
    </row>
    <row r="34" spans="2:20" s="496" customFormat="1" ht="12.75">
      <c r="B34" s="537" t="s">
        <v>219</v>
      </c>
      <c r="C34" s="542"/>
      <c r="D34" s="525">
        <f>E4</f>
        <v>0.34078446836082632</v>
      </c>
      <c r="E34" s="192">
        <f t="shared" ref="E34:P34" si="4">E24*$D$34</f>
        <v>4443.3705688055416</v>
      </c>
      <c r="F34" s="192">
        <f t="shared" si="4"/>
        <v>-8982.9193305909685</v>
      </c>
      <c r="G34" s="192">
        <f t="shared" si="4"/>
        <v>-1057.4334743432473</v>
      </c>
      <c r="H34" s="192">
        <f t="shared" si="4"/>
        <v>-3035.0057736178151</v>
      </c>
      <c r="I34" s="192">
        <f t="shared" si="4"/>
        <v>9778.8667677950089</v>
      </c>
      <c r="J34" s="192">
        <f t="shared" si="4"/>
        <v>-203.27421166582448</v>
      </c>
      <c r="K34" s="192">
        <f t="shared" si="4"/>
        <v>5979.4037342909896</v>
      </c>
      <c r="L34" s="192">
        <f t="shared" si="4"/>
        <v>1347.1299743275069</v>
      </c>
      <c r="M34" s="192">
        <f t="shared" si="4"/>
        <v>466.22454568585175</v>
      </c>
      <c r="N34" s="192">
        <f t="shared" si="4"/>
        <v>7345.1121202204386</v>
      </c>
      <c r="O34" s="192">
        <f t="shared" si="4"/>
        <v>3531.1028371089633</v>
      </c>
      <c r="P34" s="192">
        <f t="shared" si="4"/>
        <v>76.343175759082101</v>
      </c>
      <c r="Q34" s="191">
        <f>SUM(E34:P34)</f>
        <v>19688.920933775527</v>
      </c>
      <c r="R34" s="543">
        <f>SUM(E24:P24)*D34-Q34</f>
        <v>0</v>
      </c>
    </row>
    <row r="35" spans="2:20" s="496" customFormat="1" ht="12.75">
      <c r="B35" s="537" t="s">
        <v>220</v>
      </c>
      <c r="C35" s="542"/>
      <c r="D35" s="525">
        <f>E5</f>
        <v>0.4458029942143299</v>
      </c>
      <c r="E35" s="190">
        <f t="shared" ref="E35:P35" si="5">E25*$D$35</f>
        <v>1986.8985829218898</v>
      </c>
      <c r="F35" s="190">
        <f t="shared" si="5"/>
        <v>-1112.4369532667579</v>
      </c>
      <c r="G35" s="190">
        <f t="shared" si="5"/>
        <v>2626.1926586258528</v>
      </c>
      <c r="H35" s="190">
        <f t="shared" si="5"/>
        <v>1076.1894843826701</v>
      </c>
      <c r="I35" s="190">
        <f t="shared" si="5"/>
        <v>347.3727826836037</v>
      </c>
      <c r="J35" s="190">
        <f t="shared" si="5"/>
        <v>1032.8288556010202</v>
      </c>
      <c r="K35" s="190">
        <f t="shared" si="5"/>
        <v>2051.4300040102521</v>
      </c>
      <c r="L35" s="190">
        <f t="shared" si="5"/>
        <v>1797.143939255463</v>
      </c>
      <c r="M35" s="190">
        <f t="shared" si="5"/>
        <v>2087.333286642453</v>
      </c>
      <c r="N35" s="190">
        <f t="shared" si="5"/>
        <v>3661.8160364171513</v>
      </c>
      <c r="O35" s="190">
        <f t="shared" si="5"/>
        <v>866.12588189945563</v>
      </c>
      <c r="P35" s="190">
        <f t="shared" si="5"/>
        <v>1471.7811263632625</v>
      </c>
      <c r="Q35" s="189">
        <f>SUM(E35:P35)</f>
        <v>17892.675685536316</v>
      </c>
      <c r="R35" s="543">
        <f>SUM(E25:P25)*D35-Q35</f>
        <v>0</v>
      </c>
    </row>
    <row r="36" spans="2:20" s="496" customFormat="1" ht="12.75">
      <c r="B36" s="199" t="s">
        <v>377</v>
      </c>
      <c r="C36" s="198"/>
      <c r="D36" s="198"/>
      <c r="E36" s="192">
        <f t="shared" ref="E36:P36" si="6">SUM(E32:E35)</f>
        <v>11036.570005233183</v>
      </c>
      <c r="F36" s="192">
        <f t="shared" si="6"/>
        <v>-57235.74377705693</v>
      </c>
      <c r="G36" s="192">
        <f t="shared" si="6"/>
        <v>9295.9636996768404</v>
      </c>
      <c r="H36" s="192">
        <f t="shared" si="6"/>
        <v>-9292.6297603055227</v>
      </c>
      <c r="I36" s="192">
        <f t="shared" si="6"/>
        <v>42135.316507990916</v>
      </c>
      <c r="J36" s="192">
        <f t="shared" si="6"/>
        <v>5519.6761380589696</v>
      </c>
      <c r="K36" s="192">
        <f t="shared" si="6"/>
        <v>19489.719200814488</v>
      </c>
      <c r="L36" s="192">
        <f t="shared" si="6"/>
        <v>2701.8300788341494</v>
      </c>
      <c r="M36" s="192">
        <f t="shared" si="6"/>
        <v>8066.6053986930674</v>
      </c>
      <c r="N36" s="192">
        <f t="shared" si="6"/>
        <v>27221.57852314031</v>
      </c>
      <c r="O36" s="192">
        <f t="shared" si="6"/>
        <v>-4873.1574987096428</v>
      </c>
      <c r="P36" s="192">
        <f t="shared" si="6"/>
        <v>12603.166933107384</v>
      </c>
      <c r="Q36" s="191">
        <f>SUM(E36:P36)</f>
        <v>66668.895449477204</v>
      </c>
      <c r="R36" s="536"/>
    </row>
    <row r="37" spans="2:20" s="496" customFormat="1" ht="12.75">
      <c r="B37" s="197"/>
      <c r="C37" s="205"/>
      <c r="D37" s="205"/>
      <c r="E37" s="188">
        <f t="shared" ref="E37:Q37" si="7">E36/E26</f>
        <v>0.40940035829610921</v>
      </c>
      <c r="F37" s="188">
        <f t="shared" si="7"/>
        <v>0.47643799967120659</v>
      </c>
      <c r="G37" s="188">
        <f t="shared" si="7"/>
        <v>0.58460487951975648</v>
      </c>
      <c r="H37" s="188">
        <f t="shared" si="7"/>
        <v>0.46945397306223197</v>
      </c>
      <c r="I37" s="188">
        <f t="shared" si="7"/>
        <v>0.46503792299633151</v>
      </c>
      <c r="J37" s="188">
        <f t="shared" si="7"/>
        <v>0.5625460935889055</v>
      </c>
      <c r="K37" s="188">
        <f t="shared" si="7"/>
        <v>0.45322323839445744</v>
      </c>
      <c r="L37" s="188">
        <f t="shared" si="7"/>
        <v>0.35222277078197567</v>
      </c>
      <c r="M37" s="188">
        <f t="shared" si="7"/>
        <v>0.50760404277168325</v>
      </c>
      <c r="N37" s="188">
        <f t="shared" si="7"/>
        <v>0.44840421855469742</v>
      </c>
      <c r="O37" s="188">
        <f t="shared" si="7"/>
        <v>0.79006625982320156</v>
      </c>
      <c r="P37" s="188">
        <f t="shared" si="7"/>
        <v>0.49989110240996809</v>
      </c>
      <c r="Q37" s="187">
        <f t="shared" si="7"/>
        <v>0.44544993861303206</v>
      </c>
      <c r="R37" s="536"/>
    </row>
    <row r="38" spans="2:20" s="496" customFormat="1" ht="12.75">
      <c r="B38" s="195" t="s">
        <v>378</v>
      </c>
      <c r="C38" s="194"/>
      <c r="D38" s="194"/>
      <c r="E38" s="205"/>
      <c r="F38" s="205"/>
      <c r="G38" s="205"/>
      <c r="H38" s="205"/>
      <c r="I38" s="205"/>
      <c r="J38" s="205"/>
      <c r="K38" s="205"/>
      <c r="L38" s="205"/>
      <c r="M38" s="205"/>
      <c r="N38" s="205"/>
      <c r="O38" s="205"/>
      <c r="P38" s="205"/>
      <c r="Q38" s="204"/>
      <c r="R38" s="536"/>
    </row>
    <row r="39" spans="2:20" s="496" customFormat="1" ht="12.75">
      <c r="B39" s="537" t="s">
        <v>217</v>
      </c>
      <c r="C39" s="544"/>
      <c r="D39" s="528" t="s">
        <v>379</v>
      </c>
      <c r="E39" s="548"/>
      <c r="F39" s="548"/>
      <c r="G39" s="548"/>
      <c r="H39" s="548"/>
      <c r="I39" s="548"/>
      <c r="J39" s="548"/>
      <c r="K39" s="548"/>
      <c r="L39" s="548"/>
      <c r="M39" s="548"/>
      <c r="N39" s="548"/>
      <c r="O39" s="548"/>
      <c r="P39" s="548"/>
      <c r="Q39" s="186"/>
      <c r="R39" s="545"/>
    </row>
    <row r="40" spans="2:20" s="496" customFormat="1" ht="12.75">
      <c r="B40" s="537" t="s">
        <v>218</v>
      </c>
      <c r="C40" s="544"/>
      <c r="D40" s="528" t="s">
        <v>379</v>
      </c>
      <c r="E40" s="548"/>
      <c r="F40" s="548"/>
      <c r="G40" s="548"/>
      <c r="H40" s="548"/>
      <c r="I40" s="548"/>
      <c r="J40" s="548"/>
      <c r="K40" s="548"/>
      <c r="L40" s="548"/>
      <c r="M40" s="548"/>
      <c r="N40" s="548"/>
      <c r="O40" s="548"/>
      <c r="P40" s="548"/>
      <c r="Q40" s="186"/>
      <c r="R40" s="545"/>
    </row>
    <row r="41" spans="2:20" s="496" customFormat="1" ht="12.75">
      <c r="B41" s="537" t="s">
        <v>225</v>
      </c>
      <c r="C41" s="546"/>
      <c r="D41" s="525">
        <f>F17</f>
        <v>3.7043630471005602</v>
      </c>
      <c r="E41" s="192">
        <f t="shared" ref="E41:P41" si="8">E24*$D$41</f>
        <v>48299.905857885424</v>
      </c>
      <c r="F41" s="192">
        <f t="shared" si="8"/>
        <v>-97645.278798602696</v>
      </c>
      <c r="G41" s="192">
        <f t="shared" si="8"/>
        <v>-11494.413187213675</v>
      </c>
      <c r="H41" s="192">
        <f t="shared" si="8"/>
        <v>-32990.832268865968</v>
      </c>
      <c r="I41" s="192">
        <f t="shared" si="8"/>
        <v>106297.31123422166</v>
      </c>
      <c r="J41" s="192">
        <f t="shared" si="8"/>
        <v>-2209.6120804604616</v>
      </c>
      <c r="K41" s="192">
        <f t="shared" si="8"/>
        <v>64996.748072303875</v>
      </c>
      <c r="L41" s="192">
        <f t="shared" si="8"/>
        <v>14643.444639785059</v>
      </c>
      <c r="M41" s="192">
        <f t="shared" si="8"/>
        <v>5067.9098933032383</v>
      </c>
      <c r="N41" s="192">
        <f t="shared" si="8"/>
        <v>79842.142002040695</v>
      </c>
      <c r="O41" s="192">
        <f t="shared" si="8"/>
        <v>38383.459575536261</v>
      </c>
      <c r="P41" s="192">
        <f t="shared" si="8"/>
        <v>829.85835751414663</v>
      </c>
      <c r="Q41" s="191">
        <f>SUM(E41:P41)</f>
        <v>214020.64329744753</v>
      </c>
      <c r="R41" s="543">
        <f>(SUM(E24:P24)*D41)-Q41</f>
        <v>0</v>
      </c>
      <c r="T41" s="202"/>
    </row>
    <row r="42" spans="2:20" s="496" customFormat="1" ht="12.75">
      <c r="B42" s="537" t="s">
        <v>220</v>
      </c>
      <c r="C42" s="544"/>
      <c r="D42" s="528" t="s">
        <v>380</v>
      </c>
      <c r="E42" s="548"/>
      <c r="F42" s="548"/>
      <c r="G42" s="548"/>
      <c r="H42" s="548"/>
      <c r="I42" s="548"/>
      <c r="J42" s="548"/>
      <c r="K42" s="548"/>
      <c r="L42" s="548"/>
      <c r="M42" s="548"/>
      <c r="N42" s="548"/>
      <c r="O42" s="548"/>
      <c r="P42" s="548"/>
      <c r="Q42" s="186"/>
      <c r="R42" s="545"/>
      <c r="S42" s="185"/>
    </row>
    <row r="43" spans="2:20" s="496" customFormat="1" ht="12.75">
      <c r="B43" s="199" t="s">
        <v>381</v>
      </c>
      <c r="C43" s="198"/>
      <c r="D43" s="198"/>
      <c r="E43" s="192">
        <f t="shared" ref="E43:P43" si="9">SUM(E39:E42)</f>
        <v>48299.905857885424</v>
      </c>
      <c r="F43" s="192">
        <f t="shared" si="9"/>
        <v>-97645.278798602696</v>
      </c>
      <c r="G43" s="192">
        <f t="shared" si="9"/>
        <v>-11494.413187213675</v>
      </c>
      <c r="H43" s="192">
        <f t="shared" si="9"/>
        <v>-32990.832268865968</v>
      </c>
      <c r="I43" s="192">
        <f t="shared" si="9"/>
        <v>106297.31123422166</v>
      </c>
      <c r="J43" s="192">
        <f t="shared" si="9"/>
        <v>-2209.6120804604616</v>
      </c>
      <c r="K43" s="192">
        <f t="shared" si="9"/>
        <v>64996.748072303875</v>
      </c>
      <c r="L43" s="192">
        <f t="shared" si="9"/>
        <v>14643.444639785059</v>
      </c>
      <c r="M43" s="192">
        <f t="shared" si="9"/>
        <v>5067.9098933032383</v>
      </c>
      <c r="N43" s="192">
        <f t="shared" si="9"/>
        <v>79842.142002040695</v>
      </c>
      <c r="O43" s="192">
        <f t="shared" si="9"/>
        <v>38383.459575536261</v>
      </c>
      <c r="P43" s="192">
        <f t="shared" si="9"/>
        <v>829.85835751414663</v>
      </c>
      <c r="Q43" s="191">
        <f>SUM(E43:P43)</f>
        <v>214020.64329744753</v>
      </c>
      <c r="R43" s="547"/>
    </row>
    <row r="44" spans="2:20" s="496" customFormat="1" ht="12.75">
      <c r="B44" s="197"/>
      <c r="C44" s="205"/>
      <c r="D44" s="205"/>
      <c r="E44" s="205"/>
      <c r="F44" s="205"/>
      <c r="G44" s="205"/>
      <c r="H44" s="205"/>
      <c r="I44" s="205"/>
      <c r="J44" s="205"/>
      <c r="K44" s="205"/>
      <c r="L44" s="205"/>
      <c r="M44" s="205"/>
      <c r="N44" s="205"/>
      <c r="O44" s="205"/>
      <c r="P44" s="205"/>
      <c r="Q44" s="204"/>
      <c r="R44" s="536"/>
    </row>
    <row r="45" spans="2:20" s="496" customFormat="1" ht="12.75">
      <c r="B45" s="195" t="s">
        <v>382</v>
      </c>
      <c r="C45" s="194"/>
      <c r="D45" s="194"/>
      <c r="E45" s="205"/>
      <c r="F45" s="205"/>
      <c r="G45" s="205"/>
      <c r="H45" s="205"/>
      <c r="I45" s="205"/>
      <c r="J45" s="205"/>
      <c r="K45" s="205"/>
      <c r="L45" s="205"/>
      <c r="M45" s="205"/>
      <c r="N45" s="205"/>
      <c r="O45" s="205"/>
      <c r="P45" s="205"/>
      <c r="Q45" s="204"/>
      <c r="R45" s="536"/>
    </row>
    <row r="46" spans="2:20" s="496" customFormat="1" ht="12.75">
      <c r="B46" s="537" t="s">
        <v>217</v>
      </c>
      <c r="C46" s="528" t="s">
        <v>383</v>
      </c>
      <c r="D46" s="538"/>
      <c r="E46" s="548">
        <f t="shared" ref="E46:P46" si="10">E22*E$14</f>
        <v>96.31142799777102</v>
      </c>
      <c r="F46" s="548">
        <f t="shared" si="10"/>
        <v>-15296.670322662698</v>
      </c>
      <c r="G46" s="548">
        <f t="shared" si="10"/>
        <v>6420.2268242570999</v>
      </c>
      <c r="H46" s="548">
        <f t="shared" si="10"/>
        <v>-2569.4783936852591</v>
      </c>
      <c r="I46" s="548">
        <f t="shared" si="10"/>
        <v>5244.3402380950138</v>
      </c>
      <c r="J46" s="548">
        <f t="shared" si="10"/>
        <v>1550.7346825188415</v>
      </c>
      <c r="K46" s="548">
        <f t="shared" si="10"/>
        <v>5888.9679512223483</v>
      </c>
      <c r="L46" s="548">
        <f t="shared" si="10"/>
        <v>-1627.1795356866378</v>
      </c>
      <c r="M46" s="548">
        <f t="shared" si="10"/>
        <v>3386.3031683941517</v>
      </c>
      <c r="N46" s="548">
        <f t="shared" si="10"/>
        <v>5519.898970656197</v>
      </c>
      <c r="O46" s="548">
        <f t="shared" si="10"/>
        <v>-1337.4779932975407</v>
      </c>
      <c r="P46" s="548">
        <f t="shared" si="10"/>
        <v>2678.0224551762217</v>
      </c>
      <c r="Q46" s="186">
        <f>SUM(E46:P46)</f>
        <v>9953.999472985508</v>
      </c>
      <c r="R46" s="545"/>
    </row>
    <row r="47" spans="2:20" s="496" customFormat="1" ht="12.75">
      <c r="B47" s="537" t="s">
        <v>218</v>
      </c>
      <c r="C47" s="528" t="s">
        <v>383</v>
      </c>
      <c r="D47" s="538"/>
      <c r="E47" s="548">
        <f t="shared" ref="E47:P47" si="11">E23*E$14</f>
        <v>4600.6369953994545</v>
      </c>
      <c r="F47" s="548">
        <f t="shared" si="11"/>
        <v>-36804.751454597274</v>
      </c>
      <c r="G47" s="548">
        <f t="shared" si="11"/>
        <v>237.45901823647705</v>
      </c>
      <c r="H47" s="548">
        <f t="shared" si="11"/>
        <v>-1610.8723522907112</v>
      </c>
      <c r="I47" s="548">
        <f t="shared" si="11"/>
        <v>9342.5308010348981</v>
      </c>
      <c r="J47" s="548">
        <f t="shared" si="11"/>
        <v>220.47131194955097</v>
      </c>
      <c r="K47" s="548">
        <f t="shared" si="11"/>
        <v>3964.3349538239618</v>
      </c>
      <c r="L47" s="548">
        <f t="shared" si="11"/>
        <v>1436.586498734523</v>
      </c>
      <c r="M47" s="548">
        <f t="shared" si="11"/>
        <v>1475.0360227313547</v>
      </c>
      <c r="N47" s="548">
        <f t="shared" si="11"/>
        <v>9655.561403027441</v>
      </c>
      <c r="O47" s="548">
        <f t="shared" si="11"/>
        <v>-7070.6978084118373</v>
      </c>
      <c r="P47" s="548">
        <f t="shared" si="11"/>
        <v>8862.7305520933915</v>
      </c>
      <c r="Q47" s="186">
        <f>SUM(E47:P47)</f>
        <v>-5690.9740582687737</v>
      </c>
      <c r="R47" s="545"/>
    </row>
    <row r="48" spans="2:20" s="496" customFormat="1" ht="12.75">
      <c r="B48" s="537" t="s">
        <v>219</v>
      </c>
      <c r="C48" s="538"/>
      <c r="D48" s="538"/>
      <c r="E48" s="548"/>
      <c r="F48" s="548"/>
      <c r="G48" s="548"/>
      <c r="H48" s="548"/>
      <c r="I48" s="548"/>
      <c r="J48" s="548"/>
      <c r="K48" s="548"/>
      <c r="L48" s="548"/>
      <c r="M48" s="548"/>
      <c r="N48" s="548"/>
      <c r="O48" s="548"/>
      <c r="P48" s="548"/>
      <c r="Q48" s="186"/>
      <c r="R48" s="545"/>
    </row>
    <row r="49" spans="2:19" s="496" customFormat="1" ht="12.75">
      <c r="B49" s="537" t="s">
        <v>220</v>
      </c>
      <c r="C49" s="538"/>
      <c r="D49" s="538"/>
      <c r="E49" s="184"/>
      <c r="F49" s="184"/>
      <c r="G49" s="184"/>
      <c r="H49" s="184"/>
      <c r="I49" s="184"/>
      <c r="J49" s="184"/>
      <c r="K49" s="184"/>
      <c r="L49" s="184"/>
      <c r="M49" s="184"/>
      <c r="N49" s="184"/>
      <c r="O49" s="184"/>
      <c r="P49" s="184"/>
      <c r="Q49" s="183"/>
      <c r="R49" s="548"/>
    </row>
    <row r="50" spans="2:19" s="496" customFormat="1" ht="12.75">
      <c r="B50" s="199" t="s">
        <v>384</v>
      </c>
      <c r="C50" s="198"/>
      <c r="D50" s="198"/>
      <c r="E50" s="548">
        <f t="shared" ref="E50:P50" si="12">SUM(E46:E49)</f>
        <v>4696.9484233972253</v>
      </c>
      <c r="F50" s="548">
        <f t="shared" si="12"/>
        <v>-52101.421777259973</v>
      </c>
      <c r="G50" s="548">
        <f t="shared" si="12"/>
        <v>6657.6858424935772</v>
      </c>
      <c r="H50" s="548">
        <f t="shared" si="12"/>
        <v>-4180.3507459759703</v>
      </c>
      <c r="I50" s="548">
        <f t="shared" si="12"/>
        <v>14586.871039129912</v>
      </c>
      <c r="J50" s="548">
        <f t="shared" si="12"/>
        <v>1771.2059944683924</v>
      </c>
      <c r="K50" s="548">
        <f t="shared" si="12"/>
        <v>9853.3029050463101</v>
      </c>
      <c r="L50" s="548">
        <f t="shared" si="12"/>
        <v>-190.59303695211474</v>
      </c>
      <c r="M50" s="548">
        <f t="shared" si="12"/>
        <v>4861.3391911255067</v>
      </c>
      <c r="N50" s="548">
        <f t="shared" si="12"/>
        <v>15175.460373683638</v>
      </c>
      <c r="O50" s="548">
        <f t="shared" si="12"/>
        <v>-8408.175801709378</v>
      </c>
      <c r="P50" s="548">
        <f t="shared" si="12"/>
        <v>11540.753007269614</v>
      </c>
      <c r="Q50" s="186">
        <f>SUM(E50:P50)</f>
        <v>4263.0254147167343</v>
      </c>
      <c r="R50" s="545"/>
    </row>
    <row r="51" spans="2:19" s="496" customFormat="1" ht="13.5" thickBot="1">
      <c r="B51" s="197"/>
      <c r="C51" s="205"/>
      <c r="D51" s="205"/>
      <c r="E51" s="205"/>
      <c r="F51" s="205"/>
      <c r="G51" s="205"/>
      <c r="H51" s="205"/>
      <c r="I51" s="205"/>
      <c r="J51" s="205"/>
      <c r="K51" s="205"/>
      <c r="L51" s="205"/>
      <c r="M51" s="205"/>
      <c r="N51" s="205"/>
      <c r="O51" s="205"/>
      <c r="P51" s="205"/>
      <c r="Q51" s="204"/>
      <c r="R51" s="536"/>
    </row>
    <row r="52" spans="2:19" s="496" customFormat="1" ht="13.5" thickBot="1">
      <c r="B52" s="182" t="s">
        <v>385</v>
      </c>
      <c r="C52" s="181"/>
      <c r="D52" s="181"/>
      <c r="E52" s="180">
        <f t="shared" ref="E52:P52" si="13">E36+E43+E50</f>
        <v>64033.42428651583</v>
      </c>
      <c r="F52" s="180">
        <f t="shared" si="13"/>
        <v>-206982.44435291959</v>
      </c>
      <c r="G52" s="180">
        <f t="shared" si="13"/>
        <v>4459.2363549567426</v>
      </c>
      <c r="H52" s="180">
        <f t="shared" si="13"/>
        <v>-46463.81277514746</v>
      </c>
      <c r="I52" s="180">
        <f t="shared" si="13"/>
        <v>163019.4987813425</v>
      </c>
      <c r="J52" s="180">
        <f t="shared" si="13"/>
        <v>5081.2700520669005</v>
      </c>
      <c r="K52" s="180">
        <f t="shared" si="13"/>
        <v>94339.770178164676</v>
      </c>
      <c r="L52" s="180">
        <f t="shared" si="13"/>
        <v>17154.681681667091</v>
      </c>
      <c r="M52" s="180">
        <f t="shared" si="13"/>
        <v>17995.854483121813</v>
      </c>
      <c r="N52" s="180">
        <f t="shared" si="13"/>
        <v>122239.18089886465</v>
      </c>
      <c r="O52" s="180">
        <f t="shared" si="13"/>
        <v>25102.126275117236</v>
      </c>
      <c r="P52" s="180">
        <f t="shared" si="13"/>
        <v>24973.778297891145</v>
      </c>
      <c r="Q52" s="179">
        <f>SUM(E52:P52)</f>
        <v>284952.56416164158</v>
      </c>
      <c r="R52" s="543">
        <f>Q36+Q43+Q50-Q52</f>
        <v>0</v>
      </c>
    </row>
    <row r="53" spans="2:19">
      <c r="B53" s="219"/>
      <c r="C53" s="218" t="s">
        <v>386</v>
      </c>
      <c r="D53" s="218"/>
      <c r="E53" s="178">
        <f t="shared" ref="E53:Q53" si="14">E52/E26</f>
        <v>2.3753128765002094</v>
      </c>
      <c r="F53" s="178">
        <f t="shared" si="14"/>
        <v>1.7229495983957424</v>
      </c>
      <c r="G53" s="178">
        <f t="shared" si="14"/>
        <v>0.2804326066946915</v>
      </c>
      <c r="H53" s="178">
        <f t="shared" si="14"/>
        <v>2.3473034085666091</v>
      </c>
      <c r="I53" s="178">
        <f t="shared" si="14"/>
        <v>1.7992092003581173</v>
      </c>
      <c r="J53" s="178">
        <f t="shared" si="14"/>
        <v>0.51786527810048688</v>
      </c>
      <c r="K53" s="178">
        <f t="shared" si="14"/>
        <v>2.1938220714719074</v>
      </c>
      <c r="L53" s="178">
        <f t="shared" si="14"/>
        <v>2.2363617760917256</v>
      </c>
      <c r="M53" s="178">
        <f t="shared" si="14"/>
        <v>1.1324179177332199</v>
      </c>
      <c r="N53" s="178">
        <f t="shared" si="14"/>
        <v>2.013570386490521</v>
      </c>
      <c r="O53" s="178">
        <f t="shared" si="14"/>
        <v>-4.0697110702953818</v>
      </c>
      <c r="P53" s="178">
        <f t="shared" si="14"/>
        <v>0.99055813756462685</v>
      </c>
      <c r="Q53" s="177">
        <f t="shared" si="14"/>
        <v>1.9039178819097218</v>
      </c>
      <c r="R53" s="176"/>
    </row>
    <row r="55" spans="2:19">
      <c r="E55" s="175"/>
      <c r="F55" s="175"/>
      <c r="G55" s="175"/>
    </row>
    <row r="57" spans="2:19">
      <c r="E57" s="175"/>
      <c r="F57" s="175"/>
      <c r="G57" s="175"/>
      <c r="H57" s="175"/>
      <c r="I57" s="175"/>
      <c r="J57" s="175"/>
      <c r="K57" s="175"/>
      <c r="L57" s="175"/>
      <c r="M57" s="175"/>
      <c r="N57" s="175"/>
      <c r="O57" s="175"/>
      <c r="P57" s="175"/>
      <c r="Q57" s="175"/>
      <c r="R57" s="175"/>
      <c r="S57" s="175"/>
    </row>
    <row r="58" spans="2:19">
      <c r="E58" s="175"/>
    </row>
    <row r="59" spans="2:19">
      <c r="E59" s="175"/>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activeCell="D23" sqref="D23"/>
    </sheetView>
  </sheetViews>
  <sheetFormatPr defaultColWidth="9.140625" defaultRowHeight="12.75" customHeight="1"/>
  <cols>
    <col min="1" max="1" width="23.140625" style="453" customWidth="1"/>
    <col min="2" max="2" width="8.85546875" style="453" customWidth="1"/>
    <col min="3" max="8" width="7.7109375" style="453" customWidth="1"/>
    <col min="9" max="13" width="7.7109375" style="453" bestFit="1" customWidth="1"/>
    <col min="14" max="14" width="9.5703125" style="453" bestFit="1" customWidth="1"/>
    <col min="15" max="15" width="10" style="453" customWidth="1"/>
    <col min="16" max="16" width="8" style="453" bestFit="1" customWidth="1"/>
    <col min="17" max="17" width="14.28515625" style="453" customWidth="1"/>
    <col min="18" max="16384" width="9.140625" style="453"/>
  </cols>
  <sheetData>
    <row r="2" spans="1:16" ht="12.75" customHeight="1">
      <c r="A2" s="241" t="s">
        <v>387</v>
      </c>
      <c r="O2" s="453" t="s">
        <v>388</v>
      </c>
    </row>
    <row r="3" spans="1:16" ht="12.75" customHeight="1">
      <c r="A3" s="247" t="s">
        <v>389</v>
      </c>
      <c r="B3" s="246">
        <v>43101</v>
      </c>
      <c r="C3" s="246">
        <v>43132</v>
      </c>
      <c r="D3" s="246">
        <v>43160</v>
      </c>
      <c r="E3" s="246">
        <v>43191</v>
      </c>
      <c r="F3" s="246">
        <v>43221</v>
      </c>
      <c r="G3" s="246">
        <v>43252</v>
      </c>
      <c r="H3" s="246">
        <v>43282</v>
      </c>
      <c r="I3" s="246">
        <v>43313</v>
      </c>
      <c r="J3" s="246">
        <v>43344</v>
      </c>
      <c r="K3" s="246">
        <v>43374</v>
      </c>
      <c r="L3" s="246">
        <v>43405</v>
      </c>
      <c r="M3" s="246">
        <v>43435</v>
      </c>
      <c r="N3" s="245" t="s">
        <v>390</v>
      </c>
      <c r="O3" s="244" t="s">
        <v>391</v>
      </c>
      <c r="P3" s="244" t="s">
        <v>392</v>
      </c>
    </row>
    <row r="4" spans="1:16" ht="12.75" customHeight="1">
      <c r="A4" s="453" t="s">
        <v>393</v>
      </c>
      <c r="B4" s="549">
        <v>3.3491249999999995</v>
      </c>
      <c r="C4" s="549">
        <v>3.149445312500001</v>
      </c>
      <c r="D4" s="549">
        <v>2.8578671874999997</v>
      </c>
      <c r="E4" s="549">
        <v>1.9732218750000003</v>
      </c>
      <c r="F4" s="549">
        <v>1.93933125</v>
      </c>
      <c r="G4" s="549">
        <v>1.9329249999999996</v>
      </c>
      <c r="H4" s="549">
        <v>2.1768312499999998</v>
      </c>
      <c r="I4" s="549">
        <v>2.1711749999999999</v>
      </c>
      <c r="J4" s="549">
        <v>2.1715343750000002</v>
      </c>
      <c r="K4" s="549">
        <v>2.2027687499999993</v>
      </c>
      <c r="L4" s="549">
        <v>2.6822828125</v>
      </c>
      <c r="M4" s="549">
        <v>3.1127906250000015</v>
      </c>
      <c r="N4" s="549">
        <f>AVERAGE(B4:M4)</f>
        <v>2.4766082031250005</v>
      </c>
      <c r="O4" s="549">
        <v>2.4766082031250005</v>
      </c>
      <c r="P4" s="549">
        <f t="shared" ref="P4:P13" si="0">N4-O4</f>
        <v>0</v>
      </c>
    </row>
    <row r="5" spans="1:16" ht="12.75" customHeight="1">
      <c r="A5" s="453" t="s">
        <v>394</v>
      </c>
      <c r="B5" s="549">
        <v>3.2467249999999996</v>
      </c>
      <c r="C5" s="549">
        <v>3.1278453124999999</v>
      </c>
      <c r="D5" s="549">
        <v>2.8983671874999994</v>
      </c>
      <c r="E5" s="549">
        <v>2.0411265624999997</v>
      </c>
      <c r="F5" s="549">
        <v>2.0619328124999998</v>
      </c>
      <c r="G5" s="549">
        <v>2.1006234375000004</v>
      </c>
      <c r="H5" s="549">
        <v>2.3501343750000006</v>
      </c>
      <c r="I5" s="549">
        <v>2.3175734374999997</v>
      </c>
      <c r="J5" s="549">
        <v>2.2542359374999998</v>
      </c>
      <c r="K5" s="549">
        <v>2.2410734374999999</v>
      </c>
      <c r="L5" s="549">
        <v>2.5511843749999996</v>
      </c>
      <c r="M5" s="549">
        <v>2.8332906250000001</v>
      </c>
      <c r="N5" s="549">
        <f>AVERAGE(B5:M5)</f>
        <v>2.5020093749999996</v>
      </c>
      <c r="O5" s="549">
        <v>2.5020093749999996</v>
      </c>
      <c r="P5" s="549">
        <f t="shared" si="0"/>
        <v>0</v>
      </c>
    </row>
    <row r="6" spans="1:16" ht="12.75" customHeight="1">
      <c r="A6" s="453" t="s">
        <v>395</v>
      </c>
      <c r="B6" s="549">
        <v>2.3787109375000002</v>
      </c>
      <c r="C6" s="549">
        <v>2.3930265624999998</v>
      </c>
      <c r="D6" s="549">
        <v>2.3234968749999996</v>
      </c>
      <c r="E6" s="549">
        <v>1.8681390625000009</v>
      </c>
      <c r="F6" s="549">
        <v>1.8216656249999998</v>
      </c>
      <c r="G6" s="549">
        <v>1.833175</v>
      </c>
      <c r="H6" s="549">
        <v>1.8480062500000001</v>
      </c>
      <c r="I6" s="549">
        <v>1.8513593749999999</v>
      </c>
      <c r="J6" s="549">
        <v>1.8438562500000002</v>
      </c>
      <c r="K6" s="549">
        <v>1.8838015625000004</v>
      </c>
      <c r="L6" s="549">
        <v>1.9850984375</v>
      </c>
      <c r="M6" s="549">
        <v>2.116154687499999</v>
      </c>
      <c r="N6" s="549">
        <f>AVERAGE(B6:M6)</f>
        <v>2.0122075520833338</v>
      </c>
      <c r="O6" s="549">
        <v>2.0122075520833338</v>
      </c>
      <c r="P6" s="549">
        <f t="shared" si="0"/>
        <v>0</v>
      </c>
    </row>
    <row r="7" spans="1:16" ht="12.75" customHeight="1">
      <c r="A7" s="453" t="s">
        <v>396</v>
      </c>
      <c r="B7" s="549">
        <v>2.6594410757793412</v>
      </c>
      <c r="C7" s="549">
        <v>2.4678036595630917</v>
      </c>
      <c r="D7" s="549">
        <v>2.322688769560199</v>
      </c>
      <c r="E7" s="549">
        <v>1.4162669619324477</v>
      </c>
      <c r="F7" s="549">
        <v>1.6246878366746877</v>
      </c>
      <c r="G7" s="549">
        <v>1.688446287982396</v>
      </c>
      <c r="H7" s="549">
        <v>1.8630207208728378</v>
      </c>
      <c r="I7" s="549">
        <v>1.8553572565387892</v>
      </c>
      <c r="J7" s="549">
        <v>1.6128651594349961</v>
      </c>
      <c r="K7" s="549">
        <v>1.5162024223029471</v>
      </c>
      <c r="L7" s="549">
        <v>1.878207036101041</v>
      </c>
      <c r="M7" s="549">
        <v>2.225343993981054</v>
      </c>
      <c r="N7" s="549"/>
      <c r="O7" s="549"/>
      <c r="P7" s="549">
        <f t="shared" si="0"/>
        <v>0</v>
      </c>
    </row>
    <row r="8" spans="1:16" ht="12.75" customHeight="1">
      <c r="A8" s="453" t="s">
        <v>397</v>
      </c>
      <c r="B8" s="549">
        <v>34.045053749999994</v>
      </c>
      <c r="C8" s="549">
        <v>35.170966125</v>
      </c>
      <c r="D8" s="549">
        <v>28.825612250000006</v>
      </c>
      <c r="E8" s="549">
        <v>21.7515362625</v>
      </c>
      <c r="F8" s="549">
        <v>17.015506125000002</v>
      </c>
      <c r="G8" s="549">
        <v>16.053236750000003</v>
      </c>
      <c r="H8" s="549">
        <v>25.632518624999996</v>
      </c>
      <c r="I8" s="549">
        <v>29.315684375</v>
      </c>
      <c r="J8" s="549">
        <v>27.769526750000004</v>
      </c>
      <c r="K8" s="549">
        <v>28.22509462499999</v>
      </c>
      <c r="L8" s="549">
        <v>29.12060537499999</v>
      </c>
      <c r="M8" s="549">
        <v>32.551146374999995</v>
      </c>
      <c r="N8" s="549">
        <f>AVERAGE(B8:M8)</f>
        <v>27.123040615624991</v>
      </c>
      <c r="O8" s="549">
        <v>27.123040615624991</v>
      </c>
      <c r="P8" s="549">
        <f t="shared" si="0"/>
        <v>0</v>
      </c>
    </row>
    <row r="9" spans="1:16" ht="12.75" customHeight="1">
      <c r="A9" s="453" t="s">
        <v>398</v>
      </c>
      <c r="B9" s="549">
        <v>25.590654374999996</v>
      </c>
      <c r="C9" s="549">
        <v>26.782428124999996</v>
      </c>
      <c r="D9" s="549">
        <v>21.965167924999996</v>
      </c>
      <c r="E9" s="549">
        <v>16.142145987499994</v>
      </c>
      <c r="F9" s="549">
        <v>8.6546641500000003</v>
      </c>
      <c r="G9" s="549">
        <v>7.8136203375000024</v>
      </c>
      <c r="H9" s="549">
        <v>15.538220362499995</v>
      </c>
      <c r="I9" s="549">
        <v>17.927879875000002</v>
      </c>
      <c r="J9" s="549">
        <v>19.663487624999995</v>
      </c>
      <c r="K9" s="549">
        <v>20.323763</v>
      </c>
      <c r="L9" s="549">
        <v>21.692575125000005</v>
      </c>
      <c r="M9" s="549">
        <v>24.747964624999998</v>
      </c>
      <c r="N9" s="549">
        <f>AVERAGE(B9:M9)</f>
        <v>18.903547626041668</v>
      </c>
      <c r="O9" s="549">
        <v>18.903547626041668</v>
      </c>
      <c r="P9" s="549">
        <f t="shared" si="0"/>
        <v>0</v>
      </c>
    </row>
    <row r="10" spans="1:16" ht="12.75" customHeight="1">
      <c r="A10" s="453" t="s">
        <v>399</v>
      </c>
      <c r="B10" s="549">
        <v>30.499660124999991</v>
      </c>
      <c r="C10" s="549">
        <v>31.575878624999994</v>
      </c>
      <c r="D10" s="549">
        <v>25.948652150000004</v>
      </c>
      <c r="E10" s="549">
        <v>19.258473912499994</v>
      </c>
      <c r="F10" s="549">
        <v>13.509346212500001</v>
      </c>
      <c r="G10" s="549">
        <v>12.5742879875</v>
      </c>
      <c r="H10" s="549">
        <v>21.182343749999998</v>
      </c>
      <c r="I10" s="549">
        <v>24.540153</v>
      </c>
      <c r="J10" s="549">
        <v>24.166843374999999</v>
      </c>
      <c r="K10" s="549">
        <v>24.911633499999994</v>
      </c>
      <c r="L10" s="549">
        <v>25.984326500000009</v>
      </c>
      <c r="M10" s="549">
        <v>29.111033624999997</v>
      </c>
      <c r="N10" s="549">
        <f>AVERAGE(B10:M10)</f>
        <v>23.605219396875</v>
      </c>
      <c r="O10" s="549">
        <v>23.605219396875</v>
      </c>
      <c r="P10" s="549">
        <f t="shared" si="0"/>
        <v>0</v>
      </c>
    </row>
    <row r="11" spans="1:16" ht="12.75" customHeight="1">
      <c r="A11" s="453" t="s">
        <v>400</v>
      </c>
      <c r="B11" s="243">
        <f t="shared" ref="B11:N11" si="1">B8/B4</f>
        <v>10.165357742693987</v>
      </c>
      <c r="C11" s="243">
        <f t="shared" si="1"/>
        <v>11.167352544718932</v>
      </c>
      <c r="D11" s="243">
        <f t="shared" si="1"/>
        <v>10.086407225668184</v>
      </c>
      <c r="E11" s="243">
        <f t="shared" si="1"/>
        <v>11.023360595219428</v>
      </c>
      <c r="F11" s="243">
        <f t="shared" si="1"/>
        <v>8.7739039552938678</v>
      </c>
      <c r="G11" s="243">
        <f t="shared" si="1"/>
        <v>8.3051524244344748</v>
      </c>
      <c r="H11" s="243">
        <f t="shared" si="1"/>
        <v>11.775151897970961</v>
      </c>
      <c r="I11" s="243">
        <f t="shared" si="1"/>
        <v>13.502220859672759</v>
      </c>
      <c r="J11" s="243">
        <f t="shared" si="1"/>
        <v>12.787974747118614</v>
      </c>
      <c r="K11" s="243">
        <f t="shared" si="1"/>
        <v>12.813462432223082</v>
      </c>
      <c r="L11" s="243">
        <f t="shared" si="1"/>
        <v>10.856649880203484</v>
      </c>
      <c r="M11" s="243">
        <f t="shared" si="1"/>
        <v>10.457223211085704</v>
      </c>
      <c r="N11" s="243">
        <f t="shared" si="1"/>
        <v>10.951688111749352</v>
      </c>
      <c r="O11" s="243">
        <v>10.951688111749352</v>
      </c>
      <c r="P11" s="402">
        <f t="shared" si="0"/>
        <v>0</v>
      </c>
    </row>
    <row r="12" spans="1:16" ht="12.75" customHeight="1">
      <c r="A12" s="453" t="s">
        <v>401</v>
      </c>
      <c r="B12" s="243">
        <f t="shared" ref="B12:N12" si="2">B9/B4</f>
        <v>7.640997088791849</v>
      </c>
      <c r="C12" s="243">
        <f t="shared" si="2"/>
        <v>8.5038555896499588</v>
      </c>
      <c r="D12" s="243">
        <f t="shared" si="2"/>
        <v>7.6858602880754052</v>
      </c>
      <c r="E12" s="243">
        <f t="shared" si="2"/>
        <v>8.1806036067282051</v>
      </c>
      <c r="F12" s="243">
        <f t="shared" si="2"/>
        <v>4.462705455811121</v>
      </c>
      <c r="G12" s="243">
        <f t="shared" si="2"/>
        <v>4.0423815396355289</v>
      </c>
      <c r="H12" s="243">
        <f t="shared" si="2"/>
        <v>7.1379994946783301</v>
      </c>
      <c r="I12" s="243">
        <f t="shared" si="2"/>
        <v>8.2572247170311019</v>
      </c>
      <c r="J12" s="243">
        <f t="shared" si="2"/>
        <v>9.0551122981877707</v>
      </c>
      <c r="K12" s="243">
        <f t="shared" si="2"/>
        <v>9.2264623783136592</v>
      </c>
      <c r="L12" s="243">
        <f t="shared" si="2"/>
        <v>8.0873556747663073</v>
      </c>
      <c r="M12" s="243">
        <f t="shared" si="2"/>
        <v>7.9504109355250918</v>
      </c>
      <c r="N12" s="243">
        <f t="shared" si="2"/>
        <v>7.6328373628856783</v>
      </c>
      <c r="O12" s="243">
        <v>7.6328373628856783</v>
      </c>
      <c r="P12" s="402">
        <f t="shared" si="0"/>
        <v>0</v>
      </c>
    </row>
    <row r="13" spans="1:16" ht="12.75" customHeight="1">
      <c r="A13" s="453" t="s">
        <v>402</v>
      </c>
      <c r="B13" s="243">
        <f t="shared" ref="B13:N13" si="3">B10/B4</f>
        <v>9.1067547866980174</v>
      </c>
      <c r="C13" s="243">
        <f t="shared" si="3"/>
        <v>10.025853917728563</v>
      </c>
      <c r="D13" s="243">
        <f t="shared" si="3"/>
        <v>9.07972639998688</v>
      </c>
      <c r="E13" s="243">
        <f t="shared" si="3"/>
        <v>9.7599130419634079</v>
      </c>
      <c r="F13" s="243">
        <f t="shared" si="3"/>
        <v>6.9659818107401721</v>
      </c>
      <c r="G13" s="243">
        <f t="shared" si="3"/>
        <v>6.5053160301098094</v>
      </c>
      <c r="H13" s="243">
        <f t="shared" si="3"/>
        <v>9.7308157212461914</v>
      </c>
      <c r="I13" s="243">
        <f t="shared" si="3"/>
        <v>11.302706138381293</v>
      </c>
      <c r="J13" s="243">
        <f t="shared" si="3"/>
        <v>11.128925083214488</v>
      </c>
      <c r="K13" s="243">
        <f t="shared" si="3"/>
        <v>11.309236841134595</v>
      </c>
      <c r="L13" s="243">
        <f t="shared" si="3"/>
        <v>9.6873925370239125</v>
      </c>
      <c r="M13" s="243">
        <f t="shared" si="3"/>
        <v>9.3520692947345232</v>
      </c>
      <c r="N13" s="243">
        <f t="shared" si="3"/>
        <v>9.5312691636447706</v>
      </c>
      <c r="O13" s="243">
        <v>9.5312691636447706</v>
      </c>
      <c r="P13" s="402">
        <f t="shared" si="0"/>
        <v>0</v>
      </c>
    </row>
    <row r="14" spans="1:16" ht="12.75" customHeight="1">
      <c r="A14" s="242" t="s">
        <v>403</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L50" sqref="L50"/>
    </sheetView>
  </sheetViews>
  <sheetFormatPr defaultRowHeight="12.75"/>
  <sheetData/>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topLeftCell="A40" zoomScale="80" zoomScaleNormal="80" workbookViewId="0">
      <selection activeCell="L92" sqref="L92"/>
    </sheetView>
  </sheetViews>
  <sheetFormatPr defaultRowHeight="12.75"/>
  <cols>
    <col min="1" max="1" width="5.140625" style="550" customWidth="1"/>
    <col min="2" max="2" width="34" style="442" customWidth="1"/>
    <col min="3" max="3" width="12.5703125" style="442" customWidth="1"/>
    <col min="4" max="4" width="2.5703125" style="442" customWidth="1"/>
    <col min="5" max="5" width="15.5703125" style="442" customWidth="1"/>
    <col min="6" max="6" width="15.42578125" style="442" customWidth="1"/>
    <col min="7" max="7" width="16.140625" style="442" customWidth="1"/>
    <col min="8" max="8" width="14.85546875" style="442" customWidth="1"/>
    <col min="9" max="9" width="15.42578125" style="442" customWidth="1"/>
    <col min="10" max="10" width="14.85546875" style="442" customWidth="1"/>
    <col min="11" max="11" width="16" style="442" customWidth="1"/>
    <col min="12" max="12" width="15.7109375" style="442" customWidth="1"/>
    <col min="13" max="13" width="15.42578125" style="442" customWidth="1"/>
    <col min="14" max="14" width="16" style="442" customWidth="1"/>
    <col min="15" max="16" width="14.85546875" style="442" customWidth="1"/>
    <col min="17" max="17" width="17.42578125" style="442" customWidth="1"/>
    <col min="18" max="18" width="30.42578125" style="442" customWidth="1"/>
    <col min="19" max="19" width="6" style="442" customWidth="1"/>
    <col min="20" max="20" width="10.7109375" style="442" bestFit="1" customWidth="1"/>
    <col min="21" max="21" width="44" style="442" bestFit="1" customWidth="1"/>
    <col min="22" max="22" width="14" style="442" bestFit="1" customWidth="1"/>
    <col min="23" max="23" width="4.85546875" style="442" bestFit="1" customWidth="1"/>
    <col min="24" max="16384" width="9.140625" style="442"/>
  </cols>
  <sheetData>
    <row r="1" spans="1:22" ht="18">
      <c r="B1" s="315" t="s">
        <v>114</v>
      </c>
      <c r="F1" s="314"/>
    </row>
    <row r="2" spans="1:22" ht="18">
      <c r="B2" s="387" t="s">
        <v>113</v>
      </c>
      <c r="F2" s="453"/>
      <c r="G2" s="313"/>
    </row>
    <row r="3" spans="1:22" ht="15.75">
      <c r="A3" s="312"/>
      <c r="B3" s="387" t="s">
        <v>112</v>
      </c>
      <c r="D3" s="550"/>
      <c r="E3" s="311"/>
      <c r="F3" s="311"/>
      <c r="G3" s="311"/>
      <c r="H3" s="311"/>
      <c r="I3" s="311"/>
      <c r="J3" s="311"/>
      <c r="K3" s="311"/>
      <c r="L3" s="311"/>
      <c r="M3" s="311"/>
      <c r="N3" s="311"/>
      <c r="O3" s="311"/>
      <c r="P3" s="311"/>
      <c r="Q3" s="311"/>
      <c r="R3" s="435"/>
    </row>
    <row r="4" spans="1:22" ht="15.75">
      <c r="A4" s="312"/>
      <c r="B4" s="387" t="s">
        <v>110</v>
      </c>
      <c r="D4" s="550"/>
      <c r="E4" s="311"/>
      <c r="F4" s="389"/>
      <c r="G4" s="389"/>
      <c r="H4" s="389"/>
      <c r="I4" s="389"/>
      <c r="J4" s="389"/>
      <c r="K4" s="389"/>
      <c r="L4" s="389"/>
      <c r="M4" s="389"/>
      <c r="N4" s="389"/>
      <c r="O4" s="389"/>
      <c r="P4" s="389"/>
      <c r="Q4" s="389" t="s">
        <v>109</v>
      </c>
      <c r="R4" s="435"/>
    </row>
    <row r="5" spans="1:22">
      <c r="A5" s="550" t="s">
        <v>108</v>
      </c>
      <c r="B5" s="310"/>
      <c r="D5" s="309"/>
      <c r="E5" s="393">
        <v>43101</v>
      </c>
      <c r="F5" s="393">
        <v>43132</v>
      </c>
      <c r="G5" s="393">
        <v>43160</v>
      </c>
      <c r="H5" s="393">
        <v>43191</v>
      </c>
      <c r="I5" s="393">
        <v>43221</v>
      </c>
      <c r="J5" s="393">
        <v>43252</v>
      </c>
      <c r="K5" s="393">
        <v>43282</v>
      </c>
      <c r="L5" s="393">
        <v>43313</v>
      </c>
      <c r="M5" s="393">
        <v>43344</v>
      </c>
      <c r="N5" s="393">
        <v>43374</v>
      </c>
      <c r="O5" s="393">
        <v>43405</v>
      </c>
      <c r="P5" s="393">
        <v>43435</v>
      </c>
      <c r="Q5" s="393" t="s">
        <v>106</v>
      </c>
      <c r="R5" s="308" t="s">
        <v>105</v>
      </c>
    </row>
    <row r="7" spans="1:22" ht="15">
      <c r="A7" s="550">
        <f>ROW()</f>
        <v>7</v>
      </c>
      <c r="B7" s="442" t="s">
        <v>104</v>
      </c>
      <c r="C7" s="307" t="s">
        <v>103</v>
      </c>
      <c r="D7" s="402"/>
      <c r="E7" s="406"/>
      <c r="F7" s="406"/>
      <c r="G7" s="406"/>
      <c r="H7" s="406"/>
      <c r="I7" s="406"/>
      <c r="J7" s="406"/>
      <c r="K7" s="406"/>
      <c r="L7" s="406"/>
      <c r="M7" s="406"/>
      <c r="N7" s="406"/>
      <c r="O7" s="406"/>
      <c r="P7" s="406"/>
      <c r="Q7" s="406"/>
      <c r="R7" s="424"/>
      <c r="S7" s="435"/>
      <c r="V7" s="402"/>
    </row>
    <row r="8" spans="1:22" ht="38.25">
      <c r="A8" s="550">
        <f>ROW()</f>
        <v>8</v>
      </c>
      <c r="B8" s="399" t="s">
        <v>404</v>
      </c>
      <c r="C8" s="401">
        <v>501</v>
      </c>
      <c r="D8" s="402"/>
      <c r="E8" s="444">
        <f>+'Actuals 2018'!G29</f>
        <v>7465493</v>
      </c>
      <c r="F8" s="444">
        <f>+'Actuals 2018'!H29</f>
        <v>5629480</v>
      </c>
      <c r="G8" s="444">
        <f>+'Actuals 2018'!I29</f>
        <v>7578248.8399999999</v>
      </c>
      <c r="H8" s="444">
        <f>+'Actuals 2018'!J29</f>
        <v>3572343</v>
      </c>
      <c r="I8" s="444">
        <f>+'Actuals 2018'!K29</f>
        <v>3095994</v>
      </c>
      <c r="J8" s="444">
        <f>+'Actuals 2018'!L29</f>
        <v>4644305</v>
      </c>
      <c r="K8" s="444">
        <f>+'Actuals 2018'!M29</f>
        <v>7111385</v>
      </c>
      <c r="L8" s="444">
        <f>+'Actuals 2018'!N29</f>
        <v>8016972</v>
      </c>
      <c r="M8" s="444">
        <f>+'Actuals 2018'!O29</f>
        <v>7814447</v>
      </c>
      <c r="N8" s="444">
        <f>+'Actuals 2018'!P29</f>
        <v>8911556</v>
      </c>
      <c r="O8" s="444">
        <f>+'Actuals 2018'!Q29</f>
        <v>7823334</v>
      </c>
      <c r="P8" s="444">
        <f>+'Actuals 2018'!R29</f>
        <v>7670634</v>
      </c>
      <c r="Q8" s="444">
        <f t="shared" ref="Q8:Q15" si="0">SUM(E8:P8)</f>
        <v>79334191.840000004</v>
      </c>
      <c r="R8" s="424" t="s">
        <v>91</v>
      </c>
      <c r="S8" s="435" t="s">
        <v>101</v>
      </c>
      <c r="T8" s="306" t="s">
        <v>100</v>
      </c>
      <c r="V8" s="402"/>
    </row>
    <row r="9" spans="1:22" ht="38.25">
      <c r="A9" s="550">
        <f>ROW()</f>
        <v>9</v>
      </c>
      <c r="B9" s="399" t="s">
        <v>99</v>
      </c>
      <c r="C9" s="401">
        <v>547</v>
      </c>
      <c r="D9" s="402"/>
      <c r="E9" s="407">
        <f>+'Actuals 2018'!G30</f>
        <v>6089754</v>
      </c>
      <c r="F9" s="407">
        <f>+'Actuals 2018'!H30</f>
        <v>7894662</v>
      </c>
      <c r="G9" s="407">
        <f>+'Actuals 2018'!I30</f>
        <v>8829096</v>
      </c>
      <c r="H9" s="407">
        <f>+'Actuals 2018'!J30</f>
        <v>5571062</v>
      </c>
      <c r="I9" s="407">
        <f>+'Actuals 2018'!K30</f>
        <v>5554508</v>
      </c>
      <c r="J9" s="407">
        <f>+'Actuals 2018'!L30</f>
        <v>5529510</v>
      </c>
      <c r="K9" s="407">
        <f>+'Actuals 2018'!M30</f>
        <v>15764407</v>
      </c>
      <c r="L9" s="407">
        <f>+'Actuals 2018'!N30</f>
        <v>17898546</v>
      </c>
      <c r="M9" s="407">
        <f>+'Actuals 2018'!O30</f>
        <v>16180127</v>
      </c>
      <c r="N9" s="407">
        <f>+'Actuals 2018'!P30</f>
        <v>10917006</v>
      </c>
      <c r="O9" s="407">
        <f>+'Actuals 2018'!Q30</f>
        <v>4826662</v>
      </c>
      <c r="P9" s="407">
        <f>+'Actuals 2018'!R30</f>
        <v>20847960</v>
      </c>
      <c r="Q9" s="407">
        <f t="shared" si="0"/>
        <v>125903300</v>
      </c>
      <c r="R9" s="424" t="s">
        <v>91</v>
      </c>
      <c r="S9" s="435"/>
      <c r="V9" s="402"/>
    </row>
    <row r="10" spans="1:22" ht="38.25">
      <c r="A10" s="550">
        <f>ROW()</f>
        <v>10</v>
      </c>
      <c r="B10" s="399" t="s">
        <v>405</v>
      </c>
      <c r="C10" s="401">
        <v>555</v>
      </c>
      <c r="D10" s="402"/>
      <c r="E10" s="407">
        <f>+'Actuals 2018'!G31</f>
        <v>46629363</v>
      </c>
      <c r="F10" s="407">
        <f>+'Actuals 2018'!H31</f>
        <v>39231268</v>
      </c>
      <c r="G10" s="407">
        <f>+'Actuals 2018'!I31</f>
        <v>36276926</v>
      </c>
      <c r="H10" s="407">
        <f>+'Actuals 2018'!J31</f>
        <v>35252533</v>
      </c>
      <c r="I10" s="407">
        <f>+'Actuals 2018'!K31</f>
        <v>32176337</v>
      </c>
      <c r="J10" s="407">
        <f>+'Actuals 2018'!L31</f>
        <v>29816192</v>
      </c>
      <c r="K10" s="407">
        <f>+'Actuals 2018'!M31</f>
        <v>45468372</v>
      </c>
      <c r="L10" s="407">
        <f>+'Actuals 2018'!N31</f>
        <v>41635809</v>
      </c>
      <c r="M10" s="407">
        <f>+'Actuals 2018'!O31</f>
        <v>27907012</v>
      </c>
      <c r="N10" s="407">
        <f>+'Actuals 2018'!P31</f>
        <v>42906462</v>
      </c>
      <c r="O10" s="407">
        <f>+'Actuals 2018'!Q31</f>
        <v>66631080</v>
      </c>
      <c r="P10" s="407">
        <f>+'Actuals 2018'!R31</f>
        <v>64223257</v>
      </c>
      <c r="Q10" s="407">
        <f t="shared" si="0"/>
        <v>508154611</v>
      </c>
      <c r="R10" s="424" t="s">
        <v>91</v>
      </c>
      <c r="S10" s="435"/>
      <c r="V10" s="402"/>
    </row>
    <row r="11" spans="1:22" ht="38.25">
      <c r="A11" s="550">
        <f>ROW()</f>
        <v>11</v>
      </c>
      <c r="B11" s="399" t="s">
        <v>406</v>
      </c>
      <c r="C11" s="401" t="s">
        <v>96</v>
      </c>
      <c r="D11" s="402"/>
      <c r="E11" s="407">
        <f>+'Actuals 2018'!G32</f>
        <v>-1743799</v>
      </c>
      <c r="F11" s="407">
        <f>+'Actuals 2018'!H32</f>
        <v>473555</v>
      </c>
      <c r="G11" s="407">
        <f>+'Actuals 2018'!I32</f>
        <v>601940</v>
      </c>
      <c r="H11" s="407">
        <f>+'Actuals 2018'!J32</f>
        <v>-1057440</v>
      </c>
      <c r="I11" s="407">
        <f>+'Actuals 2018'!K32</f>
        <v>-1853559</v>
      </c>
      <c r="J11" s="407">
        <f>+'Actuals 2018'!L32</f>
        <v>-1801241</v>
      </c>
      <c r="K11" s="407">
        <f>+'Actuals 2018'!M32</f>
        <v>-1011228</v>
      </c>
      <c r="L11" s="407">
        <f>+'Actuals 2018'!N32</f>
        <v>-1253395</v>
      </c>
      <c r="M11" s="407">
        <f>+'Actuals 2018'!O32</f>
        <v>-831540</v>
      </c>
      <c r="N11" s="407">
        <f>+'Actuals 2018'!P32</f>
        <v>-5670386</v>
      </c>
      <c r="O11" s="407">
        <f>+'Actuals 2018'!Q32</f>
        <v>-36142340</v>
      </c>
      <c r="P11" s="407">
        <f>+'Actuals 2018'!R32</f>
        <v>-19181380</v>
      </c>
      <c r="Q11" s="407">
        <f t="shared" si="0"/>
        <v>-69470813</v>
      </c>
      <c r="R11" s="424" t="s">
        <v>91</v>
      </c>
      <c r="S11" s="435"/>
      <c r="V11" s="402"/>
    </row>
    <row r="12" spans="1:22" ht="38.25">
      <c r="A12" s="550">
        <f>ROW()</f>
        <v>12</v>
      </c>
      <c r="B12" s="399" t="s">
        <v>148</v>
      </c>
      <c r="C12" s="401">
        <v>447</v>
      </c>
      <c r="D12" s="402"/>
      <c r="E12" s="407">
        <f>+'Actuals 2018'!G33</f>
        <v>-2689153</v>
      </c>
      <c r="F12" s="407">
        <f>+'Actuals 2018'!H33</f>
        <v>-3954384</v>
      </c>
      <c r="G12" s="407">
        <f>+'Actuals 2018'!I33</f>
        <v>-4383362</v>
      </c>
      <c r="H12" s="407">
        <f>+'Actuals 2018'!J33</f>
        <v>33508</v>
      </c>
      <c r="I12" s="407">
        <f>+'Actuals 2018'!K33</f>
        <v>38958</v>
      </c>
      <c r="J12" s="407">
        <f>+'Actuals 2018'!L33</f>
        <v>33720</v>
      </c>
      <c r="K12" s="407">
        <f>+'Actuals 2018'!M33</f>
        <v>18378</v>
      </c>
      <c r="L12" s="407">
        <f>+'Actuals 2018'!N33</f>
        <v>35164</v>
      </c>
      <c r="M12" s="407">
        <f>+'Actuals 2018'!O33</f>
        <v>45333</v>
      </c>
      <c r="N12" s="407">
        <f>+'Actuals 2018'!P33</f>
        <v>51916</v>
      </c>
      <c r="O12" s="407">
        <f>+'Actuals 2018'!Q33</f>
        <v>37804</v>
      </c>
      <c r="P12" s="407">
        <f>+'Actuals 2018'!R33</f>
        <v>34974</v>
      </c>
      <c r="Q12" s="407">
        <f t="shared" si="0"/>
        <v>-10697144</v>
      </c>
      <c r="R12" s="424" t="s">
        <v>91</v>
      </c>
      <c r="S12" s="435"/>
      <c r="V12" s="402"/>
    </row>
    <row r="13" spans="1:22" ht="38.25">
      <c r="A13" s="550">
        <f>ROW()</f>
        <v>13</v>
      </c>
      <c r="B13" s="399" t="s">
        <v>93</v>
      </c>
      <c r="C13" s="401">
        <v>565</v>
      </c>
      <c r="D13" s="402"/>
      <c r="E13" s="407">
        <f>+'Actuals 2018'!G34</f>
        <v>9742317</v>
      </c>
      <c r="F13" s="407">
        <f>+'Actuals 2018'!H34</f>
        <v>9668270</v>
      </c>
      <c r="G13" s="407">
        <f>+'Actuals 2018'!I34</f>
        <v>9531005</v>
      </c>
      <c r="H13" s="407">
        <f>+'Actuals 2018'!J34</f>
        <v>-2826175</v>
      </c>
      <c r="I13" s="407">
        <f>+'Actuals 2018'!K34</f>
        <v>-1650704</v>
      </c>
      <c r="J13" s="407">
        <f>+'Actuals 2018'!L34</f>
        <v>-2922238</v>
      </c>
      <c r="K13" s="407">
        <f>+'Actuals 2018'!M34</f>
        <v>-13113901</v>
      </c>
      <c r="L13" s="407">
        <f>+'Actuals 2018'!N34</f>
        <v>-13214374</v>
      </c>
      <c r="M13" s="407">
        <f>+'Actuals 2018'!O34</f>
        <v>-15504105</v>
      </c>
      <c r="N13" s="407">
        <f>+'Actuals 2018'!P34</f>
        <v>-8976832</v>
      </c>
      <c r="O13" s="407">
        <f>+'Actuals 2018'!Q34</f>
        <v>-7739441</v>
      </c>
      <c r="P13" s="407">
        <f>+'Actuals 2018'!R34</f>
        <v>-12348843</v>
      </c>
      <c r="Q13" s="407">
        <f t="shared" si="0"/>
        <v>-49355021</v>
      </c>
      <c r="R13" s="424" t="s">
        <v>91</v>
      </c>
      <c r="S13" s="435"/>
      <c r="V13" s="402"/>
    </row>
    <row r="14" spans="1:22" ht="38.25">
      <c r="A14" s="550">
        <f>ROW()</f>
        <v>14</v>
      </c>
      <c r="B14" s="399" t="s">
        <v>95</v>
      </c>
      <c r="C14" s="401">
        <v>55700003</v>
      </c>
      <c r="D14" s="402"/>
      <c r="E14" s="407">
        <f>'Actuals 2018'!G35</f>
        <v>31295</v>
      </c>
      <c r="F14" s="407">
        <f>'Actuals 2018'!H35</f>
        <v>61045</v>
      </c>
      <c r="G14" s="407">
        <f>'Actuals 2018'!I35</f>
        <v>24569</v>
      </c>
      <c r="H14" s="407">
        <f>'Actuals 2018'!J35</f>
        <v>9472832</v>
      </c>
      <c r="I14" s="407">
        <f>'Actuals 2018'!K35</f>
        <v>9156560</v>
      </c>
      <c r="J14" s="407">
        <f>'Actuals 2018'!L35</f>
        <v>9392381</v>
      </c>
      <c r="K14" s="407">
        <f>'Actuals 2018'!M35</f>
        <v>9285812</v>
      </c>
      <c r="L14" s="407">
        <f>'Actuals 2018'!N35</f>
        <v>10038659</v>
      </c>
      <c r="M14" s="407">
        <f>'Actuals 2018'!O35</f>
        <v>9766167</v>
      </c>
      <c r="N14" s="407">
        <f>'Actuals 2018'!P35</f>
        <v>9970355</v>
      </c>
      <c r="O14" s="407">
        <f>'Actuals 2018'!Q35</f>
        <v>9839390</v>
      </c>
      <c r="P14" s="407">
        <f>'Actuals 2018'!R35</f>
        <v>9944030</v>
      </c>
      <c r="Q14" s="407">
        <f t="shared" si="0"/>
        <v>86983095</v>
      </c>
      <c r="R14" s="424" t="s">
        <v>91</v>
      </c>
      <c r="S14" s="435"/>
      <c r="V14" s="402"/>
    </row>
    <row r="15" spans="1:22" ht="38.25">
      <c r="A15" s="550">
        <f>ROW()</f>
        <v>15</v>
      </c>
      <c r="B15" s="400" t="s">
        <v>92</v>
      </c>
      <c r="C15" s="401">
        <v>40810005</v>
      </c>
      <c r="D15" s="402"/>
      <c r="E15" s="407">
        <f>'Actuals 2018'!G36</f>
        <v>111694</v>
      </c>
      <c r="F15" s="407">
        <f>'Actuals 2018'!H36</f>
        <v>127402</v>
      </c>
      <c r="G15" s="407">
        <f>'Actuals 2018'!I36</f>
        <v>127402</v>
      </c>
      <c r="H15" s="407">
        <f>'Actuals 2018'!J36</f>
        <v>178554</v>
      </c>
      <c r="I15" s="407">
        <f>'Actuals 2018'!K36</f>
        <v>127402</v>
      </c>
      <c r="J15" s="407">
        <f>'Actuals 2018'!L36</f>
        <v>127402</v>
      </c>
      <c r="K15" s="407">
        <f>'Actuals 2018'!M36</f>
        <v>-53302</v>
      </c>
      <c r="L15" s="407">
        <f>'Actuals 2018'!N36</f>
        <v>127402</v>
      </c>
      <c r="M15" s="407">
        <f>'Actuals 2018'!O36</f>
        <v>127402</v>
      </c>
      <c r="N15" s="407">
        <f>'Actuals 2018'!P36</f>
        <v>90326</v>
      </c>
      <c r="O15" s="407">
        <f>'Actuals 2018'!Q36</f>
        <v>127402</v>
      </c>
      <c r="P15" s="407">
        <f>'Actuals 2018'!R36</f>
        <v>127402</v>
      </c>
      <c r="Q15" s="407">
        <f t="shared" si="0"/>
        <v>1346488</v>
      </c>
      <c r="R15" s="424" t="s">
        <v>91</v>
      </c>
      <c r="S15" s="435"/>
      <c r="V15" s="402"/>
    </row>
    <row r="16" spans="1:22">
      <c r="A16" s="550">
        <f>ROW()</f>
        <v>16</v>
      </c>
      <c r="B16" s="399" t="s">
        <v>90</v>
      </c>
      <c r="C16" s="401"/>
      <c r="D16" s="402"/>
      <c r="E16" s="403">
        <f t="shared" ref="E16:Q16" si="1">SUM(E8:E15)</f>
        <v>65636964</v>
      </c>
      <c r="F16" s="403">
        <f t="shared" si="1"/>
        <v>59131298</v>
      </c>
      <c r="G16" s="403">
        <f t="shared" si="1"/>
        <v>58585824.840000004</v>
      </c>
      <c r="H16" s="403">
        <f t="shared" si="1"/>
        <v>50197217</v>
      </c>
      <c r="I16" s="403">
        <f t="shared" si="1"/>
        <v>46645496</v>
      </c>
      <c r="J16" s="403">
        <f t="shared" si="1"/>
        <v>44820031</v>
      </c>
      <c r="K16" s="403">
        <f t="shared" si="1"/>
        <v>63469923</v>
      </c>
      <c r="L16" s="403">
        <f t="shared" si="1"/>
        <v>63284783</v>
      </c>
      <c r="M16" s="403">
        <f t="shared" si="1"/>
        <v>45504843</v>
      </c>
      <c r="N16" s="403">
        <f t="shared" si="1"/>
        <v>58200403</v>
      </c>
      <c r="O16" s="403">
        <f t="shared" si="1"/>
        <v>45403891</v>
      </c>
      <c r="P16" s="403">
        <f t="shared" si="1"/>
        <v>71318034</v>
      </c>
      <c r="Q16" s="403">
        <f t="shared" si="1"/>
        <v>672198707.84000003</v>
      </c>
      <c r="R16" s="424"/>
      <c r="S16" s="435"/>
    </row>
    <row r="17" spans="1:19">
      <c r="A17" s="550">
        <f>ROW()</f>
        <v>17</v>
      </c>
      <c r="B17" s="399"/>
      <c r="C17" s="401"/>
      <c r="D17" s="402"/>
      <c r="E17" s="406"/>
      <c r="F17" s="406"/>
      <c r="G17" s="406"/>
      <c r="H17" s="406"/>
      <c r="I17" s="406"/>
      <c r="J17" s="406"/>
      <c r="K17" s="406"/>
      <c r="L17" s="406"/>
      <c r="M17" s="406"/>
      <c r="N17" s="406"/>
      <c r="O17" s="406"/>
      <c r="P17" s="406"/>
      <c r="Q17" s="407"/>
      <c r="R17" s="424"/>
      <c r="S17" s="435"/>
    </row>
    <row r="18" spans="1:19">
      <c r="A18" s="550">
        <f>ROW()</f>
        <v>18</v>
      </c>
      <c r="B18" s="305" t="s">
        <v>407</v>
      </c>
      <c r="C18" s="402"/>
      <c r="D18" s="402"/>
      <c r="E18" s="409"/>
      <c r="F18" s="409"/>
      <c r="G18" s="409"/>
      <c r="H18" s="409"/>
      <c r="I18" s="409"/>
      <c r="J18" s="409"/>
      <c r="K18" s="409"/>
      <c r="L18" s="409"/>
      <c r="M18" s="409"/>
      <c r="N18" s="409"/>
      <c r="O18" s="409"/>
      <c r="P18" s="409"/>
      <c r="Q18" s="409"/>
      <c r="R18" s="424"/>
      <c r="S18" s="435"/>
    </row>
    <row r="19" spans="1:19" ht="25.5">
      <c r="A19" s="550">
        <f>ROW()</f>
        <v>19</v>
      </c>
      <c r="B19" s="442" t="s">
        <v>88</v>
      </c>
      <c r="C19" s="612"/>
      <c r="D19" s="612"/>
      <c r="E19" s="621">
        <v>421253</v>
      </c>
      <c r="F19" s="621">
        <v>380486</v>
      </c>
      <c r="G19" s="621">
        <v>420687</v>
      </c>
      <c r="H19" s="621">
        <v>407664</v>
      </c>
      <c r="I19" s="621">
        <v>421253</v>
      </c>
      <c r="J19" s="621">
        <v>407664</v>
      </c>
      <c r="K19" s="621">
        <v>420329</v>
      </c>
      <c r="L19" s="621">
        <v>421253</v>
      </c>
      <c r="M19" s="621">
        <v>407664</v>
      </c>
      <c r="N19" s="621">
        <v>421253</v>
      </c>
      <c r="O19" s="621">
        <v>408230</v>
      </c>
      <c r="P19" s="621">
        <v>421252.8</v>
      </c>
      <c r="Q19" s="407">
        <f>SUM(E19:P19)</f>
        <v>4958988.8</v>
      </c>
      <c r="R19" s="424" t="s">
        <v>87</v>
      </c>
      <c r="S19" s="435" t="s">
        <v>86</v>
      </c>
    </row>
    <row r="20" spans="1:19">
      <c r="A20" s="550">
        <v>20</v>
      </c>
      <c r="B20" s="453" t="s">
        <v>84</v>
      </c>
      <c r="C20" s="612"/>
      <c r="D20" s="612"/>
      <c r="E20" s="621">
        <v>0</v>
      </c>
      <c r="F20" s="621">
        <f>704939+704939</f>
        <v>1409878</v>
      </c>
      <c r="G20" s="621">
        <v>704939</v>
      </c>
      <c r="H20" s="621">
        <v>704939</v>
      </c>
      <c r="I20" s="621">
        <v>704939</v>
      </c>
      <c r="J20" s="621">
        <v>176267</v>
      </c>
      <c r="K20" s="621">
        <v>616827</v>
      </c>
      <c r="L20" s="621">
        <v>616827</v>
      </c>
      <c r="M20" s="621">
        <v>616827</v>
      </c>
      <c r="N20" s="621">
        <v>616827</v>
      </c>
      <c r="O20" s="621">
        <v>616827</v>
      </c>
      <c r="P20" s="621">
        <v>616827</v>
      </c>
      <c r="Q20" s="407">
        <f>SUM(E20:P20)</f>
        <v>7401924</v>
      </c>
      <c r="R20" s="424"/>
      <c r="S20" s="435"/>
    </row>
    <row r="21" spans="1:19" ht="18" customHeight="1" thickBot="1">
      <c r="A21" s="550">
        <f>ROW()</f>
        <v>21</v>
      </c>
      <c r="B21" s="305" t="s">
        <v>83</v>
      </c>
      <c r="C21" s="304"/>
      <c r="D21" s="612"/>
      <c r="E21" s="412">
        <f t="shared" ref="E21:Q21" si="2">E16+E19+E20</f>
        <v>66058217</v>
      </c>
      <c r="F21" s="412">
        <f t="shared" si="2"/>
        <v>60921662</v>
      </c>
      <c r="G21" s="412">
        <f t="shared" si="2"/>
        <v>59711450.840000004</v>
      </c>
      <c r="H21" s="412">
        <f t="shared" si="2"/>
        <v>51309820</v>
      </c>
      <c r="I21" s="412">
        <f t="shared" si="2"/>
        <v>47771688</v>
      </c>
      <c r="J21" s="412">
        <f t="shared" si="2"/>
        <v>45403962</v>
      </c>
      <c r="K21" s="412">
        <f t="shared" si="2"/>
        <v>64507079</v>
      </c>
      <c r="L21" s="412">
        <f t="shared" si="2"/>
        <v>64322863</v>
      </c>
      <c r="M21" s="412">
        <f t="shared" si="2"/>
        <v>46529334</v>
      </c>
      <c r="N21" s="412">
        <f t="shared" si="2"/>
        <v>59238483</v>
      </c>
      <c r="O21" s="412">
        <f t="shared" si="2"/>
        <v>46428948</v>
      </c>
      <c r="P21" s="412">
        <f t="shared" si="2"/>
        <v>72356113.799999997</v>
      </c>
      <c r="Q21" s="412">
        <f t="shared" si="2"/>
        <v>684559620.63999999</v>
      </c>
      <c r="R21" s="424"/>
      <c r="S21" s="303" t="s">
        <v>82</v>
      </c>
    </row>
    <row r="22" spans="1:19">
      <c r="A22" s="550">
        <f>ROW()</f>
        <v>22</v>
      </c>
      <c r="B22" s="453"/>
      <c r="O22" s="302"/>
      <c r="S22" s="435"/>
    </row>
    <row r="23" spans="1:19">
      <c r="A23" s="550">
        <f>ROW()</f>
        <v>23</v>
      </c>
      <c r="B23" s="301"/>
      <c r="C23" s="612"/>
      <c r="D23" s="612"/>
      <c r="E23" s="415"/>
      <c r="F23" s="415"/>
      <c r="G23" s="415"/>
      <c r="H23" s="415"/>
      <c r="I23" s="415"/>
      <c r="J23" s="415"/>
      <c r="K23" s="415"/>
      <c r="L23" s="415"/>
      <c r="M23" s="415"/>
      <c r="N23" s="415"/>
      <c r="O23" s="415"/>
      <c r="P23" s="415"/>
      <c r="Q23" s="415"/>
      <c r="R23" s="424"/>
      <c r="S23" s="435"/>
    </row>
    <row r="24" spans="1:19" ht="25.5">
      <c r="A24" s="550">
        <f>ROW()</f>
        <v>24</v>
      </c>
      <c r="B24" s="300" t="s">
        <v>81</v>
      </c>
      <c r="C24" s="612"/>
      <c r="D24" s="612"/>
      <c r="E24" s="422">
        <v>2043401774</v>
      </c>
      <c r="F24" s="422">
        <v>1989158579</v>
      </c>
      <c r="G24" s="422">
        <v>1870558174</v>
      </c>
      <c r="H24" s="422">
        <v>1653902980</v>
      </c>
      <c r="I24" s="422">
        <v>1504372645</v>
      </c>
      <c r="J24" s="422">
        <v>1471897731</v>
      </c>
      <c r="K24" s="422">
        <v>1637601475</v>
      </c>
      <c r="L24" s="422">
        <v>1561173442</v>
      </c>
      <c r="M24" s="422">
        <v>1431797979</v>
      </c>
      <c r="N24" s="422">
        <v>1652765986</v>
      </c>
      <c r="O24" s="422">
        <v>1804882931</v>
      </c>
      <c r="P24" s="422">
        <v>2082766340</v>
      </c>
      <c r="Q24" s="621">
        <f>SUM(E24:P24)</f>
        <v>20704280036</v>
      </c>
      <c r="R24" s="424" t="s">
        <v>80</v>
      </c>
      <c r="S24" s="435" t="s">
        <v>79</v>
      </c>
    </row>
    <row r="25" spans="1:19">
      <c r="A25" s="550">
        <f>ROW()</f>
        <v>25</v>
      </c>
      <c r="B25" s="419"/>
      <c r="C25" s="420"/>
      <c r="D25" s="420"/>
      <c r="E25" s="422"/>
      <c r="F25" s="422"/>
      <c r="G25" s="422"/>
      <c r="H25" s="422"/>
      <c r="I25" s="422"/>
      <c r="J25" s="421"/>
      <c r="K25" s="421"/>
      <c r="L25" s="422"/>
      <c r="M25" s="422"/>
      <c r="N25" s="422"/>
      <c r="O25" s="422"/>
      <c r="P25" s="422"/>
      <c r="Q25" s="621"/>
      <c r="R25" s="424"/>
      <c r="S25" s="435"/>
    </row>
    <row r="26" spans="1:19">
      <c r="A26" s="550">
        <f>ROW()</f>
        <v>26</v>
      </c>
      <c r="B26" s="305" t="s">
        <v>78</v>
      </c>
      <c r="C26" s="430"/>
      <c r="D26" s="612"/>
      <c r="M26" s="444"/>
      <c r="P26" s="453"/>
      <c r="Q26" s="444"/>
      <c r="R26" s="424"/>
      <c r="S26" s="435"/>
    </row>
    <row r="27" spans="1:19" ht="26.25">
      <c r="A27" s="550">
        <f>ROW()</f>
        <v>27</v>
      </c>
      <c r="B27" s="439" t="s">
        <v>77</v>
      </c>
      <c r="C27" s="430">
        <v>3.2895000000000001E-2</v>
      </c>
      <c r="D27" s="402"/>
      <c r="E27" s="444">
        <f t="shared" ref="E27:P27" si="3">E24*$C$27</f>
        <v>67217701.355729997</v>
      </c>
      <c r="F27" s="444">
        <f t="shared" si="3"/>
        <v>65433371.456205003</v>
      </c>
      <c r="G27" s="444">
        <f t="shared" si="3"/>
        <v>61532011.133730002</v>
      </c>
      <c r="H27" s="444">
        <f t="shared" si="3"/>
        <v>54405138.527100004</v>
      </c>
      <c r="I27" s="444">
        <f t="shared" si="3"/>
        <v>49486338.157274999</v>
      </c>
      <c r="J27" s="444">
        <f t="shared" si="3"/>
        <v>48418075.861244999</v>
      </c>
      <c r="K27" s="444">
        <f t="shared" si="3"/>
        <v>53868900.520125002</v>
      </c>
      <c r="L27" s="444">
        <f t="shared" si="3"/>
        <v>51354800.374590002</v>
      </c>
      <c r="M27" s="444">
        <f t="shared" si="3"/>
        <v>47098994.519205004</v>
      </c>
      <c r="N27" s="444">
        <f t="shared" si="3"/>
        <v>54367737.109470002</v>
      </c>
      <c r="O27" s="444">
        <f t="shared" si="3"/>
        <v>59371624.015244998</v>
      </c>
      <c r="P27" s="444">
        <f t="shared" si="3"/>
        <v>68512598.754299998</v>
      </c>
      <c r="Q27" s="621">
        <f>SUM(E27:P27)</f>
        <v>681067291.78421998</v>
      </c>
      <c r="R27" s="424" t="s">
        <v>76</v>
      </c>
      <c r="S27" s="303" t="s">
        <v>75</v>
      </c>
    </row>
    <row r="28" spans="1:19">
      <c r="A28" s="550">
        <f>ROW()</f>
        <v>28</v>
      </c>
      <c r="B28" s="299"/>
      <c r="C28" s="430"/>
      <c r="D28" s="402"/>
      <c r="E28" s="444"/>
      <c r="F28" s="444"/>
      <c r="G28" s="444"/>
      <c r="H28" s="444"/>
      <c r="I28" s="444"/>
      <c r="J28" s="444"/>
      <c r="K28" s="444"/>
      <c r="L28" s="444"/>
      <c r="M28" s="444"/>
      <c r="N28" s="444"/>
      <c r="O28" s="444"/>
      <c r="P28" s="444"/>
      <c r="Q28" s="621"/>
      <c r="R28" s="424"/>
      <c r="S28" s="435"/>
    </row>
    <row r="29" spans="1:19" ht="17.25" customHeight="1" thickBot="1">
      <c r="A29" s="550">
        <f>ROW()</f>
        <v>29</v>
      </c>
      <c r="B29" s="301" t="s">
        <v>408</v>
      </c>
      <c r="D29" s="402"/>
      <c r="E29" s="412">
        <f t="shared" ref="E29:Q29" si="4">E21-E27</f>
        <v>-1159484.3557299972</v>
      </c>
      <c r="F29" s="412">
        <f t="shared" si="4"/>
        <v>-4511709.456205003</v>
      </c>
      <c r="G29" s="412">
        <f t="shared" si="4"/>
        <v>-1820560.2937299982</v>
      </c>
      <c r="H29" s="412">
        <f t="shared" si="4"/>
        <v>-3095318.5271000043</v>
      </c>
      <c r="I29" s="412">
        <f t="shared" si="4"/>
        <v>-1714650.1572749987</v>
      </c>
      <c r="J29" s="412">
        <f t="shared" si="4"/>
        <v>-3014113.8612449989</v>
      </c>
      <c r="K29" s="412">
        <f t="shared" si="4"/>
        <v>10638178.479874998</v>
      </c>
      <c r="L29" s="412">
        <f t="shared" si="4"/>
        <v>12968062.625409998</v>
      </c>
      <c r="M29" s="412">
        <f t="shared" si="4"/>
        <v>-569660.51920500398</v>
      </c>
      <c r="N29" s="412">
        <f t="shared" si="4"/>
        <v>4870745.8905299976</v>
      </c>
      <c r="O29" s="412">
        <f t="shared" si="4"/>
        <v>-12942676.015244998</v>
      </c>
      <c r="P29" s="412">
        <f t="shared" si="4"/>
        <v>3843515.0456999987</v>
      </c>
      <c r="Q29" s="412">
        <f t="shared" si="4"/>
        <v>3492328.8557800055</v>
      </c>
      <c r="R29" s="424"/>
      <c r="S29" s="435"/>
    </row>
    <row r="30" spans="1:19" ht="15.75" customHeight="1">
      <c r="A30" s="550">
        <f>ROW()</f>
        <v>30</v>
      </c>
      <c r="B30" s="298" t="s">
        <v>72</v>
      </c>
      <c r="E30" s="297">
        <f t="shared" ref="E30:Q30" si="5">+E29</f>
        <v>-1159484.3557299972</v>
      </c>
      <c r="F30" s="297">
        <f t="shared" si="5"/>
        <v>-4511709.456205003</v>
      </c>
      <c r="G30" s="297">
        <f t="shared" si="5"/>
        <v>-1820560.2937299982</v>
      </c>
      <c r="H30" s="297">
        <f t="shared" si="5"/>
        <v>-3095318.5271000043</v>
      </c>
      <c r="I30" s="297">
        <f t="shared" si="5"/>
        <v>-1714650.1572749987</v>
      </c>
      <c r="J30" s="297">
        <f t="shared" si="5"/>
        <v>-3014113.8612449989</v>
      </c>
      <c r="K30" s="297">
        <f t="shared" si="5"/>
        <v>10638178.479874998</v>
      </c>
      <c r="L30" s="297">
        <f t="shared" si="5"/>
        <v>12968062.625409998</v>
      </c>
      <c r="M30" s="297">
        <f t="shared" si="5"/>
        <v>-569660.51920500398</v>
      </c>
      <c r="N30" s="297">
        <f t="shared" si="5"/>
        <v>4870745.8905299976</v>
      </c>
      <c r="O30" s="297">
        <f t="shared" si="5"/>
        <v>-12942676.015244998</v>
      </c>
      <c r="P30" s="297">
        <f t="shared" si="5"/>
        <v>3843515.0456999987</v>
      </c>
      <c r="Q30" s="297">
        <f t="shared" si="5"/>
        <v>3492328.8557800055</v>
      </c>
      <c r="R30" s="424"/>
      <c r="S30" s="303" t="s">
        <v>71</v>
      </c>
    </row>
    <row r="31" spans="1:19">
      <c r="A31" s="550">
        <f>ROW()</f>
        <v>31</v>
      </c>
      <c r="M31" s="402"/>
      <c r="N31" s="402"/>
      <c r="O31" s="402"/>
      <c r="S31" s="435"/>
    </row>
    <row r="32" spans="1:19" ht="15">
      <c r="A32" s="550">
        <f>ROW()</f>
        <v>32</v>
      </c>
      <c r="B32" s="435" t="s">
        <v>70</v>
      </c>
      <c r="C32" s="296"/>
      <c r="E32" s="444"/>
      <c r="F32" s="444"/>
      <c r="G32" s="444"/>
      <c r="H32" s="444"/>
      <c r="I32" s="444"/>
      <c r="J32" s="444"/>
      <c r="K32" s="444"/>
      <c r="L32" s="444"/>
      <c r="M32" s="444"/>
      <c r="N32" s="444"/>
      <c r="O32" s="444"/>
      <c r="P32" s="444"/>
      <c r="Q32" s="295"/>
      <c r="R32" s="424"/>
      <c r="S32" s="303"/>
    </row>
    <row r="33" spans="1:19" ht="15">
      <c r="A33" s="550">
        <f>ROW()</f>
        <v>33</v>
      </c>
      <c r="B33" s="439" t="s">
        <v>69</v>
      </c>
      <c r="C33" s="440">
        <v>3.344E-4</v>
      </c>
      <c r="D33" s="440"/>
      <c r="E33" s="444">
        <f t="shared" ref="E33:P33" si="6">E30*(1-$C$33)</f>
        <v>-1159096.6241614411</v>
      </c>
      <c r="F33" s="444">
        <f t="shared" si="6"/>
        <v>-4510200.7405628478</v>
      </c>
      <c r="G33" s="444">
        <f t="shared" si="6"/>
        <v>-1819951.498367775</v>
      </c>
      <c r="H33" s="444">
        <f t="shared" si="6"/>
        <v>-3094283.4525845423</v>
      </c>
      <c r="I33" s="444">
        <f t="shared" si="6"/>
        <v>-1714076.7782624061</v>
      </c>
      <c r="J33" s="444">
        <f t="shared" si="6"/>
        <v>-3013105.9415697986</v>
      </c>
      <c r="K33" s="444">
        <f t="shared" si="6"/>
        <v>10634621.072991328</v>
      </c>
      <c r="L33" s="444">
        <f t="shared" si="6"/>
        <v>12963726.105268061</v>
      </c>
      <c r="M33" s="444">
        <f t="shared" si="6"/>
        <v>-569470.02472738188</v>
      </c>
      <c r="N33" s="444">
        <f t="shared" si="6"/>
        <v>4869117.1131042046</v>
      </c>
      <c r="O33" s="444">
        <f t="shared" si="6"/>
        <v>-12938347.984385502</v>
      </c>
      <c r="P33" s="444">
        <f t="shared" si="6"/>
        <v>3842229.774268717</v>
      </c>
      <c r="Q33" s="444">
        <f>SUM(E33:P33)</f>
        <v>3491161.0210106154</v>
      </c>
      <c r="R33" s="441"/>
      <c r="S33" s="303" t="s">
        <v>68</v>
      </c>
    </row>
    <row r="34" spans="1:19" ht="15">
      <c r="A34" s="550">
        <f>ROW()</f>
        <v>34</v>
      </c>
      <c r="B34" s="439"/>
      <c r="C34" s="440"/>
      <c r="D34" s="440"/>
      <c r="E34" s="444"/>
      <c r="F34" s="444"/>
      <c r="G34" s="444"/>
      <c r="H34" s="444"/>
      <c r="I34" s="444"/>
      <c r="J34" s="444"/>
      <c r="K34" s="444"/>
      <c r="L34" s="444"/>
      <c r="M34" s="444"/>
      <c r="N34" s="444"/>
      <c r="O34" s="444"/>
      <c r="P34" s="444"/>
      <c r="Q34" s="444"/>
      <c r="R34" s="441"/>
      <c r="S34" s="303"/>
    </row>
    <row r="35" spans="1:19" ht="15">
      <c r="A35" s="550">
        <f>ROW()</f>
        <v>35</v>
      </c>
      <c r="B35" s="453"/>
      <c r="C35" s="440"/>
      <c r="D35" s="440"/>
      <c r="E35" s="444"/>
      <c r="F35" s="444"/>
      <c r="G35" s="444"/>
      <c r="H35" s="444"/>
      <c r="I35" s="444"/>
      <c r="J35" s="444"/>
      <c r="K35" s="444"/>
      <c r="L35" s="444"/>
      <c r="M35" s="444"/>
      <c r="N35" s="444"/>
      <c r="O35" s="444"/>
      <c r="P35" s="444"/>
      <c r="Q35" s="444"/>
      <c r="R35" s="441"/>
      <c r="S35" s="303"/>
    </row>
    <row r="36" spans="1:19">
      <c r="A36" s="550">
        <f>ROW()</f>
        <v>36</v>
      </c>
      <c r="B36" s="435" t="s">
        <v>67</v>
      </c>
      <c r="D36" s="402"/>
      <c r="E36" s="444">
        <f t="shared" ref="E36:Q36" si="7">+E33</f>
        <v>-1159096.6241614411</v>
      </c>
      <c r="F36" s="444">
        <f t="shared" si="7"/>
        <v>-4510200.7405628478</v>
      </c>
      <c r="G36" s="444">
        <f t="shared" si="7"/>
        <v>-1819951.498367775</v>
      </c>
      <c r="H36" s="444">
        <f t="shared" si="7"/>
        <v>-3094283.4525845423</v>
      </c>
      <c r="I36" s="444">
        <f t="shared" si="7"/>
        <v>-1714076.7782624061</v>
      </c>
      <c r="J36" s="444">
        <f t="shared" si="7"/>
        <v>-3013105.9415697986</v>
      </c>
      <c r="K36" s="444">
        <f t="shared" si="7"/>
        <v>10634621.072991328</v>
      </c>
      <c r="L36" s="444">
        <f t="shared" si="7"/>
        <v>12963726.105268061</v>
      </c>
      <c r="M36" s="444">
        <f t="shared" si="7"/>
        <v>-569470.02472738188</v>
      </c>
      <c r="N36" s="444">
        <f t="shared" si="7"/>
        <v>4869117.1131042046</v>
      </c>
      <c r="O36" s="444">
        <f t="shared" si="7"/>
        <v>-12938347.984385502</v>
      </c>
      <c r="P36" s="444">
        <f t="shared" si="7"/>
        <v>3842229.774268717</v>
      </c>
      <c r="Q36" s="444">
        <f t="shared" si="7"/>
        <v>3491161.0210106154</v>
      </c>
      <c r="R36" s="294"/>
      <c r="S36" s="435"/>
    </row>
    <row r="37" spans="1:19">
      <c r="A37" s="550">
        <f>ROW()</f>
        <v>37</v>
      </c>
      <c r="B37" s="435" t="s">
        <v>66</v>
      </c>
      <c r="D37" s="402"/>
      <c r="E37" s="444">
        <f t="shared" ref="E37:Q37" si="8">-E36</f>
        <v>1159096.6241614411</v>
      </c>
      <c r="F37" s="444">
        <f t="shared" si="8"/>
        <v>4510200.7405628478</v>
      </c>
      <c r="G37" s="444">
        <f t="shared" si="8"/>
        <v>1819951.498367775</v>
      </c>
      <c r="H37" s="444">
        <f t="shared" si="8"/>
        <v>3094283.4525845423</v>
      </c>
      <c r="I37" s="444">
        <f t="shared" si="8"/>
        <v>1714076.7782624061</v>
      </c>
      <c r="J37" s="444">
        <f t="shared" si="8"/>
        <v>3013105.9415697986</v>
      </c>
      <c r="K37" s="444">
        <f t="shared" si="8"/>
        <v>-10634621.072991328</v>
      </c>
      <c r="L37" s="444">
        <f t="shared" si="8"/>
        <v>-12963726.105268061</v>
      </c>
      <c r="M37" s="444">
        <f t="shared" si="8"/>
        <v>569470.02472738188</v>
      </c>
      <c r="N37" s="444">
        <f t="shared" si="8"/>
        <v>-4869117.1131042046</v>
      </c>
      <c r="O37" s="444">
        <f t="shared" si="8"/>
        <v>12938347.984385502</v>
      </c>
      <c r="P37" s="444">
        <f t="shared" si="8"/>
        <v>-3842229.774268717</v>
      </c>
      <c r="Q37" s="444">
        <f t="shared" si="8"/>
        <v>-3491161.0210106154</v>
      </c>
      <c r="R37" s="294"/>
      <c r="S37" s="435"/>
    </row>
    <row r="38" spans="1:19">
      <c r="A38" s="550">
        <f>ROW()</f>
        <v>38</v>
      </c>
      <c r="B38" s="435"/>
      <c r="D38" s="402"/>
      <c r="E38" s="444"/>
      <c r="F38" s="444"/>
      <c r="G38" s="444"/>
      <c r="H38" s="444"/>
      <c r="I38" s="444"/>
      <c r="J38" s="444"/>
      <c r="K38" s="444"/>
      <c r="L38" s="444"/>
      <c r="M38" s="444"/>
      <c r="N38" s="444"/>
      <c r="O38" s="444"/>
      <c r="P38" s="444"/>
      <c r="Q38" s="444"/>
      <c r="R38" s="294"/>
      <c r="S38" s="435"/>
    </row>
    <row r="39" spans="1:19" ht="15">
      <c r="A39" s="550">
        <f>ROW()</f>
        <v>39</v>
      </c>
      <c r="B39" s="435" t="s">
        <v>65</v>
      </c>
      <c r="D39" s="402"/>
      <c r="E39" s="444">
        <f>+E36</f>
        <v>-1159096.6241614411</v>
      </c>
      <c r="F39" s="444">
        <f t="shared" ref="F39:P39" si="9">+E39+F36</f>
        <v>-5669297.3647242887</v>
      </c>
      <c r="G39" s="444">
        <f t="shared" si="9"/>
        <v>-7489248.8630920639</v>
      </c>
      <c r="H39" s="444">
        <f t="shared" si="9"/>
        <v>-10583532.315676607</v>
      </c>
      <c r="I39" s="444">
        <f t="shared" si="9"/>
        <v>-12297609.093939014</v>
      </c>
      <c r="J39" s="444">
        <f t="shared" si="9"/>
        <v>-15310715.035508811</v>
      </c>
      <c r="K39" s="444">
        <f t="shared" si="9"/>
        <v>-4676093.9625174832</v>
      </c>
      <c r="L39" s="444">
        <f t="shared" si="9"/>
        <v>8287632.142750578</v>
      </c>
      <c r="M39" s="444">
        <f t="shared" si="9"/>
        <v>7718162.1180231962</v>
      </c>
      <c r="N39" s="444">
        <f t="shared" si="9"/>
        <v>12587279.2311274</v>
      </c>
      <c r="O39" s="444">
        <f t="shared" si="9"/>
        <v>-351068.75325810164</v>
      </c>
      <c r="P39" s="444">
        <f t="shared" si="9"/>
        <v>3491161.0210106154</v>
      </c>
      <c r="Q39" s="444">
        <f>+Q36</f>
        <v>3491161.0210106154</v>
      </c>
      <c r="R39" s="294"/>
      <c r="S39" s="303" t="s">
        <v>64</v>
      </c>
    </row>
    <row r="40" spans="1:19">
      <c r="A40" s="550">
        <f>ROW()</f>
        <v>40</v>
      </c>
      <c r="B40" s="435" t="s">
        <v>63</v>
      </c>
      <c r="D40" s="402"/>
      <c r="E40" s="444">
        <f>+E37</f>
        <v>1159096.6241614411</v>
      </c>
      <c r="F40" s="444">
        <f t="shared" ref="F40:P40" si="10">+E40+F37</f>
        <v>5669297.3647242887</v>
      </c>
      <c r="G40" s="444">
        <f t="shared" si="10"/>
        <v>7489248.8630920639</v>
      </c>
      <c r="H40" s="444">
        <f t="shared" si="10"/>
        <v>10583532.315676607</v>
      </c>
      <c r="I40" s="444">
        <f t="shared" si="10"/>
        <v>12297609.093939014</v>
      </c>
      <c r="J40" s="444">
        <f t="shared" si="10"/>
        <v>15310715.035508811</v>
      </c>
      <c r="K40" s="444">
        <f t="shared" si="10"/>
        <v>4676093.9625174832</v>
      </c>
      <c r="L40" s="444">
        <f t="shared" si="10"/>
        <v>-8287632.142750578</v>
      </c>
      <c r="M40" s="444">
        <f t="shared" si="10"/>
        <v>-7718162.1180231962</v>
      </c>
      <c r="N40" s="444">
        <f t="shared" si="10"/>
        <v>-12587279.2311274</v>
      </c>
      <c r="O40" s="444">
        <f t="shared" si="10"/>
        <v>351068.75325810164</v>
      </c>
      <c r="P40" s="444">
        <f t="shared" si="10"/>
        <v>-3491161.0210106154</v>
      </c>
      <c r="Q40" s="444">
        <f>+Q37</f>
        <v>-3491161.0210106154</v>
      </c>
      <c r="R40" s="294"/>
    </row>
    <row r="41" spans="1:19">
      <c r="A41" s="550">
        <f>ROW()</f>
        <v>41</v>
      </c>
      <c r="B41" s="435"/>
      <c r="D41" s="402"/>
      <c r="E41" s="444"/>
      <c r="F41" s="444"/>
      <c r="G41" s="444"/>
      <c r="H41" s="444"/>
      <c r="I41" s="444"/>
      <c r="J41" s="444"/>
      <c r="K41" s="444"/>
      <c r="L41" s="444"/>
      <c r="M41" s="444"/>
      <c r="N41" s="444"/>
      <c r="O41" s="444"/>
      <c r="P41" s="444"/>
      <c r="Q41" s="444"/>
      <c r="R41" s="293"/>
    </row>
    <row r="42" spans="1:19" ht="12" customHeight="1">
      <c r="A42" s="550">
        <f>ROW()</f>
        <v>42</v>
      </c>
      <c r="B42" s="292"/>
      <c r="C42" s="292"/>
      <c r="D42" s="292"/>
      <c r="E42" s="292"/>
      <c r="F42" s="292"/>
      <c r="G42" s="292"/>
      <c r="H42" s="292"/>
      <c r="I42" s="444"/>
      <c r="J42" s="444"/>
      <c r="K42" s="444"/>
      <c r="L42" s="444"/>
      <c r="M42" s="444"/>
      <c r="N42" s="444"/>
      <c r="O42" s="444"/>
      <c r="P42" s="444"/>
      <c r="Q42" s="444"/>
      <c r="R42" s="293"/>
    </row>
    <row r="43" spans="1:19" s="453" customFormat="1" hidden="1">
      <c r="A43" s="550">
        <f>ROW()</f>
        <v>43</v>
      </c>
      <c r="B43" s="453" t="s">
        <v>409</v>
      </c>
      <c r="D43" s="612"/>
      <c r="E43" s="444"/>
      <c r="F43" s="444"/>
      <c r="G43" s="444"/>
      <c r="H43" s="444"/>
      <c r="I43" s="444"/>
      <c r="J43" s="444"/>
      <c r="K43" s="444"/>
      <c r="L43" s="444"/>
      <c r="M43" s="444"/>
      <c r="N43" s="444"/>
      <c r="O43" s="444"/>
      <c r="P43" s="444"/>
      <c r="Q43" s="444"/>
    </row>
    <row r="44" spans="1:19" s="453" customFormat="1" ht="25.5" customHeight="1">
      <c r="A44" s="550"/>
      <c r="B44" s="853" t="s">
        <v>61</v>
      </c>
      <c r="C44" s="853"/>
      <c r="D44" s="853"/>
      <c r="E44" s="853"/>
      <c r="F44" s="853"/>
      <c r="G44" s="853"/>
      <c r="H44" s="853"/>
      <c r="I44" s="444"/>
      <c r="J44" s="444"/>
      <c r="K44" s="444"/>
      <c r="L44" s="444"/>
      <c r="M44" s="444"/>
      <c r="N44" s="444"/>
      <c r="O44" s="444"/>
      <c r="P44" s="444"/>
      <c r="Q44" s="444"/>
    </row>
    <row r="45" spans="1:19" ht="15">
      <c r="A45" s="248" t="s">
        <v>410</v>
      </c>
      <c r="B45" s="453"/>
      <c r="C45" s="453"/>
      <c r="D45" s="612"/>
      <c r="E45" s="612"/>
      <c r="F45" s="444"/>
      <c r="G45" s="444"/>
      <c r="H45" s="444"/>
      <c r="I45" s="444"/>
      <c r="J45" s="444"/>
      <c r="K45" s="444"/>
      <c r="L45" s="444"/>
      <c r="M45" s="444"/>
      <c r="N45" s="444"/>
      <c r="O45" s="444"/>
      <c r="P45" s="444"/>
      <c r="Q45" s="444"/>
      <c r="R45" s="444"/>
    </row>
    <row r="46" spans="1:19" ht="18">
      <c r="E46" s="313"/>
      <c r="P46" s="297"/>
    </row>
    <row r="47" spans="1:19" ht="15">
      <c r="B47" s="442" t="s">
        <v>411</v>
      </c>
      <c r="E47" s="444">
        <f t="shared" ref="E47:P47" si="11">+E33</f>
        <v>-1159096.6241614411</v>
      </c>
      <c r="F47" s="444">
        <f t="shared" si="11"/>
        <v>-4510200.7405628478</v>
      </c>
      <c r="G47" s="444">
        <f t="shared" si="11"/>
        <v>-1819951.498367775</v>
      </c>
      <c r="H47" s="444">
        <f t="shared" si="11"/>
        <v>-3094283.4525845423</v>
      </c>
      <c r="I47" s="444">
        <f t="shared" si="11"/>
        <v>-1714076.7782624061</v>
      </c>
      <c r="J47" s="444">
        <f t="shared" si="11"/>
        <v>-3013105.9415697986</v>
      </c>
      <c r="K47" s="444">
        <f t="shared" si="11"/>
        <v>10634621.072991328</v>
      </c>
      <c r="L47" s="444">
        <f t="shared" si="11"/>
        <v>12963726.105268061</v>
      </c>
      <c r="M47" s="444">
        <f t="shared" si="11"/>
        <v>-569470.02472738188</v>
      </c>
      <c r="N47" s="444">
        <f t="shared" si="11"/>
        <v>4869117.1131042046</v>
      </c>
      <c r="O47" s="444">
        <f t="shared" si="11"/>
        <v>-12938347.984385502</v>
      </c>
      <c r="P47" s="444">
        <f t="shared" si="11"/>
        <v>3842229.774268717</v>
      </c>
      <c r="Q47" s="551">
        <f>SUM(E47:P47)</f>
        <v>3491161.0210106154</v>
      </c>
    </row>
    <row r="48" spans="1:19" ht="15">
      <c r="A48" s="442"/>
      <c r="B48" s="442" t="s">
        <v>412</v>
      </c>
      <c r="E48" s="552">
        <f>+'PKW 557'!B8*(1-$C$33)</f>
        <v>4645724.8518194687</v>
      </c>
      <c r="F48" s="552">
        <f>+'PKW 557'!C8*(1-$C$33)</f>
        <v>5449458.8498817924</v>
      </c>
      <c r="G48" s="552">
        <f>+'PKW 557'!D8*(1-$C$33)</f>
        <v>1080282.0202779351</v>
      </c>
      <c r="H48" s="552">
        <f>+'PKW 557'!E8*(1-$C$33)</f>
        <v>1731798.0322089421</v>
      </c>
      <c r="I48" s="552">
        <f>+'PKW 557'!F8*(1-$C$33)</f>
        <v>-871247.62722547678</v>
      </c>
      <c r="J48" s="552">
        <f>+'PKW 557'!G8*(1-$C$33)</f>
        <v>-163189.15541127702</v>
      </c>
      <c r="K48" s="552">
        <f>+'PKW 557'!H8*(1-$C$33)</f>
        <v>-2910118.4648114848</v>
      </c>
      <c r="L48" s="552">
        <f>+'PKW 557'!I8*(1-$C$33)</f>
        <v>-1951501.771682</v>
      </c>
      <c r="M48" s="552">
        <f>+'PKW 557'!J8*(1-$C$33)</f>
        <v>-142315.72902491578</v>
      </c>
      <c r="N48" s="552">
        <f>+'PKW 557'!K8*(1-$C$33)</f>
        <v>-863870.87807705626</v>
      </c>
      <c r="O48" s="552">
        <f>+'PKW 557'!L8*(1-$C$33)</f>
        <v>3034153.7142863348</v>
      </c>
      <c r="P48" s="552">
        <f>+'PKW 557'!M8*(1-$C$33)</f>
        <v>701790.63406771491</v>
      </c>
      <c r="Q48" s="553">
        <f>SUM(E48:P48)</f>
        <v>9740964.4763099775</v>
      </c>
    </row>
    <row r="49" spans="2:17" s="442" customFormat="1" ht="15">
      <c r="B49" s="442" t="s">
        <v>413</v>
      </c>
      <c r="E49" s="552">
        <f>-'Load Impact to Cost &amp; Rev'!B13*(1-$C$33)</f>
        <v>-2759142.786524523</v>
      </c>
      <c r="F49" s="552">
        <f>-'Load Impact to Cost &amp; Rev'!C13*(1-$C$33)</f>
        <v>1738458.3228232577</v>
      </c>
      <c r="G49" s="552">
        <f>-'Load Impact to Cost &amp; Rev'!D13*(1-$C$33)</f>
        <v>-186938.59739474359</v>
      </c>
      <c r="H49" s="552">
        <f>-'Load Impact to Cost &amp; Rev'!E13*(1-$C$33)</f>
        <v>-346018.56619666348</v>
      </c>
      <c r="I49" s="552">
        <f>-'Load Impact to Cost &amp; Rev'!F13*(1-$C$33)</f>
        <v>-563895.17304473254</v>
      </c>
      <c r="J49" s="552">
        <f>-'Load Impact to Cost &amp; Rev'!G13*(1-$C$33)</f>
        <v>183254.48651128355</v>
      </c>
      <c r="K49" s="552">
        <f>-'Load Impact to Cost &amp; Rev'!H13*(1-$C$33)</f>
        <v>1993845.9697933381</v>
      </c>
      <c r="L49" s="552">
        <f>-'Load Impact to Cost &amp; Rev'!I13*(1-$C$33)</f>
        <v>1044797.7454333697</v>
      </c>
      <c r="M49" s="552">
        <f>-'Load Impact to Cost &amp; Rev'!J13*(1-$C$33)</f>
        <v>-67711.963710549084</v>
      </c>
      <c r="N49" s="552">
        <f>-'Load Impact to Cost &amp; Rev'!K13*(1-$C$33)</f>
        <v>-233262.45972090971</v>
      </c>
      <c r="O49" s="552">
        <f>-'Load Impact to Cost &amp; Rev'!L13*(1-$C$33)</f>
        <v>-2532262.5494035562</v>
      </c>
      <c r="P49" s="552">
        <f>-'Load Impact to Cost &amp; Rev'!M13*(1-$C$33)</f>
        <v>-2718609.7113843327</v>
      </c>
      <c r="Q49" s="553">
        <f>SUM(E49:P49)</f>
        <v>-4447485.2828187607</v>
      </c>
    </row>
    <row r="50" spans="2:17" s="442" customFormat="1" ht="13.5" thickBot="1">
      <c r="B50" s="442" t="s">
        <v>414</v>
      </c>
      <c r="E50" s="554">
        <f t="shared" ref="E50:Q50" si="12">SUM(E47:E49)</f>
        <v>727485.44113350473</v>
      </c>
      <c r="F50" s="554">
        <f t="shared" si="12"/>
        <v>2677716.4321422023</v>
      </c>
      <c r="G50" s="554">
        <f t="shared" si="12"/>
        <v>-926608.0754845835</v>
      </c>
      <c r="H50" s="554">
        <f t="shared" si="12"/>
        <v>-1708503.9865722638</v>
      </c>
      <c r="I50" s="554">
        <f t="shared" si="12"/>
        <v>-3149219.5785326157</v>
      </c>
      <c r="J50" s="554">
        <f t="shared" si="12"/>
        <v>-2993040.610469792</v>
      </c>
      <c r="K50" s="554">
        <f t="shared" si="12"/>
        <v>9718348.5779731814</v>
      </c>
      <c r="L50" s="554">
        <f t="shared" si="12"/>
        <v>12057022.079019431</v>
      </c>
      <c r="M50" s="554">
        <f t="shared" si="12"/>
        <v>-779497.71746284678</v>
      </c>
      <c r="N50" s="554">
        <f t="shared" si="12"/>
        <v>3771983.7753062388</v>
      </c>
      <c r="O50" s="554">
        <f t="shared" si="12"/>
        <v>-12436456.819502722</v>
      </c>
      <c r="P50" s="554">
        <f t="shared" si="12"/>
        <v>1825410.696952099</v>
      </c>
      <c r="Q50" s="554">
        <f t="shared" si="12"/>
        <v>8784640.2145018317</v>
      </c>
    </row>
    <row r="51" spans="2:17" s="442" customFormat="1" ht="13.5" thickTop="1"/>
    <row r="52" spans="2:17" s="442" customFormat="1" ht="15">
      <c r="B52" s="291" t="s">
        <v>415</v>
      </c>
    </row>
    <row r="53" spans="2:17" s="442" customFormat="1" ht="15">
      <c r="B53" s="290" t="s">
        <v>416</v>
      </c>
      <c r="E53" s="297">
        <f>+E50</f>
        <v>727485.44113350473</v>
      </c>
      <c r="F53" s="297">
        <f t="shared" ref="F53:P53" si="13">+E53+F50</f>
        <v>3405201.873275707</v>
      </c>
      <c r="G53" s="297">
        <f t="shared" si="13"/>
        <v>2478593.7977911234</v>
      </c>
      <c r="H53" s="297">
        <f t="shared" si="13"/>
        <v>770089.81121885963</v>
      </c>
      <c r="I53" s="297">
        <f t="shared" si="13"/>
        <v>-2379129.767313756</v>
      </c>
      <c r="J53" s="297">
        <f t="shared" si="13"/>
        <v>-5372170.3777835481</v>
      </c>
      <c r="K53" s="297">
        <f t="shared" si="13"/>
        <v>4346178.2001896333</v>
      </c>
      <c r="L53" s="297">
        <f t="shared" si="13"/>
        <v>16403200.279209064</v>
      </c>
      <c r="M53" s="297">
        <f t="shared" si="13"/>
        <v>15623702.561746217</v>
      </c>
      <c r="N53" s="297">
        <f t="shared" si="13"/>
        <v>19395686.337052457</v>
      </c>
      <c r="O53" s="297">
        <f t="shared" si="13"/>
        <v>6959229.5175497346</v>
      </c>
      <c r="P53" s="297">
        <f t="shared" si="13"/>
        <v>8784640.2145018335</v>
      </c>
    </row>
    <row r="54" spans="2:17" s="442" customFormat="1" ht="15">
      <c r="B54" s="290"/>
    </row>
    <row r="55" spans="2:17" s="442" customFormat="1" ht="15">
      <c r="B55" s="291" t="s">
        <v>417</v>
      </c>
    </row>
    <row r="56" spans="2:17" s="442" customFormat="1" ht="15">
      <c r="B56" s="290" t="s">
        <v>418</v>
      </c>
      <c r="E56" s="289">
        <f>IF(ABS(E53)&gt;+E71,IF(E53&lt;0,-E71,+E71),+E53)</f>
        <v>727485.44113350473</v>
      </c>
      <c r="F56" s="289">
        <f>IF(ABS(F53)&gt;+E71,IF(F53&lt;0,-E71,+E71),+F53)</f>
        <v>3405201.873275707</v>
      </c>
      <c r="G56" s="289">
        <f>IF(ABS(G53)&gt;+E71,IF(G53&lt;0,-E71,+E71),+G53)</f>
        <v>2478593.7977911234</v>
      </c>
      <c r="H56" s="289">
        <f>IF(ABS(H53)&gt;+E71,IF(H53&lt;0,-E71,+E71),+H53)</f>
        <v>770089.81121885963</v>
      </c>
      <c r="I56" s="289">
        <f>IF(ABS(I53)&gt;+E71,IF(I53&lt;0,-E71,+E71),+I53)</f>
        <v>-2379129.767313756</v>
      </c>
      <c r="J56" s="289">
        <f>IF(ABS(J53)&gt;+E71,IF(J53&lt;0,-E71,+E71),+J53)</f>
        <v>-5372170.3777835481</v>
      </c>
      <c r="K56" s="289">
        <f>IF(ABS(K53)&gt;+E71,IF(K53&lt;0,-E71,+E71),+K53)</f>
        <v>4346178.2001896333</v>
      </c>
      <c r="L56" s="289">
        <f>IF(ABS(L53)&gt;+E71,IF(L53&lt;0,-E71,+E71),+L53)</f>
        <v>16403200.279209064</v>
      </c>
      <c r="M56" s="289">
        <f>IF(ABS(M53)&gt;+E71,IF(M53&lt;0,-E71,+E71),+M53)</f>
        <v>15623702.561746217</v>
      </c>
      <c r="N56" s="289">
        <f>IF(ABS(N53)&gt;+E71,IF(N53&lt;0,-E71,+E71),+N53)</f>
        <v>17000000</v>
      </c>
      <c r="O56" s="289">
        <f>IF(ABS(O53)&gt;+E71,IF(O53&lt;0,-E71,+E71),+O53)</f>
        <v>6959229.5175497346</v>
      </c>
      <c r="P56" s="289">
        <f>IF(ABS(P53)&gt;+E71,IF(P53&lt;0,-E71,+E71),+P53)</f>
        <v>8784640.2145018335</v>
      </c>
      <c r="Q56" s="289"/>
    </row>
    <row r="57" spans="2:17" s="442" customFormat="1" ht="15">
      <c r="B57" s="290" t="s">
        <v>419</v>
      </c>
      <c r="E57" s="289">
        <f>IF(ABS(E53)-ABS(E56)&gt;=E72,IF(E53&lt;=0,-E72,+E72),+E53-E56)</f>
        <v>0</v>
      </c>
      <c r="F57" s="289">
        <f>IF(ABS(F53)-ABS(F56)&gt;=E72,IF(F53&lt;=0,-E72,+E72),+F53-F56)</f>
        <v>0</v>
      </c>
      <c r="G57" s="289">
        <f>IF(ABS(G53)-ABS(G56)&gt;=E72,IF(G53&lt;=0,-E72,+E72),+G53-G56)</f>
        <v>0</v>
      </c>
      <c r="H57" s="289">
        <f>IF(ABS(H53)-ABS(H56)&gt;=E72,IF(H53&lt;=0,-E72,+E72),+H53-H56)</f>
        <v>0</v>
      </c>
      <c r="I57" s="289">
        <f>IF(ABS(I53)-ABS(I56)&gt;=E72,IF(I53&lt;=0,-E72,+E72),+I53-I56)</f>
        <v>0</v>
      </c>
      <c r="J57" s="289">
        <f>IF(ABS(J53)-ABS(J56)&gt;=E72,IF(J53&lt;=0,-E72,+E72),+J53-J56)</f>
        <v>0</v>
      </c>
      <c r="K57" s="289">
        <f>IF(ABS(K53)-ABS(K56)&gt;=E72,IF(K53&lt;=0,-E72,+E72),+K53-K56)</f>
        <v>0</v>
      </c>
      <c r="L57" s="289">
        <f>IF(ABS(L53)-ABS(L56)&gt;=E72,IF(L53&lt;=0,-E72,+E72),+L53-L56)</f>
        <v>0</v>
      </c>
      <c r="M57" s="289">
        <f>IF(ABS(M53)-ABS(M56)&gt;=E72,IF(M53&lt;=0,-E72,+E72),+M53-M56)</f>
        <v>0</v>
      </c>
      <c r="N57" s="289">
        <f>IF(ABS(N53)-ABS(N56)&gt;=E72,IF(N53&lt;=0,-E72,+E72),+N53-N56)</f>
        <v>2395686.337052457</v>
      </c>
      <c r="O57" s="289">
        <f>IF(ABS(O53)-ABS(O56)&gt;=E72,IF(O53&lt;=0,-E72,+E72),+O53-O56)</f>
        <v>0</v>
      </c>
      <c r="P57" s="289">
        <f>IF(ABS(P53)-ABS(P56)&gt;=E72,IF(P53&lt;=0,-E72,+E72),+P53-P56)</f>
        <v>0</v>
      </c>
      <c r="Q57" s="289"/>
    </row>
    <row r="58" spans="2:17" s="442" customFormat="1" ht="15">
      <c r="B58" s="290" t="s">
        <v>420</v>
      </c>
      <c r="E58" s="289">
        <f>IF(ABS(E53)-ABS(SUM(E56:E57))&gt;=E74,IF(E53&lt;=0,E53-SUM(E56:E57),E53-SUM(E56:E57)),+E53-SUM(E56:E57))</f>
        <v>0</v>
      </c>
      <c r="F58" s="289">
        <f>IF(ABS(F53)-ABS(SUM(F56:F57))&gt;=E74,IF(F53&lt;=0,F53-SUM(F56:F57),F53-SUM(F56:F57)),+F53-SUM(F56:F57))</f>
        <v>0</v>
      </c>
      <c r="G58" s="289">
        <f>IF(ABS(G53)-ABS(SUM(G56:G57))&gt;=E74,IF(G53&lt;=0,G53-SUM(G56:G57),G53-SUM(G56:G57)),+G53-SUM(G56:G57))</f>
        <v>0</v>
      </c>
      <c r="H58" s="289">
        <f>IF(ABS(H53)-ABS(SUM(H56:H57))&gt;=E74,IF(H53&lt;=0,H53-SUM(H56:H57),H53-SUM(H56:H57)),+H53-SUM(H56:H57))</f>
        <v>0</v>
      </c>
      <c r="I58" s="289">
        <f>IF(ABS(I53)-ABS(SUM(I56:I57))&gt;=E74,IF(I53&lt;=0,I53-SUM(I56:I57),I53-SUM(I56:I57)),+I53-SUM(I56:I57))</f>
        <v>0</v>
      </c>
      <c r="J58" s="289">
        <f>IF(ABS(J53)-ABS(SUM(J56:J57))&gt;=E74,IF(J53&lt;=0,J53-SUM(J56:J57),J53-SUM(J56:J57)),+J53-SUM(J56:J57))</f>
        <v>0</v>
      </c>
      <c r="K58" s="289">
        <f>IF(ABS(K53)-ABS(SUM(K56:K57))&gt;=E74,IF(K53&lt;=0,K53-SUM(K56:K57),K53-SUM(K56:K57)),+K53-SUM(K56:K57))</f>
        <v>0</v>
      </c>
      <c r="L58" s="289">
        <f>IF(ABS(L53)-ABS(SUM(L56:L57))&gt;=E74,IF(L53&lt;=0,L53-SUM(L56:L57),L53-SUM(L56:L57)),+L53-SUM(L56:L57))</f>
        <v>0</v>
      </c>
      <c r="M58" s="289">
        <f>IF(ABS(M53)-ABS(SUM(M56:M57))&gt;=E74,IF(M53&lt;=0,M53-SUM(M56:M57),+M53-E74),+M53-SUM(M56:M57))</f>
        <v>0</v>
      </c>
      <c r="N58" s="289">
        <f>IF(ABS(N53)-ABS(SUM(N56:N57))&gt;=E74,IF(N53&lt;=0,N53-SUM(N56:N57),N53-SUM(N56:N57)),+N53-SUM(N56:N57))</f>
        <v>0</v>
      </c>
      <c r="O58" s="289">
        <f>IF(ABS(O53)-ABS(SUM(O56:O57))&gt;=E74,IF(O53&lt;=0,O53-SUM(O56:O57),O53-SUM(O56:O57)),+O53-SUM(O56:O57))</f>
        <v>0</v>
      </c>
      <c r="P58" s="289">
        <f>IF(ABS(P53)-ABS(SUM(P56:P57))&gt;=E74,IF(P53&lt;=0,P53-SUM(P56:P57),+P53-E74),+P53-SUM(P56:P57))</f>
        <v>0</v>
      </c>
      <c r="Q58" s="289"/>
    </row>
    <row r="59" spans="2:17" s="442" customFormat="1" ht="15">
      <c r="B59" s="288" t="s">
        <v>421</v>
      </c>
      <c r="E59" s="287">
        <f t="shared" ref="E59:P59" si="14">SUM(E56:E58)-E53</f>
        <v>0</v>
      </c>
      <c r="F59" s="287">
        <f t="shared" si="14"/>
        <v>0</v>
      </c>
      <c r="G59" s="287">
        <f t="shared" si="14"/>
        <v>0</v>
      </c>
      <c r="H59" s="287">
        <f t="shared" si="14"/>
        <v>0</v>
      </c>
      <c r="I59" s="287">
        <f t="shared" si="14"/>
        <v>0</v>
      </c>
      <c r="J59" s="287">
        <f t="shared" si="14"/>
        <v>0</v>
      </c>
      <c r="K59" s="287">
        <f t="shared" si="14"/>
        <v>0</v>
      </c>
      <c r="L59" s="287">
        <f t="shared" si="14"/>
        <v>0</v>
      </c>
      <c r="M59" s="287">
        <f t="shared" si="14"/>
        <v>0</v>
      </c>
      <c r="N59" s="287">
        <f t="shared" si="14"/>
        <v>0</v>
      </c>
      <c r="O59" s="287">
        <f t="shared" si="14"/>
        <v>0</v>
      </c>
      <c r="P59" s="287">
        <f t="shared" si="14"/>
        <v>0</v>
      </c>
      <c r="Q59" s="289"/>
    </row>
    <row r="60" spans="2:17" s="442" customFormat="1" ht="15">
      <c r="B60" s="291" t="s">
        <v>422</v>
      </c>
      <c r="E60" s="289"/>
      <c r="F60" s="289"/>
      <c r="G60" s="289"/>
      <c r="H60" s="289"/>
      <c r="I60" s="289"/>
      <c r="J60" s="289"/>
      <c r="K60" s="289"/>
      <c r="L60" s="289"/>
      <c r="M60" s="289"/>
      <c r="N60" s="289"/>
      <c r="O60" s="289"/>
      <c r="P60" s="289"/>
      <c r="Q60" s="289"/>
    </row>
    <row r="61" spans="2:17" s="442" customFormat="1" ht="15">
      <c r="B61" s="286" t="s">
        <v>423</v>
      </c>
      <c r="C61" s="285"/>
      <c r="D61" s="285"/>
      <c r="E61" s="284">
        <f>IF(E57&lt;0, E57*F73, E57*F72)</f>
        <v>0</v>
      </c>
      <c r="F61" s="284">
        <f>IF(F57&lt;0, F57*F73, F57*F72)</f>
        <v>0</v>
      </c>
      <c r="G61" s="284">
        <f>IF(G57&lt;0, G57*F73, G57*F72)</f>
        <v>0</v>
      </c>
      <c r="H61" s="284">
        <f>IF(H57&lt;0, H57*F73, H57*F72)</f>
        <v>0</v>
      </c>
      <c r="I61" s="284">
        <f>IF(I57&lt;0, I57*F73, I57*F72)</f>
        <v>0</v>
      </c>
      <c r="J61" s="284">
        <f>IF(J57&lt;0, J57*F73, J57*F72)</f>
        <v>0</v>
      </c>
      <c r="K61" s="284">
        <f>IF(K57&lt;0, K57*F73, K57*F72)</f>
        <v>0</v>
      </c>
      <c r="L61" s="284">
        <f>IF(L57&lt;0, L57*F73, L57*F72)</f>
        <v>0</v>
      </c>
      <c r="M61" s="284">
        <f>IF(M57&lt;0, M57*F73, M57*F72)</f>
        <v>0</v>
      </c>
      <c r="N61" s="284">
        <f>IF(N57&lt;0, N57*F73, N57*F72)</f>
        <v>1197843.1685262285</v>
      </c>
      <c r="O61" s="284">
        <f>IF(O57&lt;0, O57*F73, O57*F72)</f>
        <v>0</v>
      </c>
      <c r="P61" s="284">
        <f>IF(P57&lt;0, P57*F73, P57*F72)</f>
        <v>0</v>
      </c>
      <c r="Q61" s="283"/>
    </row>
    <row r="62" spans="2:17" s="442" customFormat="1" ht="15">
      <c r="B62" s="282" t="s">
        <v>424</v>
      </c>
      <c r="C62" s="281"/>
      <c r="D62" s="281"/>
      <c r="E62" s="280">
        <f>+E58*F74</f>
        <v>0</v>
      </c>
      <c r="F62" s="280">
        <f>+F58*F74</f>
        <v>0</v>
      </c>
      <c r="G62" s="280">
        <f>+G58*F74</f>
        <v>0</v>
      </c>
      <c r="H62" s="280">
        <f>+H58*F74</f>
        <v>0</v>
      </c>
      <c r="I62" s="280">
        <f>+I58*F74</f>
        <v>0</v>
      </c>
      <c r="J62" s="280">
        <f>+J58*F74</f>
        <v>0</v>
      </c>
      <c r="K62" s="280">
        <f>+K58*F74</f>
        <v>0</v>
      </c>
      <c r="L62" s="280">
        <f>+L58*F74</f>
        <v>0</v>
      </c>
      <c r="M62" s="280">
        <f>+M58*F74</f>
        <v>0</v>
      </c>
      <c r="N62" s="280">
        <f>+N58*F74</f>
        <v>0</v>
      </c>
      <c r="O62" s="280">
        <f>+O58*F74</f>
        <v>0</v>
      </c>
      <c r="P62" s="280">
        <f>+P58*F74</f>
        <v>0</v>
      </c>
      <c r="Q62" s="279">
        <f>SUM(P61:P62)</f>
        <v>0</v>
      </c>
    </row>
    <row r="63" spans="2:17" s="442" customFormat="1" ht="15">
      <c r="B63" s="286" t="s">
        <v>425</v>
      </c>
      <c r="C63" s="285"/>
      <c r="D63" s="285"/>
      <c r="E63" s="284">
        <f t="shared" ref="E63:P63" si="15">+E56</f>
        <v>727485.44113350473</v>
      </c>
      <c r="F63" s="284">
        <f t="shared" si="15"/>
        <v>3405201.873275707</v>
      </c>
      <c r="G63" s="284">
        <f t="shared" si="15"/>
        <v>2478593.7977911234</v>
      </c>
      <c r="H63" s="284">
        <f t="shared" si="15"/>
        <v>770089.81121885963</v>
      </c>
      <c r="I63" s="284">
        <f t="shared" si="15"/>
        <v>-2379129.767313756</v>
      </c>
      <c r="J63" s="284">
        <f t="shared" si="15"/>
        <v>-5372170.3777835481</v>
      </c>
      <c r="K63" s="284">
        <f t="shared" si="15"/>
        <v>4346178.2001896333</v>
      </c>
      <c r="L63" s="284">
        <f t="shared" si="15"/>
        <v>16403200.279209064</v>
      </c>
      <c r="M63" s="284">
        <f t="shared" si="15"/>
        <v>15623702.561746217</v>
      </c>
      <c r="N63" s="284">
        <f t="shared" si="15"/>
        <v>17000000</v>
      </c>
      <c r="O63" s="284">
        <f t="shared" si="15"/>
        <v>6959229.5175497346</v>
      </c>
      <c r="P63" s="284">
        <f t="shared" si="15"/>
        <v>8784640.2145018335</v>
      </c>
      <c r="Q63" s="283"/>
    </row>
    <row r="64" spans="2:17" s="442" customFormat="1" ht="15">
      <c r="B64" s="278" t="s">
        <v>426</v>
      </c>
      <c r="C64" s="310"/>
      <c r="D64" s="310"/>
      <c r="E64" s="277">
        <f>IF(E57&lt;0, E57*G73, E57*G72)</f>
        <v>0</v>
      </c>
      <c r="F64" s="277">
        <f>IF(F57&lt;0, F57*G73, F57*G72)</f>
        <v>0</v>
      </c>
      <c r="G64" s="277">
        <f>IF(G57&lt;0, G57*G73, G57*G72)</f>
        <v>0</v>
      </c>
      <c r="H64" s="277">
        <f>IF(H57&lt;0, H57*G73, H57*G72)</f>
        <v>0</v>
      </c>
      <c r="I64" s="277">
        <f>IF(I57&lt;0, I57*G73, I57*G72)</f>
        <v>0</v>
      </c>
      <c r="J64" s="277">
        <f>IF(J57&lt;0, J57*G73, J57*G72)</f>
        <v>0</v>
      </c>
      <c r="K64" s="277">
        <f>IF(K57&lt;0, K57*G73, K57*G72)</f>
        <v>0</v>
      </c>
      <c r="L64" s="277">
        <f>IF(L57&lt;0, L57*G73, L57*G72)</f>
        <v>0</v>
      </c>
      <c r="M64" s="277">
        <f>IF(M57&lt;0, M57*G73, M57*G72)</f>
        <v>0</v>
      </c>
      <c r="N64" s="277">
        <f>IF(N57&lt;0, N57*G73, N57*G72)</f>
        <v>1197843.1685262285</v>
      </c>
      <c r="O64" s="277">
        <f>IF(O57&lt;0, O57*G73, O57*G72)</f>
        <v>0</v>
      </c>
      <c r="P64" s="277">
        <f>IF(P57&lt;0, P57*G73, P57*G72)</f>
        <v>0</v>
      </c>
      <c r="Q64" s="276"/>
    </row>
    <row r="65" spans="1:17" ht="15">
      <c r="A65" s="442"/>
      <c r="B65" s="282" t="s">
        <v>427</v>
      </c>
      <c r="C65" s="281"/>
      <c r="D65" s="281"/>
      <c r="E65" s="280">
        <f>+E58*G74</f>
        <v>0</v>
      </c>
      <c r="F65" s="280">
        <f>+F58*G74</f>
        <v>0</v>
      </c>
      <c r="G65" s="280">
        <f>+G58*G74</f>
        <v>0</v>
      </c>
      <c r="H65" s="280">
        <f>+H58*G74</f>
        <v>0</v>
      </c>
      <c r="I65" s="280">
        <f>+I58*G74</f>
        <v>0</v>
      </c>
      <c r="J65" s="280">
        <f>+J58*G74</f>
        <v>0</v>
      </c>
      <c r="K65" s="280">
        <f>+K58*G74</f>
        <v>0</v>
      </c>
      <c r="L65" s="280">
        <f>+L58*G74</f>
        <v>0</v>
      </c>
      <c r="M65" s="280">
        <f>+M58*G74</f>
        <v>0</v>
      </c>
      <c r="N65" s="280">
        <f>+N58*G74</f>
        <v>0</v>
      </c>
      <c r="O65" s="280">
        <f>+O58*G74</f>
        <v>0</v>
      </c>
      <c r="P65" s="280">
        <f>+P58*G74</f>
        <v>0</v>
      </c>
      <c r="Q65" s="279">
        <f>SUM(P63:P65)</f>
        <v>8784640.2145018335</v>
      </c>
    </row>
    <row r="66" spans="1:17" ht="15">
      <c r="A66" s="442"/>
      <c r="B66" s="288" t="s">
        <v>421</v>
      </c>
      <c r="E66" s="275">
        <f t="shared" ref="E66:P66" si="16">SUM(E61:E65)-E53</f>
        <v>0</v>
      </c>
      <c r="F66" s="275">
        <f t="shared" si="16"/>
        <v>0</v>
      </c>
      <c r="G66" s="275">
        <f t="shared" si="16"/>
        <v>0</v>
      </c>
      <c r="H66" s="275">
        <f t="shared" si="16"/>
        <v>0</v>
      </c>
      <c r="I66" s="275">
        <f t="shared" si="16"/>
        <v>0</v>
      </c>
      <c r="J66" s="275">
        <f t="shared" si="16"/>
        <v>0</v>
      </c>
      <c r="K66" s="275">
        <f t="shared" si="16"/>
        <v>0</v>
      </c>
      <c r="L66" s="275">
        <f t="shared" si="16"/>
        <v>0</v>
      </c>
      <c r="M66" s="275">
        <f t="shared" si="16"/>
        <v>0</v>
      </c>
      <c r="N66" s="275">
        <f t="shared" si="16"/>
        <v>0</v>
      </c>
      <c r="O66" s="275">
        <f t="shared" si="16"/>
        <v>0</v>
      </c>
      <c r="P66" s="275">
        <f t="shared" si="16"/>
        <v>0</v>
      </c>
      <c r="Q66" s="277">
        <f>SUM(Q61:Q65)</f>
        <v>8784640.2145018335</v>
      </c>
    </row>
    <row r="67" spans="1:17" ht="15.75" thickBot="1">
      <c r="A67" s="442"/>
      <c r="B67" s="290"/>
      <c r="E67" s="289"/>
      <c r="F67" s="289"/>
      <c r="G67" s="289"/>
      <c r="H67" s="289"/>
      <c r="I67" s="289"/>
      <c r="J67" s="289"/>
      <c r="K67" s="289"/>
      <c r="L67" s="289"/>
      <c r="M67" s="289"/>
      <c r="N67" s="289"/>
      <c r="O67" s="289"/>
      <c r="P67" s="289"/>
      <c r="Q67" s="289"/>
    </row>
    <row r="68" spans="1:17" ht="15">
      <c r="A68" s="442"/>
      <c r="B68" s="274"/>
      <c r="C68" s="273"/>
      <c r="D68" s="273"/>
      <c r="E68" s="272"/>
      <c r="F68" s="272"/>
      <c r="G68" s="272"/>
      <c r="H68" s="272"/>
      <c r="I68" s="272"/>
      <c r="J68" s="272"/>
      <c r="K68" s="271"/>
      <c r="L68" s="289"/>
      <c r="M68" s="289"/>
      <c r="N68" s="289"/>
      <c r="O68" s="289"/>
      <c r="P68" s="289"/>
      <c r="Q68" s="289"/>
    </row>
    <row r="69" spans="1:17" ht="15">
      <c r="A69" s="555"/>
      <c r="B69" s="270"/>
      <c r="C69" s="310"/>
      <c r="D69" s="310"/>
      <c r="E69" s="269" t="s">
        <v>428</v>
      </c>
      <c r="F69" s="268" t="s">
        <v>429</v>
      </c>
      <c r="G69" s="267"/>
      <c r="H69" s="266"/>
      <c r="I69" s="277"/>
      <c r="J69" s="277"/>
      <c r="K69" s="265"/>
      <c r="L69" s="289"/>
      <c r="M69" s="289"/>
      <c r="N69" s="289"/>
      <c r="O69" s="289"/>
      <c r="P69" s="289"/>
      <c r="Q69" s="289"/>
    </row>
    <row r="70" spans="1:17" ht="15">
      <c r="A70" s="555"/>
      <c r="B70" s="264" t="s">
        <v>430</v>
      </c>
      <c r="C70" s="310"/>
      <c r="D70" s="310"/>
      <c r="E70" s="263" t="s">
        <v>431</v>
      </c>
      <c r="F70" s="262" t="s">
        <v>432</v>
      </c>
      <c r="G70" s="261" t="s">
        <v>433</v>
      </c>
      <c r="H70" s="266"/>
      <c r="I70" s="277"/>
      <c r="J70" s="277"/>
      <c r="K70" s="265"/>
      <c r="L70" s="289"/>
      <c r="M70" s="289"/>
      <c r="N70" s="289"/>
      <c r="O70" s="289"/>
      <c r="P70" s="289"/>
      <c r="Q70" s="289"/>
    </row>
    <row r="71" spans="1:17" ht="15">
      <c r="A71" s="555"/>
      <c r="B71" s="270" t="s">
        <v>434</v>
      </c>
      <c r="C71" s="310"/>
      <c r="D71" s="310"/>
      <c r="E71" s="283">
        <v>17000000</v>
      </c>
      <c r="F71" s="260">
        <v>0</v>
      </c>
      <c r="G71" s="259">
        <f>1-F71%</f>
        <v>1</v>
      </c>
      <c r="H71" s="266" t="s">
        <v>435</v>
      </c>
      <c r="I71" s="277"/>
      <c r="J71" s="277"/>
      <c r="K71" s="265"/>
      <c r="L71" s="289"/>
      <c r="M71" s="289"/>
      <c r="N71" s="289"/>
      <c r="O71" s="289"/>
      <c r="P71" s="289"/>
      <c r="Q71" s="289"/>
    </row>
    <row r="72" spans="1:17" ht="15">
      <c r="A72" s="555"/>
      <c r="B72" s="270" t="s">
        <v>436</v>
      </c>
      <c r="C72" s="310"/>
      <c r="D72" s="310"/>
      <c r="E72" s="276">
        <v>17000000</v>
      </c>
      <c r="F72" s="258">
        <v>0.5</v>
      </c>
      <c r="G72" s="257">
        <f>100%-F72</f>
        <v>0.5</v>
      </c>
      <c r="H72" s="266" t="s">
        <v>437</v>
      </c>
      <c r="I72" s="277"/>
      <c r="J72" s="277"/>
      <c r="K72" s="265"/>
      <c r="L72" s="289"/>
      <c r="M72" s="289"/>
      <c r="N72" s="289"/>
      <c r="O72" s="289"/>
      <c r="P72" s="289"/>
      <c r="Q72" s="289"/>
    </row>
    <row r="73" spans="1:17" ht="15">
      <c r="A73" s="555"/>
      <c r="B73" s="270" t="s">
        <v>438</v>
      </c>
      <c r="C73" s="310"/>
      <c r="D73" s="310"/>
      <c r="E73" s="276">
        <f>-E72</f>
        <v>-17000000</v>
      </c>
      <c r="F73" s="258">
        <v>0.65</v>
      </c>
      <c r="G73" s="257">
        <f>100%-F73</f>
        <v>0.35</v>
      </c>
      <c r="H73" s="266" t="s">
        <v>439</v>
      </c>
      <c r="I73" s="277"/>
      <c r="J73" s="277"/>
      <c r="K73" s="265"/>
      <c r="L73" s="289"/>
      <c r="M73" s="289"/>
      <c r="N73" s="289"/>
      <c r="O73" s="289"/>
      <c r="P73" s="289"/>
      <c r="Q73" s="289"/>
    </row>
    <row r="74" spans="1:17" ht="15">
      <c r="A74" s="555"/>
      <c r="B74" s="270" t="s">
        <v>440</v>
      </c>
      <c r="C74" s="310"/>
      <c r="D74" s="310"/>
      <c r="E74" s="279">
        <v>40000000</v>
      </c>
      <c r="F74" s="256">
        <v>0.9</v>
      </c>
      <c r="G74" s="255">
        <f>100%-F74</f>
        <v>9.9999999999999978E-2</v>
      </c>
      <c r="H74" s="266" t="s">
        <v>441</v>
      </c>
      <c r="I74" s="277"/>
      <c r="J74" s="277"/>
      <c r="K74" s="265"/>
      <c r="L74" s="289"/>
      <c r="M74" s="289"/>
      <c r="N74" s="289"/>
      <c r="O74" s="289"/>
      <c r="P74" s="289"/>
      <c r="Q74" s="289"/>
    </row>
    <row r="75" spans="1:17" ht="15">
      <c r="A75" s="555"/>
      <c r="B75" s="270"/>
      <c r="C75" s="310"/>
      <c r="D75" s="310"/>
      <c r="E75" s="277"/>
      <c r="F75" s="277"/>
      <c r="G75" s="277"/>
      <c r="H75" s="277"/>
      <c r="I75" s="277"/>
      <c r="J75" s="277"/>
      <c r="K75" s="265"/>
      <c r="L75" s="289"/>
      <c r="M75" s="289"/>
      <c r="N75" s="289"/>
      <c r="O75" s="289"/>
      <c r="P75" s="289"/>
      <c r="Q75" s="289"/>
    </row>
    <row r="76" spans="1:17" ht="15.75" thickBot="1">
      <c r="A76" s="555"/>
      <c r="B76" s="254"/>
      <c r="C76" s="253"/>
      <c r="D76" s="253"/>
      <c r="E76" s="252"/>
      <c r="F76" s="252"/>
      <c r="G76" s="252"/>
      <c r="H76" s="252"/>
      <c r="I76" s="252"/>
      <c r="J76" s="252"/>
      <c r="K76" s="251"/>
      <c r="L76" s="289"/>
      <c r="M76" s="289"/>
      <c r="N76" s="289"/>
      <c r="O76" s="289"/>
      <c r="P76" s="289"/>
      <c r="Q76" s="289"/>
    </row>
    <row r="77" spans="1:17">
      <c r="A77" s="555"/>
    </row>
    <row r="78" spans="1:17" ht="15">
      <c r="A78" s="555"/>
      <c r="B78" s="250" t="s">
        <v>442</v>
      </c>
      <c r="C78" s="250"/>
      <c r="E78" s="557"/>
      <c r="F78" s="557"/>
      <c r="G78" s="557"/>
      <c r="H78" s="557"/>
      <c r="I78" s="557"/>
      <c r="J78" s="557"/>
      <c r="K78" s="557"/>
      <c r="L78" s="557"/>
      <c r="M78" s="557"/>
      <c r="N78" s="557"/>
      <c r="O78" s="557"/>
      <c r="P78" s="557"/>
    </row>
    <row r="79" spans="1:17" ht="13.5" thickBot="1">
      <c r="A79" s="555"/>
      <c r="B79" s="442" t="s">
        <v>443</v>
      </c>
      <c r="E79" s="552">
        <f t="shared" ref="E79:P79" si="17">SUM(E61:E62)</f>
        <v>0</v>
      </c>
      <c r="F79" s="552">
        <f t="shared" si="17"/>
        <v>0</v>
      </c>
      <c r="G79" s="552">
        <f t="shared" si="17"/>
        <v>0</v>
      </c>
      <c r="H79" s="552">
        <f t="shared" si="17"/>
        <v>0</v>
      </c>
      <c r="I79" s="552">
        <f t="shared" si="17"/>
        <v>0</v>
      </c>
      <c r="J79" s="552">
        <f t="shared" si="17"/>
        <v>0</v>
      </c>
      <c r="K79" s="552">
        <f t="shared" si="17"/>
        <v>0</v>
      </c>
      <c r="L79" s="552">
        <f t="shared" si="17"/>
        <v>0</v>
      </c>
      <c r="M79" s="552">
        <f t="shared" si="17"/>
        <v>0</v>
      </c>
      <c r="N79" s="552">
        <f t="shared" si="17"/>
        <v>1197843.1685262285</v>
      </c>
      <c r="O79" s="552">
        <f t="shared" si="17"/>
        <v>0</v>
      </c>
      <c r="P79" s="552">
        <f t="shared" si="17"/>
        <v>0</v>
      </c>
    </row>
    <row r="80" spans="1:17" ht="13.5" thickBot="1">
      <c r="A80" s="555"/>
      <c r="B80" s="442" t="s">
        <v>444</v>
      </c>
      <c r="E80" s="556">
        <f t="shared" ref="E80:P80" si="18">+E79-E78</f>
        <v>0</v>
      </c>
      <c r="F80" s="556">
        <f t="shared" si="18"/>
        <v>0</v>
      </c>
      <c r="G80" s="556">
        <f t="shared" si="18"/>
        <v>0</v>
      </c>
      <c r="H80" s="556">
        <f t="shared" si="18"/>
        <v>0</v>
      </c>
      <c r="I80" s="556">
        <f t="shared" si="18"/>
        <v>0</v>
      </c>
      <c r="J80" s="556">
        <f t="shared" si="18"/>
        <v>0</v>
      </c>
      <c r="K80" s="556">
        <f t="shared" si="18"/>
        <v>0</v>
      </c>
      <c r="L80" s="556">
        <f t="shared" si="18"/>
        <v>0</v>
      </c>
      <c r="M80" s="556">
        <f t="shared" si="18"/>
        <v>0</v>
      </c>
      <c r="N80" s="556">
        <f t="shared" si="18"/>
        <v>1197843.1685262285</v>
      </c>
      <c r="O80" s="556">
        <f t="shared" si="18"/>
        <v>0</v>
      </c>
      <c r="P80" s="249">
        <f t="shared" si="18"/>
        <v>0</v>
      </c>
      <c r="Q80" s="557" t="s">
        <v>445</v>
      </c>
    </row>
    <row r="81" spans="1:1">
      <c r="A81" s="555"/>
    </row>
    <row r="82" spans="1:1">
      <c r="A82" s="555"/>
    </row>
    <row r="83" spans="1:1">
      <c r="A83" s="555"/>
    </row>
    <row r="84" spans="1:1">
      <c r="A84" s="555"/>
    </row>
    <row r="85" spans="1:1">
      <c r="A85" s="555"/>
    </row>
    <row r="86" spans="1:1">
      <c r="A86" s="555"/>
    </row>
    <row r="87" spans="1:1">
      <c r="A87" s="555"/>
    </row>
    <row r="88" spans="1:1">
      <c r="A88" s="555"/>
    </row>
    <row r="89" spans="1:1">
      <c r="A89" s="555"/>
    </row>
    <row r="90" spans="1:1">
      <c r="A90" s="555"/>
    </row>
    <row r="91" spans="1:1">
      <c r="A91" s="555"/>
    </row>
    <row r="92" spans="1:1">
      <c r="A92" s="555"/>
    </row>
    <row r="93" spans="1:1">
      <c r="A93" s="555"/>
    </row>
    <row r="94" spans="1:1">
      <c r="A94" s="555"/>
    </row>
    <row r="95" spans="1:1">
      <c r="A95" s="555"/>
    </row>
    <row r="96" spans="1:1">
      <c r="A96" s="555"/>
    </row>
    <row r="97" spans="1:1">
      <c r="A97" s="555"/>
    </row>
    <row r="98" spans="1:1">
      <c r="A98" s="555"/>
    </row>
    <row r="99" spans="1:1">
      <c r="A99" s="555"/>
    </row>
    <row r="100" spans="1:1">
      <c r="A100" s="555"/>
    </row>
    <row r="101" spans="1:1">
      <c r="A101" s="555"/>
    </row>
    <row r="102" spans="1:1">
      <c r="A102" s="555"/>
    </row>
    <row r="103" spans="1:1">
      <c r="A103" s="555"/>
    </row>
    <row r="104" spans="1:1">
      <c r="A104" s="555"/>
    </row>
    <row r="105" spans="1:1">
      <c r="A105" s="555"/>
    </row>
    <row r="106" spans="1:1">
      <c r="A106" s="555"/>
    </row>
    <row r="107" spans="1:1">
      <c r="A107" s="555"/>
    </row>
    <row r="108" spans="1:1">
      <c r="A108" s="555"/>
    </row>
    <row r="109" spans="1:1">
      <c r="A109" s="555"/>
    </row>
    <row r="110" spans="1:1">
      <c r="A110" s="555"/>
    </row>
    <row r="111" spans="1:1">
      <c r="A111" s="555"/>
    </row>
    <row r="112" spans="1:1">
      <c r="A112" s="555"/>
    </row>
    <row r="113" spans="1:1">
      <c r="A113" s="555"/>
    </row>
    <row r="114" spans="1:1">
      <c r="A114" s="555"/>
    </row>
    <row r="115" spans="1:1">
      <c r="A115" s="555"/>
    </row>
    <row r="116" spans="1:1">
      <c r="A116" s="555"/>
    </row>
    <row r="117" spans="1:1">
      <c r="A117" s="555"/>
    </row>
    <row r="118" spans="1:1">
      <c r="A118" s="555"/>
    </row>
    <row r="119" spans="1:1">
      <c r="A119" s="555"/>
    </row>
    <row r="120" spans="1:1">
      <c r="A120" s="555"/>
    </row>
    <row r="121" spans="1:1">
      <c r="A121" s="555"/>
    </row>
    <row r="122" spans="1:1">
      <c r="A122" s="555"/>
    </row>
    <row r="123" spans="1:1">
      <c r="A123" s="555"/>
    </row>
    <row r="124" spans="1:1">
      <c r="A124" s="555"/>
    </row>
    <row r="125" spans="1:1">
      <c r="A125" s="555"/>
    </row>
    <row r="126" spans="1:1">
      <c r="A126" s="555"/>
    </row>
    <row r="127" spans="1:1">
      <c r="A127" s="555"/>
    </row>
    <row r="128" spans="1:1">
      <c r="A128" s="555"/>
    </row>
    <row r="129" spans="1:1">
      <c r="A129" s="555"/>
    </row>
    <row r="130" spans="1:1">
      <c r="A130" s="555"/>
    </row>
    <row r="131" spans="1:1">
      <c r="A131" s="555"/>
    </row>
    <row r="132" spans="1:1">
      <c r="A132" s="555"/>
    </row>
    <row r="133" spans="1:1">
      <c r="A133" s="555"/>
    </row>
    <row r="134" spans="1:1">
      <c r="A134" s="555"/>
    </row>
    <row r="135" spans="1:1">
      <c r="A135" s="555"/>
    </row>
    <row r="136" spans="1:1">
      <c r="A136" s="555"/>
    </row>
    <row r="137" spans="1:1">
      <c r="A137" s="555"/>
    </row>
    <row r="138" spans="1:1">
      <c r="A138" s="555"/>
    </row>
    <row r="139" spans="1:1">
      <c r="A139" s="555"/>
    </row>
    <row r="140" spans="1:1">
      <c r="A140" s="555"/>
    </row>
    <row r="141" spans="1:1">
      <c r="A141" s="555"/>
    </row>
    <row r="142" spans="1:1">
      <c r="A142" s="555"/>
    </row>
    <row r="143" spans="1:1">
      <c r="A143" s="555"/>
    </row>
    <row r="144" spans="1:1">
      <c r="A144" s="555"/>
    </row>
    <row r="145" spans="1:1">
      <c r="A145" s="555"/>
    </row>
    <row r="146" spans="1:1">
      <c r="A146" s="555"/>
    </row>
    <row r="147" spans="1:1">
      <c r="A147" s="555"/>
    </row>
    <row r="148" spans="1:1">
      <c r="A148" s="555"/>
    </row>
    <row r="149" spans="1:1">
      <c r="A149" s="555"/>
    </row>
    <row r="150" spans="1:1">
      <c r="A150" s="555"/>
    </row>
    <row r="151" spans="1:1">
      <c r="A151" s="555"/>
    </row>
    <row r="152" spans="1:1">
      <c r="A152" s="555"/>
    </row>
    <row r="153" spans="1:1">
      <c r="A153" s="555"/>
    </row>
    <row r="154" spans="1:1">
      <c r="A154" s="555"/>
    </row>
    <row r="155" spans="1:1">
      <c r="A155" s="555"/>
    </row>
    <row r="156" spans="1:1">
      <c r="A156" s="555"/>
    </row>
    <row r="157" spans="1:1">
      <c r="A157" s="555"/>
    </row>
    <row r="158" spans="1:1">
      <c r="A158" s="555"/>
    </row>
    <row r="159" spans="1:1">
      <c r="A159" s="555"/>
    </row>
    <row r="160" spans="1:1">
      <c r="A160" s="555"/>
    </row>
    <row r="161" spans="1:1">
      <c r="A161" s="555"/>
    </row>
    <row r="162" spans="1:1">
      <c r="A162" s="555"/>
    </row>
    <row r="163" spans="1:1">
      <c r="A163" s="555"/>
    </row>
    <row r="164" spans="1:1">
      <c r="A164" s="555"/>
    </row>
    <row r="165" spans="1:1">
      <c r="A165" s="555"/>
    </row>
    <row r="166" spans="1:1">
      <c r="A166" s="555"/>
    </row>
    <row r="167" spans="1:1">
      <c r="A167" s="555"/>
    </row>
    <row r="168" spans="1:1">
      <c r="A168" s="555"/>
    </row>
    <row r="169" spans="1:1">
      <c r="A169" s="555"/>
    </row>
    <row r="170" spans="1:1">
      <c r="A170" s="555"/>
    </row>
    <row r="171" spans="1:1">
      <c r="A171" s="555"/>
    </row>
    <row r="172" spans="1:1">
      <c r="A172" s="555"/>
    </row>
    <row r="173" spans="1:1">
      <c r="A173" s="555"/>
    </row>
    <row r="174" spans="1:1">
      <c r="A174" s="555"/>
    </row>
    <row r="175" spans="1:1">
      <c r="A175" s="555"/>
    </row>
    <row r="176" spans="1:1">
      <c r="A176" s="555"/>
    </row>
    <row r="177" spans="1:1">
      <c r="A177" s="555"/>
    </row>
    <row r="178" spans="1:1">
      <c r="A178" s="555"/>
    </row>
    <row r="179" spans="1:1">
      <c r="A179" s="555"/>
    </row>
    <row r="180" spans="1:1">
      <c r="A180" s="555"/>
    </row>
    <row r="181" spans="1:1">
      <c r="A181" s="555"/>
    </row>
    <row r="182" spans="1:1">
      <c r="A182" s="555"/>
    </row>
    <row r="183" spans="1:1">
      <c r="A183" s="555"/>
    </row>
    <row r="184" spans="1:1">
      <c r="A184" s="555"/>
    </row>
    <row r="185" spans="1:1">
      <c r="A185" s="555"/>
    </row>
    <row r="186" spans="1:1">
      <c r="A186" s="555"/>
    </row>
    <row r="187" spans="1:1">
      <c r="A187" s="555"/>
    </row>
    <row r="188" spans="1:1">
      <c r="A188" s="555"/>
    </row>
    <row r="189" spans="1:1">
      <c r="A189" s="555"/>
    </row>
    <row r="190" spans="1:1">
      <c r="A190" s="555"/>
    </row>
    <row r="191" spans="1:1">
      <c r="A191" s="555"/>
    </row>
    <row r="192" spans="1:1">
      <c r="A192" s="555"/>
    </row>
    <row r="193" spans="1:1">
      <c r="A193" s="555"/>
    </row>
    <row r="194" spans="1:1">
      <c r="A194" s="555"/>
    </row>
    <row r="195" spans="1:1">
      <c r="A195" s="555"/>
    </row>
    <row r="196" spans="1:1">
      <c r="A196" s="555"/>
    </row>
    <row r="197" spans="1:1">
      <c r="A197" s="555"/>
    </row>
    <row r="198" spans="1:1">
      <c r="A198" s="555"/>
    </row>
    <row r="199" spans="1:1">
      <c r="A199" s="555"/>
    </row>
    <row r="200" spans="1:1">
      <c r="A200" s="555"/>
    </row>
    <row r="201" spans="1:1">
      <c r="A201" s="555"/>
    </row>
    <row r="202" spans="1:1">
      <c r="A202" s="555"/>
    </row>
    <row r="203" spans="1:1">
      <c r="A203" s="555"/>
    </row>
    <row r="204" spans="1:1">
      <c r="A204" s="555"/>
    </row>
    <row r="205" spans="1:1">
      <c r="A205" s="555"/>
    </row>
    <row r="206" spans="1:1">
      <c r="A206" s="555"/>
    </row>
    <row r="207" spans="1:1">
      <c r="A207" s="555"/>
    </row>
    <row r="208" spans="1:1">
      <c r="A208" s="555"/>
    </row>
    <row r="209" spans="1:1">
      <c r="A209" s="555"/>
    </row>
    <row r="210" spans="1:1">
      <c r="A210" s="555"/>
    </row>
    <row r="211" spans="1:1">
      <c r="A211" s="555"/>
    </row>
    <row r="212" spans="1:1">
      <c r="A212" s="555"/>
    </row>
    <row r="213" spans="1:1">
      <c r="A213" s="555"/>
    </row>
    <row r="214" spans="1:1">
      <c r="A214" s="555"/>
    </row>
    <row r="215" spans="1:1">
      <c r="A215" s="555"/>
    </row>
    <row r="216" spans="1:1">
      <c r="A216" s="555"/>
    </row>
    <row r="217" spans="1:1">
      <c r="A217" s="555"/>
    </row>
    <row r="218" spans="1:1">
      <c r="A218" s="555"/>
    </row>
    <row r="219" spans="1:1">
      <c r="A219" s="555"/>
    </row>
    <row r="220" spans="1:1">
      <c r="A220" s="555"/>
    </row>
    <row r="221" spans="1:1">
      <c r="A221" s="555"/>
    </row>
    <row r="222" spans="1:1">
      <c r="A222" s="555"/>
    </row>
    <row r="223" spans="1:1">
      <c r="A223" s="555"/>
    </row>
    <row r="224" spans="1:1">
      <c r="A224" s="555"/>
    </row>
    <row r="225" spans="1:1">
      <c r="A225" s="555"/>
    </row>
    <row r="226" spans="1:1">
      <c r="A226" s="555"/>
    </row>
    <row r="227" spans="1:1">
      <c r="A227" s="555"/>
    </row>
    <row r="228" spans="1:1">
      <c r="A228" s="555"/>
    </row>
    <row r="229" spans="1:1">
      <c r="A229" s="555"/>
    </row>
    <row r="230" spans="1:1">
      <c r="A230" s="555"/>
    </row>
    <row r="231" spans="1:1">
      <c r="A231" s="555"/>
    </row>
    <row r="232" spans="1:1">
      <c r="A232" s="555"/>
    </row>
    <row r="233" spans="1:1">
      <c r="A233" s="555"/>
    </row>
    <row r="234" spans="1:1">
      <c r="A234" s="555"/>
    </row>
    <row r="235" spans="1:1">
      <c r="A235" s="555"/>
    </row>
    <row r="236" spans="1:1">
      <c r="A236" s="555"/>
    </row>
    <row r="237" spans="1:1">
      <c r="A237" s="555"/>
    </row>
    <row r="238" spans="1:1">
      <c r="A238" s="555"/>
    </row>
    <row r="239" spans="1:1">
      <c r="A239" s="555"/>
    </row>
    <row r="240" spans="1:1">
      <c r="A240" s="555"/>
    </row>
    <row r="241" spans="1:1">
      <c r="A241" s="555"/>
    </row>
    <row r="242" spans="1:1">
      <c r="A242" s="555"/>
    </row>
    <row r="243" spans="1:1">
      <c r="A243" s="555"/>
    </row>
    <row r="244" spans="1:1">
      <c r="A244" s="555"/>
    </row>
    <row r="245" spans="1:1">
      <c r="A245" s="555"/>
    </row>
    <row r="246" spans="1:1">
      <c r="A246" s="555"/>
    </row>
    <row r="247" spans="1:1">
      <c r="A247" s="555"/>
    </row>
    <row r="248" spans="1:1">
      <c r="A248" s="555"/>
    </row>
    <row r="249" spans="1:1">
      <c r="A249" s="555"/>
    </row>
    <row r="250" spans="1:1">
      <c r="A250" s="555"/>
    </row>
    <row r="251" spans="1:1">
      <c r="A251" s="555"/>
    </row>
    <row r="252" spans="1:1">
      <c r="A252" s="555"/>
    </row>
    <row r="253" spans="1:1">
      <c r="A253" s="555"/>
    </row>
    <row r="254" spans="1:1">
      <c r="A254" s="555"/>
    </row>
    <row r="255" spans="1:1">
      <c r="A255" s="555"/>
    </row>
    <row r="256" spans="1:1">
      <c r="A256" s="555"/>
    </row>
    <row r="257" spans="1:1">
      <c r="A257" s="555"/>
    </row>
    <row r="258" spans="1:1">
      <c r="A258" s="555"/>
    </row>
    <row r="259" spans="1:1">
      <c r="A259" s="555"/>
    </row>
    <row r="260" spans="1:1">
      <c r="A260" s="555"/>
    </row>
    <row r="261" spans="1:1">
      <c r="A261" s="555"/>
    </row>
    <row r="262" spans="1:1">
      <c r="A262" s="555"/>
    </row>
    <row r="263" spans="1:1">
      <c r="A263" s="555"/>
    </row>
    <row r="264" spans="1:1">
      <c r="A264" s="555"/>
    </row>
    <row r="265" spans="1:1">
      <c r="A265" s="555"/>
    </row>
    <row r="266" spans="1:1">
      <c r="A266" s="555"/>
    </row>
    <row r="267" spans="1:1">
      <c r="A267" s="555"/>
    </row>
    <row r="268" spans="1:1">
      <c r="A268" s="555"/>
    </row>
    <row r="269" spans="1:1">
      <c r="A269" s="555"/>
    </row>
    <row r="270" spans="1:1">
      <c r="A270" s="555"/>
    </row>
    <row r="271" spans="1:1">
      <c r="A271" s="555"/>
    </row>
    <row r="272" spans="1:1">
      <c r="A272" s="555"/>
    </row>
    <row r="273" spans="1:1">
      <c r="A273" s="555"/>
    </row>
    <row r="274" spans="1:1">
      <c r="A274" s="555"/>
    </row>
    <row r="275" spans="1:1">
      <c r="A275" s="555"/>
    </row>
    <row r="276" spans="1:1">
      <c r="A276" s="555"/>
    </row>
    <row r="277" spans="1:1">
      <c r="A277" s="555"/>
    </row>
    <row r="278" spans="1:1">
      <c r="A278" s="555"/>
    </row>
    <row r="279" spans="1:1">
      <c r="A279" s="555"/>
    </row>
    <row r="280" spans="1:1">
      <c r="A280" s="555"/>
    </row>
    <row r="281" spans="1:1">
      <c r="A281" s="555"/>
    </row>
    <row r="282" spans="1:1">
      <c r="A282" s="555"/>
    </row>
    <row r="283" spans="1:1">
      <c r="A283" s="555"/>
    </row>
    <row r="284" spans="1:1">
      <c r="A284" s="555"/>
    </row>
    <row r="285" spans="1:1">
      <c r="A285" s="555"/>
    </row>
    <row r="286" spans="1:1">
      <c r="A286" s="555"/>
    </row>
    <row r="287" spans="1:1">
      <c r="A287" s="555"/>
    </row>
    <row r="288" spans="1:1">
      <c r="A288" s="555"/>
    </row>
    <row r="289" spans="1:1">
      <c r="A289" s="555"/>
    </row>
    <row r="290" spans="1:1">
      <c r="A290" s="555"/>
    </row>
    <row r="291" spans="1:1">
      <c r="A291" s="555"/>
    </row>
    <row r="292" spans="1:1">
      <c r="A292" s="555"/>
    </row>
    <row r="293" spans="1:1">
      <c r="A293" s="555"/>
    </row>
    <row r="294" spans="1:1">
      <c r="A294" s="555"/>
    </row>
    <row r="295" spans="1:1">
      <c r="A295" s="555"/>
    </row>
    <row r="296" spans="1:1">
      <c r="A296" s="555"/>
    </row>
    <row r="297" spans="1:1">
      <c r="A297" s="555"/>
    </row>
    <row r="298" spans="1:1">
      <c r="A298" s="555"/>
    </row>
    <row r="299" spans="1:1">
      <c r="A299" s="555"/>
    </row>
    <row r="300" spans="1:1">
      <c r="A300" s="555"/>
    </row>
    <row r="301" spans="1:1">
      <c r="A301" s="555"/>
    </row>
    <row r="302" spans="1:1">
      <c r="A302" s="555"/>
    </row>
    <row r="303" spans="1:1">
      <c r="A303" s="555"/>
    </row>
    <row r="304" spans="1:1">
      <c r="A304" s="555"/>
    </row>
    <row r="305" spans="1:1">
      <c r="A305" s="555"/>
    </row>
    <row r="306" spans="1:1">
      <c r="A306" s="555"/>
    </row>
    <row r="307" spans="1:1">
      <c r="A307" s="555"/>
    </row>
    <row r="308" spans="1:1">
      <c r="A308" s="555"/>
    </row>
    <row r="309" spans="1:1">
      <c r="A309" s="555"/>
    </row>
    <row r="310" spans="1:1">
      <c r="A310" s="555"/>
    </row>
    <row r="311" spans="1:1">
      <c r="A311" s="555"/>
    </row>
    <row r="312" spans="1:1">
      <c r="A312" s="555"/>
    </row>
    <row r="313" spans="1:1">
      <c r="A313" s="555"/>
    </row>
    <row r="314" spans="1:1">
      <c r="A314" s="555"/>
    </row>
    <row r="315" spans="1:1">
      <c r="A315" s="555"/>
    </row>
    <row r="316" spans="1:1">
      <c r="A316" s="555"/>
    </row>
    <row r="317" spans="1:1">
      <c r="A317" s="555"/>
    </row>
    <row r="318" spans="1:1">
      <c r="A318" s="555"/>
    </row>
    <row r="319" spans="1:1">
      <c r="A319" s="555"/>
    </row>
    <row r="320" spans="1:1">
      <c r="A320" s="555"/>
    </row>
    <row r="321" spans="1:1">
      <c r="A321" s="555"/>
    </row>
    <row r="322" spans="1:1">
      <c r="A322" s="555"/>
    </row>
    <row r="323" spans="1:1">
      <c r="A323" s="555"/>
    </row>
    <row r="324" spans="1:1">
      <c r="A324" s="555"/>
    </row>
    <row r="325" spans="1:1">
      <c r="A325" s="555"/>
    </row>
    <row r="326" spans="1:1">
      <c r="A326" s="555"/>
    </row>
    <row r="327" spans="1:1">
      <c r="A327" s="555"/>
    </row>
    <row r="328" spans="1:1">
      <c r="A328" s="555"/>
    </row>
    <row r="329" spans="1:1">
      <c r="A329" s="555"/>
    </row>
    <row r="330" spans="1:1">
      <c r="A330" s="555"/>
    </row>
    <row r="331" spans="1:1">
      <c r="A331" s="555"/>
    </row>
    <row r="332" spans="1:1">
      <c r="A332" s="555"/>
    </row>
    <row r="333" spans="1:1">
      <c r="A333" s="555"/>
    </row>
    <row r="334" spans="1:1">
      <c r="A334" s="555"/>
    </row>
    <row r="335" spans="1:1">
      <c r="A335" s="555"/>
    </row>
    <row r="336" spans="1:1">
      <c r="A336" s="555"/>
    </row>
    <row r="337" spans="1:1">
      <c r="A337" s="555"/>
    </row>
    <row r="338" spans="1:1">
      <c r="A338" s="555"/>
    </row>
    <row r="339" spans="1:1">
      <c r="A339" s="555"/>
    </row>
    <row r="340" spans="1:1">
      <c r="A340" s="555"/>
    </row>
    <row r="341" spans="1:1">
      <c r="A341" s="555"/>
    </row>
    <row r="342" spans="1:1">
      <c r="A342" s="555"/>
    </row>
    <row r="343" spans="1:1">
      <c r="A343" s="555"/>
    </row>
    <row r="344" spans="1:1">
      <c r="A344" s="555"/>
    </row>
    <row r="345" spans="1:1">
      <c r="A345" s="555"/>
    </row>
    <row r="346" spans="1:1">
      <c r="A346" s="555"/>
    </row>
    <row r="347" spans="1:1">
      <c r="A347" s="555"/>
    </row>
    <row r="348" spans="1:1">
      <c r="A348" s="555"/>
    </row>
    <row r="349" spans="1:1">
      <c r="A349" s="555"/>
    </row>
    <row r="350" spans="1:1">
      <c r="A350" s="555"/>
    </row>
    <row r="351" spans="1:1">
      <c r="A351" s="555"/>
    </row>
    <row r="352" spans="1:1">
      <c r="A352" s="555"/>
    </row>
    <row r="353" spans="1:1">
      <c r="A353" s="555"/>
    </row>
    <row r="354" spans="1:1">
      <c r="A354" s="555"/>
    </row>
    <row r="355" spans="1:1">
      <c r="A355" s="555"/>
    </row>
    <row r="356" spans="1:1">
      <c r="A356" s="555"/>
    </row>
    <row r="357" spans="1:1">
      <c r="A357" s="555"/>
    </row>
    <row r="358" spans="1:1">
      <c r="A358" s="555"/>
    </row>
    <row r="359" spans="1:1">
      <c r="A359" s="555"/>
    </row>
    <row r="360" spans="1:1">
      <c r="A360" s="555"/>
    </row>
    <row r="361" spans="1:1">
      <c r="A361" s="555"/>
    </row>
    <row r="362" spans="1:1">
      <c r="A362" s="555"/>
    </row>
    <row r="363" spans="1:1">
      <c r="A363" s="555"/>
    </row>
    <row r="364" spans="1:1">
      <c r="A364" s="555"/>
    </row>
    <row r="365" spans="1:1">
      <c r="A365" s="555"/>
    </row>
    <row r="366" spans="1:1">
      <c r="A366" s="555"/>
    </row>
    <row r="367" spans="1:1">
      <c r="A367" s="555"/>
    </row>
    <row r="368" spans="1:1">
      <c r="A368" s="555"/>
    </row>
    <row r="369" spans="1:1">
      <c r="A369" s="555"/>
    </row>
    <row r="370" spans="1:1">
      <c r="A370" s="555"/>
    </row>
    <row r="371" spans="1:1">
      <c r="A371" s="555"/>
    </row>
    <row r="372" spans="1:1">
      <c r="A372" s="555"/>
    </row>
    <row r="373" spans="1:1">
      <c r="A373" s="555"/>
    </row>
    <row r="374" spans="1:1">
      <c r="A374" s="555"/>
    </row>
    <row r="375" spans="1:1">
      <c r="A375" s="555"/>
    </row>
    <row r="376" spans="1:1">
      <c r="A376" s="555"/>
    </row>
    <row r="377" spans="1:1">
      <c r="A377" s="555"/>
    </row>
    <row r="378" spans="1:1">
      <c r="A378" s="555"/>
    </row>
    <row r="379" spans="1:1">
      <c r="A379" s="555"/>
    </row>
    <row r="380" spans="1:1">
      <c r="A380" s="555"/>
    </row>
    <row r="381" spans="1:1">
      <c r="A381" s="555"/>
    </row>
    <row r="382" spans="1:1">
      <c r="A382" s="555"/>
    </row>
    <row r="383" spans="1:1">
      <c r="A383" s="555"/>
    </row>
    <row r="384" spans="1:1">
      <c r="A384" s="555"/>
    </row>
    <row r="385" spans="1:1">
      <c r="A385" s="555"/>
    </row>
    <row r="386" spans="1:1">
      <c r="A386" s="555"/>
    </row>
    <row r="387" spans="1:1">
      <c r="A387" s="555"/>
    </row>
    <row r="388" spans="1:1">
      <c r="A388" s="555"/>
    </row>
    <row r="389" spans="1:1">
      <c r="A389" s="555"/>
    </row>
    <row r="390" spans="1:1">
      <c r="A390" s="555"/>
    </row>
    <row r="391" spans="1:1">
      <c r="A391" s="555"/>
    </row>
    <row r="392" spans="1:1">
      <c r="A392" s="555"/>
    </row>
    <row r="393" spans="1:1">
      <c r="A393" s="555"/>
    </row>
    <row r="394" spans="1:1">
      <c r="A394" s="555"/>
    </row>
    <row r="395" spans="1:1">
      <c r="A395" s="555"/>
    </row>
    <row r="396" spans="1:1">
      <c r="A396" s="555"/>
    </row>
    <row r="397" spans="1:1">
      <c r="A397" s="555"/>
    </row>
    <row r="398" spans="1:1">
      <c r="A398" s="555"/>
    </row>
    <row r="399" spans="1:1">
      <c r="A399" s="555"/>
    </row>
    <row r="400" spans="1:1">
      <c r="A400" s="555"/>
    </row>
    <row r="401" spans="1:1">
      <c r="A401" s="555"/>
    </row>
    <row r="402" spans="1:1">
      <c r="A402" s="555"/>
    </row>
    <row r="403" spans="1:1">
      <c r="A403" s="555"/>
    </row>
    <row r="404" spans="1:1">
      <c r="A404" s="555"/>
    </row>
    <row r="405" spans="1:1">
      <c r="A405" s="555"/>
    </row>
    <row r="406" spans="1:1">
      <c r="A406" s="555"/>
    </row>
    <row r="407" spans="1:1">
      <c r="A407" s="555"/>
    </row>
    <row r="408" spans="1:1">
      <c r="A408" s="555"/>
    </row>
    <row r="409" spans="1:1">
      <c r="A409" s="555"/>
    </row>
    <row r="410" spans="1:1">
      <c r="A410" s="555"/>
    </row>
    <row r="411" spans="1:1">
      <c r="A411" s="555"/>
    </row>
    <row r="412" spans="1:1">
      <c r="A412" s="555"/>
    </row>
    <row r="413" spans="1:1">
      <c r="A413" s="555"/>
    </row>
    <row r="414" spans="1:1">
      <c r="A414" s="555"/>
    </row>
    <row r="415" spans="1:1">
      <c r="A415" s="555"/>
    </row>
    <row r="416" spans="1:1">
      <c r="A416" s="555"/>
    </row>
    <row r="417" spans="1:1">
      <c r="A417" s="555"/>
    </row>
    <row r="418" spans="1:1">
      <c r="A418" s="555"/>
    </row>
    <row r="419" spans="1:1">
      <c r="A419" s="555"/>
    </row>
    <row r="420" spans="1:1">
      <c r="A420" s="555"/>
    </row>
    <row r="421" spans="1:1">
      <c r="A421" s="555"/>
    </row>
    <row r="422" spans="1:1">
      <c r="A422" s="555"/>
    </row>
    <row r="423" spans="1:1">
      <c r="A423" s="555"/>
    </row>
    <row r="424" spans="1:1">
      <c r="A424" s="555"/>
    </row>
    <row r="425" spans="1:1">
      <c r="A425" s="555"/>
    </row>
    <row r="426" spans="1:1">
      <c r="A426" s="555"/>
    </row>
    <row r="427" spans="1:1">
      <c r="A427" s="555"/>
    </row>
    <row r="428" spans="1:1">
      <c r="A428" s="555"/>
    </row>
    <row r="429" spans="1:1">
      <c r="A429" s="555"/>
    </row>
    <row r="430" spans="1:1">
      <c r="A430" s="555"/>
    </row>
    <row r="431" spans="1:1">
      <c r="A431" s="555"/>
    </row>
    <row r="432" spans="1:1">
      <c r="A432" s="555"/>
    </row>
    <row r="433" spans="1:1">
      <c r="A433" s="555"/>
    </row>
    <row r="434" spans="1:1">
      <c r="A434" s="555"/>
    </row>
    <row r="435" spans="1:1">
      <c r="A435" s="555"/>
    </row>
    <row r="436" spans="1:1">
      <c r="A436" s="555"/>
    </row>
    <row r="437" spans="1:1">
      <c r="A437" s="555"/>
    </row>
    <row r="438" spans="1:1">
      <c r="A438" s="555"/>
    </row>
    <row r="439" spans="1:1">
      <c r="A439" s="555"/>
    </row>
    <row r="440" spans="1:1">
      <c r="A440" s="555"/>
    </row>
    <row r="441" spans="1:1">
      <c r="A441" s="555"/>
    </row>
    <row r="442" spans="1:1">
      <c r="A442" s="555"/>
    </row>
    <row r="443" spans="1:1">
      <c r="A443" s="555"/>
    </row>
    <row r="444" spans="1:1">
      <c r="A444" s="555"/>
    </row>
    <row r="445" spans="1:1">
      <c r="A445" s="555"/>
    </row>
    <row r="446" spans="1:1">
      <c r="A446" s="555"/>
    </row>
    <row r="447" spans="1:1">
      <c r="A447" s="555"/>
    </row>
    <row r="448" spans="1:1">
      <c r="A448" s="555"/>
    </row>
    <row r="449" spans="1:1">
      <c r="A449" s="555"/>
    </row>
    <row r="450" spans="1:1">
      <c r="A450" s="555"/>
    </row>
    <row r="451" spans="1:1">
      <c r="A451" s="555"/>
    </row>
    <row r="452" spans="1:1">
      <c r="A452" s="555"/>
    </row>
    <row r="453" spans="1:1">
      <c r="A453" s="555"/>
    </row>
    <row r="454" spans="1:1">
      <c r="A454" s="555"/>
    </row>
    <row r="455" spans="1:1">
      <c r="A455" s="555"/>
    </row>
    <row r="456" spans="1:1">
      <c r="A456" s="555"/>
    </row>
    <row r="457" spans="1:1">
      <c r="A457" s="555"/>
    </row>
    <row r="458" spans="1:1">
      <c r="A458" s="555"/>
    </row>
    <row r="459" spans="1:1">
      <c r="A459" s="555"/>
    </row>
    <row r="460" spans="1:1">
      <c r="A460" s="555"/>
    </row>
    <row r="461" spans="1:1">
      <c r="A461" s="555"/>
    </row>
    <row r="462" spans="1:1">
      <c r="A462" s="555"/>
    </row>
    <row r="463" spans="1:1">
      <c r="A463" s="555"/>
    </row>
    <row r="464" spans="1:1">
      <c r="A464" s="555"/>
    </row>
    <row r="465" spans="1:1">
      <c r="A465" s="555"/>
    </row>
    <row r="466" spans="1:1">
      <c r="A466" s="555"/>
    </row>
    <row r="467" spans="1:1">
      <c r="A467" s="555"/>
    </row>
    <row r="468" spans="1:1">
      <c r="A468" s="555"/>
    </row>
    <row r="469" spans="1:1">
      <c r="A469" s="555"/>
    </row>
    <row r="470" spans="1:1">
      <c r="A470" s="555"/>
    </row>
    <row r="471" spans="1:1">
      <c r="A471" s="555"/>
    </row>
    <row r="472" spans="1:1">
      <c r="A472" s="555"/>
    </row>
    <row r="473" spans="1:1">
      <c r="A473" s="555"/>
    </row>
    <row r="474" spans="1:1">
      <c r="A474" s="555"/>
    </row>
    <row r="475" spans="1:1">
      <c r="A475" s="555"/>
    </row>
    <row r="476" spans="1:1">
      <c r="A476" s="555"/>
    </row>
    <row r="477" spans="1:1">
      <c r="A477" s="555"/>
    </row>
    <row r="478" spans="1:1">
      <c r="A478" s="555"/>
    </row>
    <row r="479" spans="1:1">
      <c r="A479" s="555"/>
    </row>
    <row r="480" spans="1:1">
      <c r="A480" s="555"/>
    </row>
    <row r="481" spans="1:1">
      <c r="A481" s="555"/>
    </row>
    <row r="482" spans="1:1">
      <c r="A482" s="555"/>
    </row>
    <row r="483" spans="1:1">
      <c r="A483" s="555"/>
    </row>
    <row r="484" spans="1:1">
      <c r="A484" s="555"/>
    </row>
    <row r="485" spans="1:1">
      <c r="A485" s="555"/>
    </row>
    <row r="486" spans="1:1">
      <c r="A486" s="555"/>
    </row>
    <row r="487" spans="1:1">
      <c r="A487" s="555"/>
    </row>
    <row r="488" spans="1:1">
      <c r="A488" s="555"/>
    </row>
    <row r="489" spans="1:1">
      <c r="A489" s="555"/>
    </row>
    <row r="490" spans="1:1">
      <c r="A490" s="555"/>
    </row>
    <row r="491" spans="1:1">
      <c r="A491" s="555"/>
    </row>
    <row r="492" spans="1:1">
      <c r="A492" s="555"/>
    </row>
    <row r="493" spans="1:1">
      <c r="A493" s="555"/>
    </row>
    <row r="494" spans="1:1">
      <c r="A494" s="555"/>
    </row>
    <row r="495" spans="1:1">
      <c r="A495" s="555"/>
    </row>
    <row r="496" spans="1:1">
      <c r="A496" s="555"/>
    </row>
    <row r="497" spans="1:1">
      <c r="A497" s="555"/>
    </row>
    <row r="498" spans="1:1">
      <c r="A498" s="555"/>
    </row>
    <row r="499" spans="1:1">
      <c r="A499" s="555"/>
    </row>
    <row r="500" spans="1:1">
      <c r="A500" s="555"/>
    </row>
    <row r="501" spans="1:1">
      <c r="A501" s="555"/>
    </row>
    <row r="502" spans="1:1">
      <c r="A502" s="555"/>
    </row>
    <row r="503" spans="1:1">
      <c r="A503" s="555"/>
    </row>
    <row r="504" spans="1:1">
      <c r="A504" s="555"/>
    </row>
    <row r="505" spans="1:1">
      <c r="A505" s="555"/>
    </row>
    <row r="506" spans="1:1">
      <c r="A506" s="555"/>
    </row>
    <row r="507" spans="1:1">
      <c r="A507" s="555"/>
    </row>
    <row r="508" spans="1:1">
      <c r="A508" s="555"/>
    </row>
    <row r="509" spans="1:1">
      <c r="A509" s="555"/>
    </row>
    <row r="510" spans="1:1">
      <c r="A510" s="555"/>
    </row>
    <row r="511" spans="1:1">
      <c r="A511" s="555"/>
    </row>
    <row r="512" spans="1:1">
      <c r="A512" s="555"/>
    </row>
    <row r="513" spans="1:1">
      <c r="A513" s="555"/>
    </row>
    <row r="514" spans="1:1">
      <c r="A514" s="555"/>
    </row>
    <row r="515" spans="1:1">
      <c r="A515" s="555"/>
    </row>
    <row r="516" spans="1:1">
      <c r="A516" s="555"/>
    </row>
    <row r="517" spans="1:1">
      <c r="A517" s="555"/>
    </row>
    <row r="518" spans="1:1">
      <c r="A518" s="555"/>
    </row>
    <row r="519" spans="1:1">
      <c r="A519" s="555"/>
    </row>
    <row r="520" spans="1:1">
      <c r="A520" s="555"/>
    </row>
    <row r="521" spans="1:1">
      <c r="A521" s="555"/>
    </row>
    <row r="522" spans="1:1">
      <c r="A522" s="555"/>
    </row>
    <row r="523" spans="1:1">
      <c r="A523" s="555"/>
    </row>
    <row r="524" spans="1:1">
      <c r="A524" s="555"/>
    </row>
    <row r="525" spans="1:1">
      <c r="A525" s="555"/>
    </row>
    <row r="526" spans="1:1">
      <c r="A526" s="555"/>
    </row>
    <row r="527" spans="1:1">
      <c r="A527" s="555"/>
    </row>
    <row r="528" spans="1:1">
      <c r="A528" s="555"/>
    </row>
    <row r="529" spans="1:1">
      <c r="A529" s="555"/>
    </row>
    <row r="530" spans="1:1">
      <c r="A530" s="555"/>
    </row>
    <row r="531" spans="1:1">
      <c r="A531" s="555"/>
    </row>
    <row r="532" spans="1:1">
      <c r="A532" s="555"/>
    </row>
    <row r="533" spans="1:1">
      <c r="A533" s="555"/>
    </row>
    <row r="534" spans="1:1">
      <c r="A534" s="555"/>
    </row>
    <row r="535" spans="1:1">
      <c r="A535" s="555"/>
    </row>
    <row r="536" spans="1:1">
      <c r="A536" s="555"/>
    </row>
    <row r="537" spans="1:1">
      <c r="A537" s="555"/>
    </row>
    <row r="538" spans="1:1">
      <c r="A538" s="555"/>
    </row>
    <row r="539" spans="1:1">
      <c r="A539" s="555"/>
    </row>
    <row r="540" spans="1:1">
      <c r="A540" s="555"/>
    </row>
    <row r="541" spans="1:1">
      <c r="A541" s="555"/>
    </row>
    <row r="542" spans="1:1">
      <c r="A542" s="555"/>
    </row>
    <row r="543" spans="1:1">
      <c r="A543" s="555"/>
    </row>
    <row r="544" spans="1:1">
      <c r="A544" s="555"/>
    </row>
    <row r="545" spans="1:1">
      <c r="A545" s="555"/>
    </row>
    <row r="546" spans="1:1">
      <c r="A546" s="555"/>
    </row>
    <row r="547" spans="1:1">
      <c r="A547" s="555"/>
    </row>
    <row r="548" spans="1:1">
      <c r="A548" s="555"/>
    </row>
    <row r="549" spans="1:1">
      <c r="A549" s="555"/>
    </row>
    <row r="550" spans="1:1">
      <c r="A550" s="555"/>
    </row>
    <row r="551" spans="1:1">
      <c r="A551" s="555"/>
    </row>
    <row r="552" spans="1:1">
      <c r="A552" s="555"/>
    </row>
    <row r="553" spans="1:1">
      <c r="A553" s="555"/>
    </row>
    <row r="554" spans="1:1">
      <c r="A554" s="555"/>
    </row>
    <row r="555" spans="1:1">
      <c r="A555" s="555"/>
    </row>
    <row r="556" spans="1:1">
      <c r="A556" s="555"/>
    </row>
    <row r="557" spans="1:1">
      <c r="A557" s="555"/>
    </row>
    <row r="558" spans="1:1">
      <c r="A558" s="555"/>
    </row>
    <row r="559" spans="1:1">
      <c r="A559" s="555"/>
    </row>
    <row r="560" spans="1:1">
      <c r="A560" s="555"/>
    </row>
    <row r="561" spans="1:1">
      <c r="A561" s="555"/>
    </row>
    <row r="562" spans="1:1">
      <c r="A562" s="555"/>
    </row>
    <row r="563" spans="1:1">
      <c r="A563" s="555"/>
    </row>
    <row r="564" spans="1:1">
      <c r="A564" s="555"/>
    </row>
    <row r="565" spans="1:1">
      <c r="A565" s="555"/>
    </row>
    <row r="566" spans="1:1">
      <c r="A566" s="555"/>
    </row>
    <row r="567" spans="1:1">
      <c r="A567" s="555"/>
    </row>
    <row r="568" spans="1:1">
      <c r="A568" s="555"/>
    </row>
    <row r="569" spans="1:1">
      <c r="A569" s="555"/>
    </row>
    <row r="570" spans="1:1">
      <c r="A570" s="555"/>
    </row>
    <row r="571" spans="1:1">
      <c r="A571" s="555"/>
    </row>
    <row r="572" spans="1:1">
      <c r="A572" s="555"/>
    </row>
    <row r="573" spans="1:1">
      <c r="A573" s="555"/>
    </row>
    <row r="574" spans="1:1">
      <c r="A574" s="555"/>
    </row>
    <row r="575" spans="1:1">
      <c r="A575" s="555"/>
    </row>
    <row r="576" spans="1:1">
      <c r="A576" s="555"/>
    </row>
    <row r="577" spans="1:1">
      <c r="A577" s="555"/>
    </row>
    <row r="578" spans="1:1">
      <c r="A578" s="555"/>
    </row>
    <row r="579" spans="1:1">
      <c r="A579" s="555"/>
    </row>
    <row r="580" spans="1:1">
      <c r="A580" s="555"/>
    </row>
    <row r="581" spans="1:1">
      <c r="A581" s="555"/>
    </row>
    <row r="582" spans="1:1">
      <c r="A582" s="555"/>
    </row>
    <row r="583" spans="1:1">
      <c r="A583" s="555"/>
    </row>
    <row r="584" spans="1:1">
      <c r="A584" s="555"/>
    </row>
    <row r="585" spans="1:1">
      <c r="A585" s="555"/>
    </row>
    <row r="586" spans="1:1">
      <c r="A586" s="555"/>
    </row>
    <row r="587" spans="1:1">
      <c r="A587" s="555"/>
    </row>
    <row r="588" spans="1:1">
      <c r="A588" s="555"/>
    </row>
    <row r="589" spans="1:1">
      <c r="A589" s="555"/>
    </row>
    <row r="590" spans="1:1">
      <c r="A590" s="555"/>
    </row>
    <row r="591" spans="1:1">
      <c r="A591" s="555"/>
    </row>
    <row r="592" spans="1:1">
      <c r="A592" s="555"/>
    </row>
    <row r="593" spans="1:1">
      <c r="A593" s="555"/>
    </row>
    <row r="594" spans="1:1">
      <c r="A594" s="555"/>
    </row>
    <row r="595" spans="1:1">
      <c r="A595" s="555"/>
    </row>
    <row r="596" spans="1:1">
      <c r="A596" s="555"/>
    </row>
    <row r="597" spans="1:1">
      <c r="A597" s="555"/>
    </row>
    <row r="598" spans="1:1">
      <c r="A598" s="555"/>
    </row>
    <row r="599" spans="1:1">
      <c r="A599" s="555"/>
    </row>
    <row r="600" spans="1:1">
      <c r="A600" s="555"/>
    </row>
    <row r="601" spans="1:1">
      <c r="A601" s="555"/>
    </row>
    <row r="602" spans="1:1">
      <c r="A602" s="555"/>
    </row>
    <row r="603" spans="1:1">
      <c r="A603" s="555"/>
    </row>
    <row r="604" spans="1:1">
      <c r="A604" s="555"/>
    </row>
    <row r="605" spans="1:1">
      <c r="A605" s="555"/>
    </row>
    <row r="606" spans="1:1">
      <c r="A606" s="555"/>
    </row>
    <row r="607" spans="1:1">
      <c r="A607" s="555"/>
    </row>
    <row r="608" spans="1:1">
      <c r="A608" s="555"/>
    </row>
    <row r="609" spans="1:1">
      <c r="A609" s="555"/>
    </row>
    <row r="610" spans="1:1">
      <c r="A610" s="555"/>
    </row>
    <row r="611" spans="1:1">
      <c r="A611" s="555"/>
    </row>
    <row r="612" spans="1:1">
      <c r="A612" s="555"/>
    </row>
    <row r="613" spans="1:1">
      <c r="A613" s="555"/>
    </row>
    <row r="614" spans="1:1">
      <c r="A614" s="555"/>
    </row>
    <row r="615" spans="1:1">
      <c r="A615" s="555"/>
    </row>
    <row r="616" spans="1:1">
      <c r="A616" s="555"/>
    </row>
    <row r="617" spans="1:1">
      <c r="A617" s="555"/>
    </row>
    <row r="618" spans="1:1">
      <c r="A618" s="555"/>
    </row>
    <row r="619" spans="1:1">
      <c r="A619" s="555"/>
    </row>
    <row r="620" spans="1:1">
      <c r="A620" s="555"/>
    </row>
    <row r="621" spans="1:1">
      <c r="A621" s="555"/>
    </row>
    <row r="622" spans="1:1">
      <c r="A622" s="555"/>
    </row>
    <row r="623" spans="1:1">
      <c r="A623" s="555"/>
    </row>
    <row r="624" spans="1:1">
      <c r="A624" s="555"/>
    </row>
    <row r="625" spans="1:1">
      <c r="A625" s="555"/>
    </row>
    <row r="626" spans="1:1">
      <c r="A626" s="555"/>
    </row>
    <row r="627" spans="1:1">
      <c r="A627" s="555"/>
    </row>
    <row r="628" spans="1:1">
      <c r="A628" s="555"/>
    </row>
    <row r="629" spans="1:1">
      <c r="A629" s="555"/>
    </row>
    <row r="630" spans="1:1">
      <c r="A630" s="555"/>
    </row>
    <row r="631" spans="1:1">
      <c r="A631" s="555"/>
    </row>
    <row r="632" spans="1:1">
      <c r="A632" s="555"/>
    </row>
    <row r="633" spans="1:1">
      <c r="A633" s="555"/>
    </row>
    <row r="634" spans="1:1">
      <c r="A634" s="555"/>
    </row>
    <row r="635" spans="1:1">
      <c r="A635" s="555"/>
    </row>
    <row r="636" spans="1:1">
      <c r="A636" s="555"/>
    </row>
    <row r="637" spans="1:1">
      <c r="A637" s="555"/>
    </row>
    <row r="638" spans="1:1">
      <c r="A638" s="555"/>
    </row>
    <row r="639" spans="1:1">
      <c r="A639" s="555"/>
    </row>
    <row r="640" spans="1:1">
      <c r="A640" s="555"/>
    </row>
    <row r="641" spans="1:1">
      <c r="A641" s="555"/>
    </row>
    <row r="642" spans="1:1">
      <c r="A642" s="555"/>
    </row>
    <row r="643" spans="1:1">
      <c r="A643" s="555"/>
    </row>
    <row r="644" spans="1:1">
      <c r="A644" s="555"/>
    </row>
    <row r="645" spans="1:1">
      <c r="A645" s="555"/>
    </row>
    <row r="646" spans="1:1">
      <c r="A646" s="555"/>
    </row>
    <row r="647" spans="1:1">
      <c r="A647" s="555"/>
    </row>
    <row r="648" spans="1:1">
      <c r="A648" s="555"/>
    </row>
    <row r="649" spans="1:1">
      <c r="A649" s="555"/>
    </row>
    <row r="650" spans="1:1">
      <c r="A650" s="555"/>
    </row>
    <row r="651" spans="1:1">
      <c r="A651" s="555"/>
    </row>
    <row r="652" spans="1:1">
      <c r="A652" s="555"/>
    </row>
    <row r="653" spans="1:1">
      <c r="A653" s="555"/>
    </row>
    <row r="654" spans="1:1">
      <c r="A654" s="555"/>
    </row>
    <row r="655" spans="1:1">
      <c r="A655" s="555"/>
    </row>
    <row r="656" spans="1:1">
      <c r="A656" s="555"/>
    </row>
    <row r="657" spans="1:1">
      <c r="A657" s="555"/>
    </row>
    <row r="658" spans="1:1">
      <c r="A658" s="555"/>
    </row>
    <row r="659" spans="1:1">
      <c r="A659" s="555"/>
    </row>
    <row r="660" spans="1:1">
      <c r="A660" s="555"/>
    </row>
    <row r="661" spans="1:1">
      <c r="A661" s="555"/>
    </row>
    <row r="662" spans="1:1">
      <c r="A662" s="555"/>
    </row>
    <row r="663" spans="1:1">
      <c r="A663" s="555"/>
    </row>
    <row r="664" spans="1:1">
      <c r="A664" s="555"/>
    </row>
    <row r="665" spans="1:1">
      <c r="A665" s="555"/>
    </row>
    <row r="666" spans="1:1">
      <c r="A666" s="555"/>
    </row>
    <row r="667" spans="1:1">
      <c r="A667" s="555"/>
    </row>
    <row r="668" spans="1:1">
      <c r="A668" s="555"/>
    </row>
    <row r="669" spans="1:1">
      <c r="A669" s="555"/>
    </row>
    <row r="670" spans="1:1">
      <c r="A670" s="555"/>
    </row>
    <row r="671" spans="1:1">
      <c r="A671" s="555"/>
    </row>
    <row r="672" spans="1:1">
      <c r="A672" s="555"/>
    </row>
    <row r="673" spans="1:1">
      <c r="A673" s="555"/>
    </row>
    <row r="674" spans="1:1">
      <c r="A674" s="555"/>
    </row>
    <row r="675" spans="1:1">
      <c r="A675" s="555"/>
    </row>
    <row r="676" spans="1:1">
      <c r="A676" s="555"/>
    </row>
    <row r="677" spans="1:1">
      <c r="A677" s="555"/>
    </row>
    <row r="678" spans="1:1">
      <c r="A678" s="555"/>
    </row>
    <row r="679" spans="1:1">
      <c r="A679" s="555"/>
    </row>
    <row r="680" spans="1:1">
      <c r="A680" s="555"/>
    </row>
    <row r="681" spans="1:1">
      <c r="A681" s="555"/>
    </row>
    <row r="682" spans="1:1">
      <c r="A682" s="555"/>
    </row>
    <row r="683" spans="1:1">
      <c r="A683" s="555"/>
    </row>
    <row r="684" spans="1:1">
      <c r="A684" s="555"/>
    </row>
    <row r="685" spans="1:1">
      <c r="A685" s="555"/>
    </row>
    <row r="686" spans="1:1">
      <c r="A686" s="555"/>
    </row>
    <row r="687" spans="1:1">
      <c r="A687" s="555"/>
    </row>
    <row r="688" spans="1:1">
      <c r="A688" s="555"/>
    </row>
    <row r="689" spans="1:1">
      <c r="A689" s="555"/>
    </row>
    <row r="690" spans="1:1">
      <c r="A690" s="555"/>
    </row>
    <row r="691" spans="1:1">
      <c r="A691" s="555"/>
    </row>
    <row r="692" spans="1:1">
      <c r="A692" s="555"/>
    </row>
    <row r="693" spans="1:1">
      <c r="A693" s="555"/>
    </row>
    <row r="694" spans="1:1">
      <c r="A694" s="555"/>
    </row>
    <row r="695" spans="1:1">
      <c r="A695" s="555"/>
    </row>
    <row r="696" spans="1:1">
      <c r="A696" s="555"/>
    </row>
    <row r="697" spans="1:1">
      <c r="A697" s="555"/>
    </row>
    <row r="698" spans="1:1">
      <c r="A698" s="555"/>
    </row>
    <row r="699" spans="1:1">
      <c r="A699" s="555"/>
    </row>
    <row r="700" spans="1:1">
      <c r="A700" s="555"/>
    </row>
    <row r="701" spans="1:1">
      <c r="A701" s="555"/>
    </row>
    <row r="702" spans="1:1">
      <c r="A702" s="555"/>
    </row>
    <row r="703" spans="1:1">
      <c r="A703" s="555"/>
    </row>
    <row r="704" spans="1:1">
      <c r="A704" s="555"/>
    </row>
    <row r="705" spans="1:1">
      <c r="A705" s="555"/>
    </row>
    <row r="706" spans="1:1">
      <c r="A706" s="555"/>
    </row>
    <row r="707" spans="1:1">
      <c r="A707" s="555"/>
    </row>
    <row r="708" spans="1:1">
      <c r="A708" s="555"/>
    </row>
    <row r="709" spans="1:1">
      <c r="A709" s="555"/>
    </row>
    <row r="710" spans="1:1">
      <c r="A710" s="555"/>
    </row>
    <row r="711" spans="1:1">
      <c r="A711" s="555"/>
    </row>
    <row r="712" spans="1:1">
      <c r="A712" s="555"/>
    </row>
    <row r="713" spans="1:1">
      <c r="A713" s="555"/>
    </row>
    <row r="714" spans="1:1">
      <c r="A714" s="555"/>
    </row>
    <row r="715" spans="1:1">
      <c r="A715" s="555"/>
    </row>
    <row r="716" spans="1:1">
      <c r="A716" s="555"/>
    </row>
    <row r="717" spans="1:1">
      <c r="A717" s="555"/>
    </row>
    <row r="718" spans="1:1">
      <c r="A718" s="555"/>
    </row>
    <row r="719" spans="1:1">
      <c r="A719" s="555"/>
    </row>
    <row r="720" spans="1:1">
      <c r="A720" s="555"/>
    </row>
    <row r="721" spans="1:1">
      <c r="A721" s="555"/>
    </row>
    <row r="722" spans="1:1">
      <c r="A722" s="555"/>
    </row>
    <row r="723" spans="1:1">
      <c r="A723" s="555"/>
    </row>
    <row r="724" spans="1:1">
      <c r="A724" s="555"/>
    </row>
    <row r="725" spans="1:1">
      <c r="A725" s="555"/>
    </row>
    <row r="726" spans="1:1">
      <c r="A726" s="555"/>
    </row>
    <row r="727" spans="1:1">
      <c r="A727" s="555"/>
    </row>
    <row r="728" spans="1:1">
      <c r="A728" s="555"/>
    </row>
    <row r="729" spans="1:1">
      <c r="A729" s="555"/>
    </row>
    <row r="730" spans="1:1">
      <c r="A730" s="555"/>
    </row>
    <row r="731" spans="1:1">
      <c r="A731" s="555"/>
    </row>
    <row r="732" spans="1:1">
      <c r="A732" s="555"/>
    </row>
    <row r="733" spans="1:1">
      <c r="A733" s="555"/>
    </row>
    <row r="734" spans="1:1">
      <c r="A734" s="555"/>
    </row>
    <row r="735" spans="1:1">
      <c r="A735" s="555"/>
    </row>
    <row r="736" spans="1:1">
      <c r="A736" s="555"/>
    </row>
    <row r="737" spans="1:1">
      <c r="A737" s="555"/>
    </row>
    <row r="738" spans="1:1">
      <c r="A738" s="555"/>
    </row>
    <row r="739" spans="1:1">
      <c r="A739" s="555"/>
    </row>
    <row r="740" spans="1:1">
      <c r="A740" s="555"/>
    </row>
    <row r="741" spans="1:1">
      <c r="A741" s="555"/>
    </row>
    <row r="742" spans="1:1">
      <c r="A742" s="555"/>
    </row>
    <row r="743" spans="1:1">
      <c r="A743" s="555"/>
    </row>
    <row r="744" spans="1:1">
      <c r="A744" s="555"/>
    </row>
    <row r="745" spans="1:1">
      <c r="A745" s="555"/>
    </row>
    <row r="746" spans="1:1">
      <c r="A746" s="555"/>
    </row>
    <row r="747" spans="1:1">
      <c r="A747" s="555"/>
    </row>
    <row r="748" spans="1:1">
      <c r="A748" s="555"/>
    </row>
    <row r="749" spans="1:1">
      <c r="A749" s="555"/>
    </row>
    <row r="750" spans="1:1">
      <c r="A750" s="555"/>
    </row>
    <row r="751" spans="1:1">
      <c r="A751" s="555"/>
    </row>
    <row r="752" spans="1:1">
      <c r="A752" s="555"/>
    </row>
    <row r="753" spans="1:1">
      <c r="A753" s="555"/>
    </row>
    <row r="754" spans="1:1">
      <c r="A754" s="555"/>
    </row>
    <row r="755" spans="1:1">
      <c r="A755" s="555"/>
    </row>
    <row r="756" spans="1:1">
      <c r="A756" s="555"/>
    </row>
    <row r="757" spans="1:1">
      <c r="A757" s="555"/>
    </row>
    <row r="758" spans="1:1">
      <c r="A758" s="555"/>
    </row>
    <row r="759" spans="1:1">
      <c r="A759" s="555"/>
    </row>
    <row r="760" spans="1:1">
      <c r="A760" s="555"/>
    </row>
    <row r="761" spans="1:1">
      <c r="A761" s="555"/>
    </row>
    <row r="762" spans="1:1">
      <c r="A762" s="555"/>
    </row>
    <row r="763" spans="1:1">
      <c r="A763" s="555"/>
    </row>
    <row r="764" spans="1:1">
      <c r="A764" s="555"/>
    </row>
    <row r="765" spans="1:1">
      <c r="A765" s="555"/>
    </row>
    <row r="766" spans="1:1">
      <c r="A766" s="555"/>
    </row>
    <row r="767" spans="1:1">
      <c r="A767" s="555"/>
    </row>
    <row r="768" spans="1:1">
      <c r="A768" s="555"/>
    </row>
    <row r="769" spans="1:1">
      <c r="A769" s="555"/>
    </row>
    <row r="770" spans="1:1">
      <c r="A770" s="555"/>
    </row>
    <row r="771" spans="1:1">
      <c r="A771" s="555"/>
    </row>
    <row r="772" spans="1:1">
      <c r="A772" s="555"/>
    </row>
    <row r="773" spans="1:1">
      <c r="A773" s="555"/>
    </row>
    <row r="774" spans="1:1">
      <c r="A774" s="555"/>
    </row>
    <row r="775" spans="1:1">
      <c r="A775" s="555"/>
    </row>
    <row r="776" spans="1:1">
      <c r="A776" s="555"/>
    </row>
    <row r="777" spans="1:1">
      <c r="A777" s="555"/>
    </row>
    <row r="778" spans="1:1">
      <c r="A778" s="555"/>
    </row>
    <row r="779" spans="1:1">
      <c r="A779" s="555"/>
    </row>
    <row r="780" spans="1:1">
      <c r="A780" s="555"/>
    </row>
    <row r="781" spans="1:1">
      <c r="A781" s="555"/>
    </row>
    <row r="782" spans="1:1">
      <c r="A782" s="555"/>
    </row>
    <row r="783" spans="1:1">
      <c r="A783" s="555"/>
    </row>
    <row r="784" spans="1:1">
      <c r="A784" s="555"/>
    </row>
    <row r="785" spans="1:1">
      <c r="A785" s="555"/>
    </row>
    <row r="786" spans="1:1">
      <c r="A786" s="555"/>
    </row>
    <row r="787" spans="1:1">
      <c r="A787" s="555"/>
    </row>
    <row r="788" spans="1:1">
      <c r="A788" s="555"/>
    </row>
    <row r="789" spans="1:1">
      <c r="A789" s="555"/>
    </row>
    <row r="790" spans="1:1">
      <c r="A790" s="555"/>
    </row>
    <row r="791" spans="1:1">
      <c r="A791" s="555"/>
    </row>
    <row r="792" spans="1:1">
      <c r="A792" s="555"/>
    </row>
    <row r="793" spans="1:1">
      <c r="A793" s="555"/>
    </row>
    <row r="794" spans="1:1">
      <c r="A794" s="555"/>
    </row>
    <row r="795" spans="1:1">
      <c r="A795" s="555"/>
    </row>
    <row r="796" spans="1:1">
      <c r="A796" s="555"/>
    </row>
    <row r="797" spans="1:1">
      <c r="A797" s="555"/>
    </row>
    <row r="798" spans="1:1">
      <c r="A798" s="555"/>
    </row>
    <row r="799" spans="1:1">
      <c r="A799" s="555"/>
    </row>
    <row r="800" spans="1:1">
      <c r="A800" s="555"/>
    </row>
    <row r="801" spans="1:1">
      <c r="A801" s="555"/>
    </row>
    <row r="802" spans="1:1">
      <c r="A802" s="555"/>
    </row>
    <row r="803" spans="1:1">
      <c r="A803" s="555"/>
    </row>
    <row r="804" spans="1:1">
      <c r="A804" s="555"/>
    </row>
    <row r="805" spans="1:1">
      <c r="A805" s="555"/>
    </row>
    <row r="806" spans="1:1">
      <c r="A806" s="555"/>
    </row>
    <row r="807" spans="1:1">
      <c r="A807" s="555"/>
    </row>
    <row r="808" spans="1:1">
      <c r="A808" s="555"/>
    </row>
    <row r="809" spans="1:1">
      <c r="A809" s="555"/>
    </row>
    <row r="810" spans="1:1">
      <c r="A810" s="555"/>
    </row>
    <row r="811" spans="1:1">
      <c r="A811" s="555"/>
    </row>
    <row r="812" spans="1:1">
      <c r="A812" s="555"/>
    </row>
    <row r="813" spans="1:1">
      <c r="A813" s="555"/>
    </row>
    <row r="814" spans="1:1">
      <c r="A814" s="555"/>
    </row>
    <row r="815" spans="1:1">
      <c r="A815" s="555"/>
    </row>
    <row r="816" spans="1:1">
      <c r="A816" s="555"/>
    </row>
    <row r="817" spans="1:1">
      <c r="A817" s="555"/>
    </row>
    <row r="818" spans="1:1">
      <c r="A818" s="555"/>
    </row>
    <row r="819" spans="1:1">
      <c r="A819" s="555"/>
    </row>
    <row r="820" spans="1:1">
      <c r="A820" s="555"/>
    </row>
    <row r="821" spans="1:1">
      <c r="A821" s="555"/>
    </row>
    <row r="822" spans="1:1">
      <c r="A822" s="555"/>
    </row>
    <row r="823" spans="1:1">
      <c r="A823" s="555"/>
    </row>
    <row r="824" spans="1:1">
      <c r="A824" s="555"/>
    </row>
    <row r="825" spans="1:1">
      <c r="A825" s="555"/>
    </row>
    <row r="826" spans="1:1">
      <c r="A826" s="555"/>
    </row>
    <row r="827" spans="1:1">
      <c r="A827" s="555"/>
    </row>
    <row r="828" spans="1:1">
      <c r="A828" s="555"/>
    </row>
    <row r="829" spans="1:1">
      <c r="A829" s="555"/>
    </row>
    <row r="830" spans="1:1">
      <c r="A830" s="555"/>
    </row>
    <row r="831" spans="1:1">
      <c r="A831" s="555"/>
    </row>
    <row r="832" spans="1:1">
      <c r="A832" s="555"/>
    </row>
    <row r="833" spans="1:1">
      <c r="A833" s="555"/>
    </row>
    <row r="834" spans="1:1">
      <c r="A834" s="555"/>
    </row>
    <row r="835" spans="1:1">
      <c r="A835" s="555"/>
    </row>
    <row r="836" spans="1:1">
      <c r="A836" s="555"/>
    </row>
    <row r="837" spans="1:1">
      <c r="A837" s="555"/>
    </row>
    <row r="838" spans="1:1">
      <c r="A838" s="555"/>
    </row>
    <row r="839" spans="1:1">
      <c r="A839" s="555"/>
    </row>
    <row r="840" spans="1:1">
      <c r="A840" s="555"/>
    </row>
    <row r="841" spans="1:1">
      <c r="A841" s="555"/>
    </row>
    <row r="842" spans="1:1">
      <c r="A842" s="555"/>
    </row>
    <row r="843" spans="1:1">
      <c r="A843" s="555"/>
    </row>
    <row r="844" spans="1:1">
      <c r="A844" s="555"/>
    </row>
    <row r="845" spans="1:1">
      <c r="A845" s="555"/>
    </row>
    <row r="846" spans="1:1">
      <c r="A846" s="555"/>
    </row>
    <row r="847" spans="1:1">
      <c r="A847" s="555"/>
    </row>
    <row r="848" spans="1:1">
      <c r="A848" s="555"/>
    </row>
    <row r="849" spans="1:1">
      <c r="A849" s="555"/>
    </row>
    <row r="850" spans="1:1">
      <c r="A850" s="555"/>
    </row>
    <row r="851" spans="1:1">
      <c r="A851" s="555"/>
    </row>
    <row r="852" spans="1:1">
      <c r="A852" s="555"/>
    </row>
    <row r="853" spans="1:1">
      <c r="A853" s="555"/>
    </row>
    <row r="854" spans="1:1">
      <c r="A854" s="555"/>
    </row>
    <row r="855" spans="1:1">
      <c r="A855" s="555"/>
    </row>
    <row r="856" spans="1:1">
      <c r="A856" s="555"/>
    </row>
    <row r="857" spans="1:1">
      <c r="A857" s="555"/>
    </row>
    <row r="858" spans="1:1">
      <c r="A858" s="555"/>
    </row>
    <row r="859" spans="1:1">
      <c r="A859" s="555"/>
    </row>
    <row r="860" spans="1:1">
      <c r="A860" s="555"/>
    </row>
    <row r="861" spans="1:1">
      <c r="A861" s="555"/>
    </row>
    <row r="862" spans="1:1">
      <c r="A862" s="555"/>
    </row>
    <row r="863" spans="1:1">
      <c r="A863" s="555"/>
    </row>
    <row r="864" spans="1:1">
      <c r="A864" s="555"/>
    </row>
    <row r="865" spans="1:1">
      <c r="A865" s="555"/>
    </row>
    <row r="866" spans="1:1">
      <c r="A866" s="555"/>
    </row>
    <row r="867" spans="1:1">
      <c r="A867" s="555"/>
    </row>
    <row r="868" spans="1:1">
      <c r="A868" s="555"/>
    </row>
    <row r="869" spans="1:1">
      <c r="A869" s="555"/>
    </row>
    <row r="870" spans="1:1">
      <c r="A870" s="555"/>
    </row>
    <row r="871" spans="1:1">
      <c r="A871" s="555"/>
    </row>
    <row r="872" spans="1:1">
      <c r="A872" s="555"/>
    </row>
    <row r="873" spans="1:1">
      <c r="A873" s="555"/>
    </row>
    <row r="874" spans="1:1">
      <c r="A874" s="555"/>
    </row>
    <row r="875" spans="1:1">
      <c r="A875" s="555"/>
    </row>
    <row r="876" spans="1:1">
      <c r="A876" s="555"/>
    </row>
    <row r="877" spans="1:1">
      <c r="A877" s="555"/>
    </row>
    <row r="878" spans="1:1">
      <c r="A878" s="555"/>
    </row>
    <row r="879" spans="1:1">
      <c r="A879" s="555"/>
    </row>
    <row r="880" spans="1:1">
      <c r="A880" s="555"/>
    </row>
    <row r="881" spans="1:1">
      <c r="A881" s="555"/>
    </row>
    <row r="882" spans="1:1">
      <c r="A882" s="555"/>
    </row>
    <row r="883" spans="1:1">
      <c r="A883" s="555"/>
    </row>
    <row r="884" spans="1:1">
      <c r="A884" s="555"/>
    </row>
    <row r="885" spans="1:1">
      <c r="A885" s="555"/>
    </row>
    <row r="886" spans="1:1">
      <c r="A886" s="555"/>
    </row>
    <row r="887" spans="1:1">
      <c r="A887" s="555"/>
    </row>
    <row r="888" spans="1:1">
      <c r="A888" s="555"/>
    </row>
    <row r="889" spans="1:1">
      <c r="A889" s="555"/>
    </row>
    <row r="890" spans="1:1">
      <c r="A890" s="555"/>
    </row>
    <row r="891" spans="1:1">
      <c r="A891" s="555"/>
    </row>
    <row r="892" spans="1:1">
      <c r="A892" s="555"/>
    </row>
    <row r="893" spans="1:1">
      <c r="A893" s="555"/>
    </row>
    <row r="894" spans="1:1">
      <c r="A894" s="555"/>
    </row>
    <row r="895" spans="1:1">
      <c r="A895" s="555"/>
    </row>
    <row r="896" spans="1:1">
      <c r="A896" s="555"/>
    </row>
    <row r="897" spans="1:1">
      <c r="A897" s="555"/>
    </row>
    <row r="898" spans="1:1">
      <c r="A898" s="555"/>
    </row>
    <row r="899" spans="1:1">
      <c r="A899" s="555"/>
    </row>
    <row r="900" spans="1:1">
      <c r="A900" s="555"/>
    </row>
    <row r="901" spans="1:1">
      <c r="A901" s="555"/>
    </row>
    <row r="902" spans="1:1">
      <c r="A902" s="555"/>
    </row>
    <row r="903" spans="1:1">
      <c r="A903" s="555"/>
    </row>
    <row r="904" spans="1:1">
      <c r="A904" s="555"/>
    </row>
    <row r="905" spans="1:1">
      <c r="A905" s="555"/>
    </row>
    <row r="906" spans="1:1">
      <c r="A906" s="555"/>
    </row>
    <row r="907" spans="1:1">
      <c r="A907" s="555"/>
    </row>
    <row r="908" spans="1:1">
      <c r="A908" s="555"/>
    </row>
    <row r="909" spans="1:1">
      <c r="A909" s="555"/>
    </row>
    <row r="910" spans="1:1">
      <c r="A910" s="555"/>
    </row>
    <row r="911" spans="1:1">
      <c r="A911" s="555"/>
    </row>
    <row r="912" spans="1:1">
      <c r="A912" s="555"/>
    </row>
    <row r="913" spans="1:1">
      <c r="A913" s="555"/>
    </row>
    <row r="914" spans="1:1">
      <c r="A914" s="555"/>
    </row>
    <row r="915" spans="1:1">
      <c r="A915" s="555"/>
    </row>
    <row r="916" spans="1:1">
      <c r="A916" s="555"/>
    </row>
    <row r="917" spans="1:1">
      <c r="A917" s="555"/>
    </row>
    <row r="918" spans="1:1">
      <c r="A918" s="555"/>
    </row>
    <row r="919" spans="1:1">
      <c r="A919" s="555"/>
    </row>
    <row r="920" spans="1:1">
      <c r="A920" s="555"/>
    </row>
    <row r="921" spans="1:1">
      <c r="A921" s="555"/>
    </row>
    <row r="922" spans="1:1">
      <c r="A922" s="555"/>
    </row>
    <row r="923" spans="1:1">
      <c r="A923" s="555"/>
    </row>
    <row r="924" spans="1:1">
      <c r="A924" s="555"/>
    </row>
    <row r="925" spans="1:1">
      <c r="A925" s="555"/>
    </row>
    <row r="926" spans="1:1">
      <c r="A926" s="555"/>
    </row>
    <row r="927" spans="1:1">
      <c r="A927" s="555"/>
    </row>
    <row r="928" spans="1:1">
      <c r="A928" s="555"/>
    </row>
    <row r="929" spans="1:1">
      <c r="A929" s="555"/>
    </row>
    <row r="930" spans="1:1">
      <c r="A930" s="555"/>
    </row>
    <row r="931" spans="1:1">
      <c r="A931" s="555"/>
    </row>
    <row r="932" spans="1:1">
      <c r="A932" s="555"/>
    </row>
    <row r="933" spans="1:1">
      <c r="A933" s="555"/>
    </row>
    <row r="934" spans="1:1">
      <c r="A934" s="555"/>
    </row>
    <row r="935" spans="1:1">
      <c r="A935" s="555"/>
    </row>
    <row r="936" spans="1:1">
      <c r="A936" s="555"/>
    </row>
    <row r="937" spans="1:1">
      <c r="A937" s="555"/>
    </row>
    <row r="938" spans="1:1">
      <c r="A938" s="555"/>
    </row>
    <row r="939" spans="1:1">
      <c r="A939" s="555"/>
    </row>
    <row r="940" spans="1:1">
      <c r="A940" s="555"/>
    </row>
    <row r="941" spans="1:1">
      <c r="A941" s="555"/>
    </row>
    <row r="942" spans="1:1">
      <c r="A942" s="555"/>
    </row>
    <row r="943" spans="1:1">
      <c r="A943" s="555"/>
    </row>
    <row r="944" spans="1:1">
      <c r="A944" s="555"/>
    </row>
    <row r="945" spans="1:1">
      <c r="A945" s="555"/>
    </row>
    <row r="946" spans="1:1">
      <c r="A946" s="555"/>
    </row>
    <row r="947" spans="1:1">
      <c r="A947" s="555"/>
    </row>
    <row r="948" spans="1:1">
      <c r="A948" s="555"/>
    </row>
    <row r="949" spans="1:1">
      <c r="A949" s="555"/>
    </row>
    <row r="950" spans="1:1">
      <c r="A950" s="555"/>
    </row>
    <row r="951" spans="1:1">
      <c r="A951" s="555"/>
    </row>
    <row r="952" spans="1:1">
      <c r="A952" s="555"/>
    </row>
    <row r="953" spans="1:1">
      <c r="A953" s="555"/>
    </row>
    <row r="954" spans="1:1">
      <c r="A954" s="555"/>
    </row>
    <row r="955" spans="1:1">
      <c r="A955" s="555"/>
    </row>
    <row r="956" spans="1:1">
      <c r="A956" s="555"/>
    </row>
    <row r="957" spans="1:1">
      <c r="A957" s="555"/>
    </row>
    <row r="958" spans="1:1">
      <c r="A958" s="555"/>
    </row>
    <row r="959" spans="1:1">
      <c r="A959" s="555"/>
    </row>
    <row r="960" spans="1:1">
      <c r="A960" s="555"/>
    </row>
    <row r="961" spans="1:1">
      <c r="A961" s="555"/>
    </row>
    <row r="962" spans="1:1">
      <c r="A962" s="555"/>
    </row>
    <row r="963" spans="1:1">
      <c r="A963" s="555"/>
    </row>
    <row r="964" spans="1:1">
      <c r="A964" s="555"/>
    </row>
    <row r="965" spans="1:1">
      <c r="A965" s="555"/>
    </row>
    <row r="966" spans="1:1">
      <c r="A966" s="555"/>
    </row>
    <row r="967" spans="1:1">
      <c r="A967" s="555"/>
    </row>
    <row r="968" spans="1:1">
      <c r="A968" s="555"/>
    </row>
    <row r="969" spans="1:1">
      <c r="A969" s="555"/>
    </row>
    <row r="970" spans="1:1">
      <c r="A970" s="555"/>
    </row>
    <row r="971" spans="1:1">
      <c r="A971" s="555"/>
    </row>
    <row r="972" spans="1:1">
      <c r="A972" s="555"/>
    </row>
    <row r="973" spans="1:1">
      <c r="A973" s="555"/>
    </row>
    <row r="974" spans="1:1">
      <c r="A974" s="555"/>
    </row>
    <row r="975" spans="1:1">
      <c r="A975" s="555"/>
    </row>
    <row r="976" spans="1:1">
      <c r="A976" s="555"/>
    </row>
    <row r="977" spans="1:1">
      <c r="A977" s="555"/>
    </row>
    <row r="978" spans="1:1">
      <c r="A978" s="555"/>
    </row>
    <row r="979" spans="1:1">
      <c r="A979" s="555"/>
    </row>
    <row r="980" spans="1:1">
      <c r="A980" s="555"/>
    </row>
    <row r="981" spans="1:1">
      <c r="A981" s="555"/>
    </row>
    <row r="982" spans="1:1">
      <c r="A982" s="555"/>
    </row>
    <row r="983" spans="1:1">
      <c r="A983" s="555"/>
    </row>
    <row r="984" spans="1:1">
      <c r="A984" s="555"/>
    </row>
    <row r="985" spans="1:1">
      <c r="A985" s="555"/>
    </row>
    <row r="986" spans="1:1">
      <c r="A986" s="555"/>
    </row>
    <row r="987" spans="1:1">
      <c r="A987" s="555"/>
    </row>
    <row r="988" spans="1:1">
      <c r="A988" s="555"/>
    </row>
    <row r="989" spans="1:1">
      <c r="A989" s="555"/>
    </row>
    <row r="990" spans="1:1">
      <c r="A990" s="555"/>
    </row>
    <row r="991" spans="1:1">
      <c r="A991" s="555"/>
    </row>
    <row r="992" spans="1:1">
      <c r="A992" s="555"/>
    </row>
    <row r="993" spans="1:1">
      <c r="A993" s="555"/>
    </row>
    <row r="994" spans="1:1">
      <c r="A994" s="555"/>
    </row>
    <row r="995" spans="1:1">
      <c r="A995" s="555"/>
    </row>
    <row r="996" spans="1:1">
      <c r="A996" s="555"/>
    </row>
    <row r="997" spans="1:1">
      <c r="A997" s="555"/>
    </row>
    <row r="998" spans="1:1">
      <c r="A998" s="555"/>
    </row>
    <row r="999" spans="1:1">
      <c r="A999" s="555"/>
    </row>
    <row r="1000" spans="1:1">
      <c r="A1000" s="555"/>
    </row>
    <row r="1001" spans="1:1">
      <c r="A1001" s="555"/>
    </row>
    <row r="1002" spans="1:1">
      <c r="A1002" s="555"/>
    </row>
    <row r="1003" spans="1:1">
      <c r="A1003" s="555"/>
    </row>
    <row r="1004" spans="1:1">
      <c r="A1004" s="555"/>
    </row>
    <row r="1005" spans="1:1">
      <c r="A1005" s="555"/>
    </row>
    <row r="1006" spans="1:1">
      <c r="A1006" s="555"/>
    </row>
    <row r="1007" spans="1:1">
      <c r="A1007" s="555"/>
    </row>
    <row r="1008" spans="1:1">
      <c r="A1008" s="555"/>
    </row>
    <row r="1009" spans="1:1">
      <c r="A1009" s="555"/>
    </row>
    <row r="1010" spans="1:1">
      <c r="A1010" s="555"/>
    </row>
    <row r="1011" spans="1:1">
      <c r="A1011" s="555"/>
    </row>
    <row r="1012" spans="1:1">
      <c r="A1012" s="555"/>
    </row>
    <row r="1013" spans="1:1">
      <c r="A1013" s="555"/>
    </row>
    <row r="1014" spans="1:1">
      <c r="A1014" s="555"/>
    </row>
    <row r="1015" spans="1:1">
      <c r="A1015" s="555"/>
    </row>
    <row r="1016" spans="1:1">
      <c r="A1016" s="555"/>
    </row>
    <row r="1017" spans="1:1">
      <c r="A1017" s="555"/>
    </row>
    <row r="1018" spans="1:1">
      <c r="A1018" s="555"/>
    </row>
    <row r="1019" spans="1:1">
      <c r="A1019" s="555"/>
    </row>
    <row r="1020" spans="1:1">
      <c r="A1020" s="555"/>
    </row>
    <row r="1021" spans="1:1">
      <c r="A1021" s="555"/>
    </row>
    <row r="1022" spans="1:1">
      <c r="A1022" s="555"/>
    </row>
    <row r="1023" spans="1:1">
      <c r="A1023" s="555"/>
    </row>
    <row r="1024" spans="1:1">
      <c r="A1024" s="555"/>
    </row>
    <row r="1025" spans="1:1">
      <c r="A1025" s="555"/>
    </row>
    <row r="1026" spans="1:1">
      <c r="A1026" s="555"/>
    </row>
    <row r="1027" spans="1:1">
      <c r="A1027" s="555"/>
    </row>
    <row r="1028" spans="1:1">
      <c r="A1028" s="555"/>
    </row>
    <row r="1029" spans="1:1">
      <c r="A1029" s="555"/>
    </row>
    <row r="1030" spans="1:1">
      <c r="A1030" s="555"/>
    </row>
    <row r="1031" spans="1:1">
      <c r="A1031" s="555"/>
    </row>
    <row r="1032" spans="1:1">
      <c r="A1032" s="555"/>
    </row>
    <row r="1033" spans="1:1">
      <c r="A1033" s="555"/>
    </row>
    <row r="1034" spans="1:1">
      <c r="A1034" s="555"/>
    </row>
    <row r="1035" spans="1:1">
      <c r="A1035" s="555"/>
    </row>
    <row r="1036" spans="1:1">
      <c r="A1036" s="555"/>
    </row>
    <row r="1037" spans="1:1">
      <c r="A1037" s="555"/>
    </row>
    <row r="1038" spans="1:1">
      <c r="A1038" s="555"/>
    </row>
    <row r="1039" spans="1:1">
      <c r="A1039" s="555"/>
    </row>
    <row r="1040" spans="1:1">
      <c r="A1040" s="555"/>
    </row>
    <row r="1041" spans="1:1">
      <c r="A1041" s="555"/>
    </row>
    <row r="1042" spans="1:1">
      <c r="A1042" s="555"/>
    </row>
    <row r="1043" spans="1:1">
      <c r="A1043" s="555"/>
    </row>
    <row r="1044" spans="1:1">
      <c r="A1044" s="555"/>
    </row>
    <row r="1045" spans="1:1">
      <c r="A1045" s="555"/>
    </row>
    <row r="1046" spans="1:1">
      <c r="A1046" s="555"/>
    </row>
    <row r="1047" spans="1:1">
      <c r="A1047" s="555"/>
    </row>
    <row r="1048" spans="1:1">
      <c r="A1048" s="555"/>
    </row>
    <row r="1049" spans="1:1">
      <c r="A1049" s="555"/>
    </row>
    <row r="1050" spans="1:1">
      <c r="A1050" s="555"/>
    </row>
    <row r="1051" spans="1:1">
      <c r="A1051" s="555"/>
    </row>
    <row r="1052" spans="1:1">
      <c r="A1052" s="555"/>
    </row>
    <row r="1053" spans="1:1">
      <c r="A1053" s="555"/>
    </row>
    <row r="1054" spans="1:1">
      <c r="A1054" s="555"/>
    </row>
    <row r="1055" spans="1:1">
      <c r="A1055" s="555"/>
    </row>
    <row r="1056" spans="1:1">
      <c r="A1056" s="555"/>
    </row>
    <row r="1057" spans="1:1">
      <c r="A1057" s="555"/>
    </row>
    <row r="1058" spans="1:1">
      <c r="A1058" s="555"/>
    </row>
    <row r="1059" spans="1:1">
      <c r="A1059" s="555"/>
    </row>
    <row r="1060" spans="1:1">
      <c r="A1060" s="555"/>
    </row>
    <row r="1061" spans="1:1">
      <c r="A1061" s="555"/>
    </row>
    <row r="1062" spans="1:1">
      <c r="A1062" s="555"/>
    </row>
    <row r="1063" spans="1:1">
      <c r="A1063" s="555"/>
    </row>
    <row r="1064" spans="1:1">
      <c r="A1064" s="555"/>
    </row>
    <row r="1065" spans="1:1">
      <c r="A1065" s="555"/>
    </row>
    <row r="1066" spans="1:1">
      <c r="A1066" s="555"/>
    </row>
    <row r="1067" spans="1:1">
      <c r="A1067" s="555"/>
    </row>
    <row r="1068" spans="1:1">
      <c r="A1068" s="555"/>
    </row>
    <row r="1069" spans="1:1">
      <c r="A1069" s="555"/>
    </row>
    <row r="1070" spans="1:1">
      <c r="A1070" s="555"/>
    </row>
    <row r="1071" spans="1:1">
      <c r="A1071" s="555"/>
    </row>
    <row r="1072" spans="1:1">
      <c r="A1072" s="555"/>
    </row>
    <row r="1073" spans="1:1">
      <c r="A1073" s="555"/>
    </row>
    <row r="1074" spans="1:1">
      <c r="A1074" s="555"/>
    </row>
    <row r="1075" spans="1:1">
      <c r="A1075" s="555"/>
    </row>
    <row r="1076" spans="1:1">
      <c r="A1076" s="555"/>
    </row>
    <row r="1077" spans="1:1">
      <c r="A1077" s="555"/>
    </row>
    <row r="1078" spans="1:1">
      <c r="A1078" s="555"/>
    </row>
    <row r="1079" spans="1:1">
      <c r="A1079" s="555"/>
    </row>
    <row r="1080" spans="1:1">
      <c r="A1080" s="555"/>
    </row>
    <row r="1081" spans="1:1">
      <c r="A1081" s="555"/>
    </row>
    <row r="1082" spans="1:1">
      <c r="A1082" s="555"/>
    </row>
    <row r="1083" spans="1:1">
      <c r="A1083" s="555"/>
    </row>
    <row r="1084" spans="1:1">
      <c r="A1084" s="555"/>
    </row>
    <row r="1085" spans="1:1">
      <c r="A1085" s="555"/>
    </row>
    <row r="1086" spans="1:1">
      <c r="A1086" s="555"/>
    </row>
    <row r="1087" spans="1:1">
      <c r="A1087" s="555"/>
    </row>
    <row r="1088" spans="1:1">
      <c r="A1088" s="555"/>
    </row>
    <row r="1089" spans="1:1">
      <c r="A1089" s="555"/>
    </row>
    <row r="1090" spans="1:1">
      <c r="A1090" s="555"/>
    </row>
    <row r="1091" spans="1:1">
      <c r="A1091" s="555"/>
    </row>
    <row r="1092" spans="1:1">
      <c r="A1092" s="555"/>
    </row>
    <row r="1093" spans="1:1">
      <c r="A1093" s="555"/>
    </row>
    <row r="1094" spans="1:1">
      <c r="A1094" s="555"/>
    </row>
    <row r="1095" spans="1:1">
      <c r="A1095" s="555"/>
    </row>
    <row r="1096" spans="1:1">
      <c r="A1096" s="555"/>
    </row>
    <row r="1097" spans="1:1">
      <c r="A1097" s="555"/>
    </row>
    <row r="1098" spans="1:1">
      <c r="A1098" s="555"/>
    </row>
    <row r="1099" spans="1:1">
      <c r="A1099" s="555"/>
    </row>
    <row r="1100" spans="1:1">
      <c r="A1100" s="555"/>
    </row>
    <row r="1101" spans="1:1">
      <c r="A1101" s="555"/>
    </row>
    <row r="1102" spans="1:1">
      <c r="A1102" s="555"/>
    </row>
    <row r="1103" spans="1:1">
      <c r="A1103" s="555"/>
    </row>
    <row r="1104" spans="1:1">
      <c r="A1104" s="555"/>
    </row>
    <row r="1105" spans="1:1">
      <c r="A1105" s="555"/>
    </row>
    <row r="1106" spans="1:1">
      <c r="A1106" s="555"/>
    </row>
    <row r="1107" spans="1:1">
      <c r="A1107" s="555"/>
    </row>
    <row r="1108" spans="1:1">
      <c r="A1108" s="555"/>
    </row>
    <row r="1109" spans="1:1">
      <c r="A1109" s="555"/>
    </row>
    <row r="1110" spans="1:1">
      <c r="A1110" s="555"/>
    </row>
    <row r="1111" spans="1:1">
      <c r="A1111" s="555"/>
    </row>
    <row r="1112" spans="1:1">
      <c r="A1112" s="555"/>
    </row>
    <row r="1113" spans="1:1">
      <c r="A1113" s="555"/>
    </row>
    <row r="1114" spans="1:1">
      <c r="A1114" s="555"/>
    </row>
    <row r="1115" spans="1:1">
      <c r="A1115" s="555"/>
    </row>
    <row r="1116" spans="1:1">
      <c r="A1116" s="555"/>
    </row>
    <row r="1117" spans="1:1">
      <c r="A1117" s="555"/>
    </row>
    <row r="1118" spans="1:1">
      <c r="A1118" s="555"/>
    </row>
    <row r="1119" spans="1:1">
      <c r="A1119" s="555"/>
    </row>
    <row r="1120" spans="1:1">
      <c r="A1120" s="555"/>
    </row>
    <row r="1121" spans="1:1">
      <c r="A1121" s="555"/>
    </row>
    <row r="1122" spans="1:1">
      <c r="A1122" s="555"/>
    </row>
    <row r="1123" spans="1:1">
      <c r="A1123" s="555"/>
    </row>
    <row r="1124" spans="1:1">
      <c r="A1124" s="555"/>
    </row>
    <row r="1125" spans="1:1">
      <c r="A1125" s="555"/>
    </row>
    <row r="1126" spans="1:1">
      <c r="A1126" s="555"/>
    </row>
    <row r="1127" spans="1:1">
      <c r="A1127" s="555"/>
    </row>
    <row r="1128" spans="1:1">
      <c r="A1128" s="555"/>
    </row>
    <row r="1129" spans="1:1">
      <c r="A1129" s="555"/>
    </row>
    <row r="1130" spans="1:1">
      <c r="A1130" s="555"/>
    </row>
    <row r="1131" spans="1:1">
      <c r="A1131" s="555"/>
    </row>
    <row r="1132" spans="1:1">
      <c r="A1132" s="555"/>
    </row>
    <row r="1133" spans="1:1">
      <c r="A1133" s="555"/>
    </row>
    <row r="1134" spans="1:1">
      <c r="A1134" s="555"/>
    </row>
    <row r="1135" spans="1:1">
      <c r="A1135" s="555"/>
    </row>
    <row r="1136" spans="1:1">
      <c r="A1136" s="555"/>
    </row>
    <row r="1137" spans="1:1">
      <c r="A1137" s="555"/>
    </row>
    <row r="1138" spans="1:1">
      <c r="A1138" s="555"/>
    </row>
    <row r="1139" spans="1:1">
      <c r="A1139" s="555"/>
    </row>
    <row r="1140" spans="1:1">
      <c r="A1140" s="555"/>
    </row>
    <row r="1141" spans="1:1">
      <c r="A1141" s="555"/>
    </row>
    <row r="1142" spans="1:1">
      <c r="A1142" s="555"/>
    </row>
    <row r="1143" spans="1:1">
      <c r="A1143" s="555"/>
    </row>
    <row r="1144" spans="1:1">
      <c r="A1144" s="555"/>
    </row>
    <row r="1145" spans="1:1">
      <c r="A1145" s="555"/>
    </row>
    <row r="1146" spans="1:1">
      <c r="A1146" s="555"/>
    </row>
    <row r="1147" spans="1:1">
      <c r="A1147" s="555"/>
    </row>
    <row r="1148" spans="1:1">
      <c r="A1148" s="555"/>
    </row>
    <row r="1149" spans="1:1">
      <c r="A1149" s="555"/>
    </row>
    <row r="1150" spans="1:1">
      <c r="A1150" s="555"/>
    </row>
    <row r="1151" spans="1:1">
      <c r="A1151" s="555"/>
    </row>
    <row r="1152" spans="1:1">
      <c r="A1152" s="555"/>
    </row>
    <row r="1153" spans="1:1">
      <c r="A1153" s="555"/>
    </row>
    <row r="1154" spans="1:1">
      <c r="A1154" s="555"/>
    </row>
    <row r="1155" spans="1:1">
      <c r="A1155" s="555"/>
    </row>
    <row r="1156" spans="1:1">
      <c r="A1156" s="555"/>
    </row>
    <row r="1157" spans="1:1">
      <c r="A1157" s="555"/>
    </row>
    <row r="1158" spans="1:1">
      <c r="A1158" s="555"/>
    </row>
    <row r="1159" spans="1:1">
      <c r="A1159" s="555"/>
    </row>
    <row r="1160" spans="1:1">
      <c r="A1160" s="555"/>
    </row>
    <row r="1161" spans="1:1">
      <c r="A1161" s="555"/>
    </row>
    <row r="1162" spans="1:1">
      <c r="A1162" s="555"/>
    </row>
    <row r="1163" spans="1:1">
      <c r="A1163" s="555"/>
    </row>
    <row r="1164" spans="1:1">
      <c r="A1164" s="555"/>
    </row>
    <row r="1165" spans="1:1">
      <c r="A1165" s="555"/>
    </row>
    <row r="1166" spans="1:1">
      <c r="A1166" s="555"/>
    </row>
    <row r="1167" spans="1:1">
      <c r="A1167" s="555"/>
    </row>
    <row r="1168" spans="1:1">
      <c r="A1168" s="555"/>
    </row>
    <row r="1169" spans="1:1">
      <c r="A1169" s="555"/>
    </row>
    <row r="1170" spans="1:1">
      <c r="A1170" s="555"/>
    </row>
    <row r="1171" spans="1:1">
      <c r="A1171" s="555"/>
    </row>
    <row r="1172" spans="1:1">
      <c r="A1172" s="555"/>
    </row>
    <row r="1173" spans="1:1">
      <c r="A1173" s="555"/>
    </row>
    <row r="1174" spans="1:1">
      <c r="A1174" s="555"/>
    </row>
    <row r="1175" spans="1:1">
      <c r="A1175" s="555"/>
    </row>
    <row r="1176" spans="1:1">
      <c r="A1176" s="555"/>
    </row>
    <row r="1177" spans="1:1">
      <c r="A1177" s="555"/>
    </row>
    <row r="1178" spans="1:1">
      <c r="A1178" s="555"/>
    </row>
    <row r="1179" spans="1:1">
      <c r="A1179" s="555"/>
    </row>
    <row r="1180" spans="1:1">
      <c r="A1180" s="555"/>
    </row>
    <row r="1181" spans="1:1">
      <c r="A1181" s="555"/>
    </row>
    <row r="1182" spans="1:1">
      <c r="A1182" s="555"/>
    </row>
    <row r="1183" spans="1:1">
      <c r="A1183" s="555"/>
    </row>
    <row r="1184" spans="1:1">
      <c r="A1184" s="555"/>
    </row>
    <row r="1185" spans="1:1">
      <c r="A1185" s="555"/>
    </row>
    <row r="1186" spans="1:1">
      <c r="A1186" s="555"/>
    </row>
    <row r="1187" spans="1:1">
      <c r="A1187" s="555"/>
    </row>
    <row r="1188" spans="1:1">
      <c r="A1188" s="555"/>
    </row>
    <row r="1189" spans="1:1">
      <c r="A1189" s="555"/>
    </row>
    <row r="1190" spans="1:1">
      <c r="A1190" s="555"/>
    </row>
    <row r="1191" spans="1:1">
      <c r="A1191" s="555"/>
    </row>
    <row r="1192" spans="1:1">
      <c r="A1192" s="555"/>
    </row>
    <row r="1193" spans="1:1">
      <c r="A1193" s="555"/>
    </row>
    <row r="1194" spans="1:1">
      <c r="A1194" s="555"/>
    </row>
    <row r="1195" spans="1:1">
      <c r="A1195" s="555"/>
    </row>
    <row r="1196" spans="1:1">
      <c r="A1196" s="555"/>
    </row>
    <row r="1197" spans="1:1">
      <c r="A1197" s="555"/>
    </row>
    <row r="1198" spans="1:1">
      <c r="A1198" s="555"/>
    </row>
    <row r="1199" spans="1:1">
      <c r="A1199" s="555"/>
    </row>
    <row r="1200" spans="1:1">
      <c r="A1200" s="555"/>
    </row>
    <row r="1201" spans="1:1">
      <c r="A1201" s="555"/>
    </row>
    <row r="1202" spans="1:1">
      <c r="A1202" s="555"/>
    </row>
    <row r="1203" spans="1:1">
      <c r="A1203" s="555"/>
    </row>
    <row r="1204" spans="1:1">
      <c r="A1204" s="555"/>
    </row>
    <row r="1205" spans="1:1">
      <c r="A1205" s="555"/>
    </row>
    <row r="1206" spans="1:1">
      <c r="A1206" s="555"/>
    </row>
    <row r="1207" spans="1:1">
      <c r="A1207" s="555"/>
    </row>
    <row r="1208" spans="1:1">
      <c r="A1208" s="555"/>
    </row>
    <row r="1209" spans="1:1">
      <c r="A1209" s="555"/>
    </row>
    <row r="1210" spans="1:1">
      <c r="A1210" s="555"/>
    </row>
    <row r="1211" spans="1:1">
      <c r="A1211" s="555"/>
    </row>
    <row r="1212" spans="1:1">
      <c r="A1212" s="555"/>
    </row>
    <row r="1213" spans="1:1">
      <c r="A1213" s="555"/>
    </row>
    <row r="1214" spans="1:1">
      <c r="A1214" s="555"/>
    </row>
    <row r="1215" spans="1:1">
      <c r="A1215" s="555"/>
    </row>
    <row r="1216" spans="1:1">
      <c r="A1216" s="555"/>
    </row>
    <row r="1217" spans="1:1">
      <c r="A1217" s="555"/>
    </row>
    <row r="1218" spans="1:1">
      <c r="A1218" s="555"/>
    </row>
    <row r="1219" spans="1:1">
      <c r="A1219" s="555"/>
    </row>
    <row r="1220" spans="1:1">
      <c r="A1220" s="555"/>
    </row>
    <row r="1221" spans="1:1">
      <c r="A1221" s="555"/>
    </row>
    <row r="1222" spans="1:1">
      <c r="A1222" s="555"/>
    </row>
    <row r="1223" spans="1:1">
      <c r="A1223" s="555"/>
    </row>
    <row r="1224" spans="1:1">
      <c r="A1224" s="555"/>
    </row>
    <row r="1225" spans="1:1">
      <c r="A1225" s="555"/>
    </row>
    <row r="1226" spans="1:1">
      <c r="A1226" s="555"/>
    </row>
    <row r="1227" spans="1:1">
      <c r="A1227" s="555"/>
    </row>
    <row r="1228" spans="1:1">
      <c r="A1228" s="555"/>
    </row>
    <row r="1229" spans="1:1">
      <c r="A1229" s="555"/>
    </row>
    <row r="1230" spans="1:1">
      <c r="A1230" s="555"/>
    </row>
    <row r="1231" spans="1:1">
      <c r="A1231" s="555"/>
    </row>
    <row r="1232" spans="1:1">
      <c r="A1232" s="555"/>
    </row>
    <row r="1233" spans="1:1">
      <c r="A1233" s="555"/>
    </row>
    <row r="1234" spans="1:1">
      <c r="A1234" s="555"/>
    </row>
    <row r="1235" spans="1:1">
      <c r="A1235" s="555"/>
    </row>
    <row r="1236" spans="1:1">
      <c r="A1236" s="555"/>
    </row>
    <row r="1237" spans="1:1">
      <c r="A1237" s="555"/>
    </row>
    <row r="1238" spans="1:1">
      <c r="A1238" s="555"/>
    </row>
    <row r="1239" spans="1:1">
      <c r="A1239" s="555"/>
    </row>
    <row r="1240" spans="1:1">
      <c r="A1240" s="555"/>
    </row>
    <row r="1241" spans="1:1">
      <c r="A1241" s="555"/>
    </row>
    <row r="1242" spans="1:1">
      <c r="A1242" s="555"/>
    </row>
    <row r="1243" spans="1:1">
      <c r="A1243" s="555"/>
    </row>
    <row r="1244" spans="1:1">
      <c r="A1244" s="555"/>
    </row>
    <row r="1245" spans="1:1">
      <c r="A1245" s="555"/>
    </row>
    <row r="1246" spans="1:1">
      <c r="A1246" s="555"/>
    </row>
    <row r="1247" spans="1:1">
      <c r="A1247" s="555"/>
    </row>
    <row r="1248" spans="1:1">
      <c r="A1248" s="555"/>
    </row>
    <row r="1249" spans="1:1">
      <c r="A1249" s="555"/>
    </row>
    <row r="1250" spans="1:1">
      <c r="A1250" s="555"/>
    </row>
    <row r="1251" spans="1:1">
      <c r="A1251" s="555"/>
    </row>
    <row r="1252" spans="1:1">
      <c r="A1252" s="555"/>
    </row>
    <row r="1253" spans="1:1">
      <c r="A1253" s="555"/>
    </row>
    <row r="1254" spans="1:1">
      <c r="A1254" s="555"/>
    </row>
    <row r="1255" spans="1:1">
      <c r="A1255" s="555"/>
    </row>
    <row r="1256" spans="1:1">
      <c r="A1256" s="555"/>
    </row>
    <row r="1257" spans="1:1">
      <c r="A1257" s="555"/>
    </row>
    <row r="1258" spans="1:1">
      <c r="A1258" s="555"/>
    </row>
    <row r="1259" spans="1:1">
      <c r="A1259" s="555"/>
    </row>
    <row r="1260" spans="1:1">
      <c r="A1260" s="555"/>
    </row>
    <row r="1261" spans="1:1">
      <c r="A1261" s="555"/>
    </row>
    <row r="1262" spans="1:1">
      <c r="A1262" s="555"/>
    </row>
    <row r="1263" spans="1:1">
      <c r="A1263" s="555"/>
    </row>
    <row r="1264" spans="1:1">
      <c r="A1264" s="555"/>
    </row>
    <row r="1265" spans="1:1">
      <c r="A1265" s="555"/>
    </row>
    <row r="1266" spans="1:1">
      <c r="A1266" s="555"/>
    </row>
    <row r="1267" spans="1:1">
      <c r="A1267" s="555"/>
    </row>
    <row r="1268" spans="1:1">
      <c r="A1268" s="555"/>
    </row>
    <row r="1269" spans="1:1">
      <c r="A1269" s="555"/>
    </row>
    <row r="1270" spans="1:1">
      <c r="A1270" s="555"/>
    </row>
    <row r="1271" spans="1:1">
      <c r="A1271" s="555"/>
    </row>
    <row r="1272" spans="1:1">
      <c r="A1272" s="555"/>
    </row>
    <row r="1273" spans="1:1">
      <c r="A1273" s="555"/>
    </row>
    <row r="1274" spans="1:1">
      <c r="A1274" s="555"/>
    </row>
    <row r="1275" spans="1:1">
      <c r="A1275" s="555"/>
    </row>
    <row r="1276" spans="1:1">
      <c r="A1276" s="555"/>
    </row>
    <row r="1277" spans="1:1">
      <c r="A1277" s="555"/>
    </row>
    <row r="1278" spans="1:1">
      <c r="A1278" s="555"/>
    </row>
    <row r="1279" spans="1:1">
      <c r="A1279" s="555"/>
    </row>
    <row r="1280" spans="1:1">
      <c r="A1280" s="555"/>
    </row>
    <row r="1281" spans="1:1">
      <c r="A1281" s="555"/>
    </row>
    <row r="1282" spans="1:1">
      <c r="A1282" s="555"/>
    </row>
    <row r="1283" spans="1:1">
      <c r="A1283" s="555"/>
    </row>
    <row r="1284" spans="1:1">
      <c r="A1284" s="555"/>
    </row>
    <row r="1285" spans="1:1">
      <c r="A1285" s="555"/>
    </row>
    <row r="1286" spans="1:1">
      <c r="A1286" s="555"/>
    </row>
    <row r="1287" spans="1:1">
      <c r="A1287" s="555"/>
    </row>
    <row r="1288" spans="1:1">
      <c r="A1288" s="555"/>
    </row>
    <row r="1289" spans="1:1">
      <c r="A1289" s="555"/>
    </row>
    <row r="1290" spans="1:1">
      <c r="A1290" s="555"/>
    </row>
    <row r="1291" spans="1:1">
      <c r="A1291" s="555"/>
    </row>
    <row r="1292" spans="1:1">
      <c r="A1292" s="555"/>
    </row>
    <row r="1293" spans="1:1">
      <c r="A1293" s="555"/>
    </row>
    <row r="1294" spans="1:1">
      <c r="A1294" s="555"/>
    </row>
    <row r="1295" spans="1:1">
      <c r="A1295" s="555"/>
    </row>
    <row r="1296" spans="1:1">
      <c r="A1296" s="555"/>
    </row>
    <row r="1297" spans="1:1">
      <c r="A1297" s="555"/>
    </row>
    <row r="1298" spans="1:1">
      <c r="A1298" s="555"/>
    </row>
    <row r="1299" spans="1:1">
      <c r="A1299" s="555"/>
    </row>
    <row r="1300" spans="1:1">
      <c r="A1300" s="555"/>
    </row>
    <row r="1301" spans="1:1">
      <c r="A1301" s="555"/>
    </row>
    <row r="1302" spans="1:1">
      <c r="A1302" s="555"/>
    </row>
    <row r="1303" spans="1:1">
      <c r="A1303" s="555"/>
    </row>
    <row r="1304" spans="1:1">
      <c r="A1304" s="555"/>
    </row>
    <row r="1305" spans="1:1">
      <c r="A1305" s="555"/>
    </row>
    <row r="1306" spans="1:1">
      <c r="A1306" s="555"/>
    </row>
    <row r="1307" spans="1:1">
      <c r="A1307" s="555"/>
    </row>
    <row r="1308" spans="1:1">
      <c r="A1308" s="555"/>
    </row>
    <row r="1309" spans="1:1">
      <c r="A1309" s="555"/>
    </row>
    <row r="1310" spans="1:1">
      <c r="A1310" s="555"/>
    </row>
    <row r="1311" spans="1:1">
      <c r="A1311" s="555"/>
    </row>
    <row r="1312" spans="1:1">
      <c r="A1312" s="555"/>
    </row>
    <row r="1313" spans="1:1">
      <c r="A1313" s="555"/>
    </row>
    <row r="1314" spans="1:1">
      <c r="A1314" s="555"/>
    </row>
    <row r="1315" spans="1:1">
      <c r="A1315" s="555"/>
    </row>
    <row r="1316" spans="1:1">
      <c r="A1316" s="555"/>
    </row>
    <row r="1317" spans="1:1">
      <c r="A1317" s="555"/>
    </row>
    <row r="1318" spans="1:1">
      <c r="A1318" s="555"/>
    </row>
    <row r="1319" spans="1:1">
      <c r="A1319" s="555"/>
    </row>
    <row r="1320" spans="1:1">
      <c r="A1320" s="555"/>
    </row>
    <row r="1321" spans="1:1">
      <c r="A1321" s="555"/>
    </row>
    <row r="1322" spans="1:1">
      <c r="A1322" s="555"/>
    </row>
    <row r="1323" spans="1:1">
      <c r="A1323" s="555"/>
    </row>
    <row r="1324" spans="1:1">
      <c r="A1324" s="555"/>
    </row>
    <row r="1325" spans="1:1">
      <c r="A1325" s="555"/>
    </row>
    <row r="1326" spans="1:1">
      <c r="A1326" s="555"/>
    </row>
    <row r="1327" spans="1:1">
      <c r="A1327" s="555"/>
    </row>
    <row r="1328" spans="1:1">
      <c r="A1328" s="555"/>
    </row>
    <row r="1329" spans="1:1">
      <c r="A1329" s="555"/>
    </row>
    <row r="1330" spans="1:1">
      <c r="A1330" s="555"/>
    </row>
    <row r="1331" spans="1:1">
      <c r="A1331" s="555"/>
    </row>
    <row r="1332" spans="1:1">
      <c r="A1332" s="555"/>
    </row>
    <row r="1333" spans="1:1">
      <c r="A1333" s="555"/>
    </row>
    <row r="1334" spans="1:1">
      <c r="A1334" s="555"/>
    </row>
    <row r="1335" spans="1:1">
      <c r="A1335" s="555"/>
    </row>
    <row r="1336" spans="1:1">
      <c r="A1336" s="555"/>
    </row>
    <row r="1337" spans="1:1">
      <c r="A1337" s="555"/>
    </row>
    <row r="1338" spans="1:1">
      <c r="A1338" s="555"/>
    </row>
    <row r="1339" spans="1:1">
      <c r="A1339" s="555"/>
    </row>
    <row r="1340" spans="1:1">
      <c r="A1340" s="555"/>
    </row>
    <row r="1341" spans="1:1">
      <c r="A1341" s="555"/>
    </row>
    <row r="1342" spans="1:1">
      <c r="A1342" s="555"/>
    </row>
    <row r="1343" spans="1:1">
      <c r="A1343" s="555"/>
    </row>
    <row r="1344" spans="1:1">
      <c r="A1344" s="555"/>
    </row>
    <row r="1345" spans="1:1">
      <c r="A1345" s="555"/>
    </row>
    <row r="1346" spans="1:1">
      <c r="A1346" s="555"/>
    </row>
    <row r="1347" spans="1:1">
      <c r="A1347" s="555"/>
    </row>
    <row r="1348" spans="1:1">
      <c r="A1348" s="555"/>
    </row>
    <row r="1349" spans="1:1">
      <c r="A1349" s="555"/>
    </row>
    <row r="1350" spans="1:1">
      <c r="A1350" s="555"/>
    </row>
    <row r="1351" spans="1:1">
      <c r="A1351" s="555"/>
    </row>
    <row r="1352" spans="1:1">
      <c r="A1352" s="555"/>
    </row>
    <row r="1353" spans="1:1">
      <c r="A1353" s="555"/>
    </row>
    <row r="1354" spans="1:1">
      <c r="A1354" s="555"/>
    </row>
    <row r="1355" spans="1:1">
      <c r="A1355" s="555"/>
    </row>
    <row r="1356" spans="1:1">
      <c r="A1356" s="555"/>
    </row>
    <row r="1357" spans="1:1">
      <c r="A1357" s="555"/>
    </row>
    <row r="1358" spans="1:1">
      <c r="A1358" s="555"/>
    </row>
    <row r="1359" spans="1:1">
      <c r="A1359" s="555"/>
    </row>
    <row r="1360" spans="1:1">
      <c r="A1360" s="555"/>
    </row>
    <row r="1361" spans="1:1">
      <c r="A1361" s="555"/>
    </row>
    <row r="1362" spans="1:1">
      <c r="A1362" s="555"/>
    </row>
    <row r="1363" spans="1:1">
      <c r="A1363" s="555"/>
    </row>
    <row r="1364" spans="1:1">
      <c r="A1364" s="555"/>
    </row>
    <row r="1365" spans="1:1">
      <c r="A1365" s="555"/>
    </row>
    <row r="1366" spans="1:1">
      <c r="A1366" s="555"/>
    </row>
    <row r="1367" spans="1:1">
      <c r="A1367" s="555"/>
    </row>
    <row r="1368" spans="1:1">
      <c r="A1368" s="555"/>
    </row>
    <row r="1369" spans="1:1">
      <c r="A1369" s="555"/>
    </row>
    <row r="1370" spans="1:1">
      <c r="A1370" s="555"/>
    </row>
    <row r="1371" spans="1:1">
      <c r="A1371" s="555"/>
    </row>
    <row r="1372" spans="1:1">
      <c r="A1372" s="555"/>
    </row>
    <row r="1373" spans="1:1">
      <c r="A1373" s="555"/>
    </row>
    <row r="1374" spans="1:1">
      <c r="A1374" s="555"/>
    </row>
    <row r="1375" spans="1:1">
      <c r="A1375" s="555"/>
    </row>
    <row r="1376" spans="1:1">
      <c r="A1376" s="555"/>
    </row>
    <row r="1377" spans="1:1">
      <c r="A1377" s="555"/>
    </row>
    <row r="1378" spans="1:1">
      <c r="A1378" s="555"/>
    </row>
    <row r="1379" spans="1:1">
      <c r="A1379" s="555"/>
    </row>
    <row r="1380" spans="1:1">
      <c r="A1380" s="555"/>
    </row>
    <row r="1381" spans="1:1">
      <c r="A1381" s="555"/>
    </row>
    <row r="1382" spans="1:1">
      <c r="A1382" s="555"/>
    </row>
    <row r="1383" spans="1:1">
      <c r="A1383" s="555"/>
    </row>
    <row r="1384" spans="1:1">
      <c r="A1384" s="555"/>
    </row>
    <row r="1385" spans="1:1">
      <c r="A1385" s="555"/>
    </row>
    <row r="1386" spans="1:1">
      <c r="A1386" s="555"/>
    </row>
    <row r="1387" spans="1:1">
      <c r="A1387" s="555"/>
    </row>
    <row r="1388" spans="1:1">
      <c r="A1388" s="555"/>
    </row>
    <row r="1389" spans="1:1">
      <c r="A1389" s="555"/>
    </row>
    <row r="1390" spans="1:1">
      <c r="A1390" s="555"/>
    </row>
    <row r="1391" spans="1:1">
      <c r="A1391" s="555"/>
    </row>
    <row r="1392" spans="1:1">
      <c r="A1392" s="555"/>
    </row>
    <row r="1393" spans="1:1">
      <c r="A1393" s="555"/>
    </row>
    <row r="1394" spans="1:1">
      <c r="A1394" s="555"/>
    </row>
    <row r="1395" spans="1:1">
      <c r="A1395" s="555"/>
    </row>
    <row r="1396" spans="1:1">
      <c r="A1396" s="555"/>
    </row>
    <row r="1397" spans="1:1">
      <c r="A1397" s="555"/>
    </row>
    <row r="1398" spans="1:1">
      <c r="A1398" s="555"/>
    </row>
    <row r="1399" spans="1:1">
      <c r="A1399" s="555"/>
    </row>
    <row r="1400" spans="1:1">
      <c r="A1400" s="555"/>
    </row>
    <row r="1401" spans="1:1">
      <c r="A1401" s="555"/>
    </row>
    <row r="1402" spans="1:1">
      <c r="A1402" s="555"/>
    </row>
    <row r="1403" spans="1:1">
      <c r="A1403" s="555"/>
    </row>
    <row r="1404" spans="1:1">
      <c r="A1404" s="555"/>
    </row>
    <row r="1405" spans="1:1">
      <c r="A1405" s="555"/>
    </row>
    <row r="1406" spans="1:1">
      <c r="A1406" s="555"/>
    </row>
    <row r="1407" spans="1:1">
      <c r="A1407" s="555"/>
    </row>
    <row r="1408" spans="1:1">
      <c r="A1408" s="555"/>
    </row>
    <row r="1409" spans="1:1">
      <c r="A1409" s="555"/>
    </row>
    <row r="1410" spans="1:1">
      <c r="A1410" s="555"/>
    </row>
    <row r="1411" spans="1:1">
      <c r="A1411" s="555"/>
    </row>
    <row r="1412" spans="1:1">
      <c r="A1412" s="555"/>
    </row>
    <row r="1413" spans="1:1">
      <c r="A1413" s="555"/>
    </row>
    <row r="1414" spans="1:1">
      <c r="A1414" s="555"/>
    </row>
    <row r="1415" spans="1:1">
      <c r="A1415" s="555"/>
    </row>
    <row r="1416" spans="1:1">
      <c r="A1416" s="555"/>
    </row>
    <row r="1417" spans="1:1">
      <c r="A1417" s="555"/>
    </row>
    <row r="1418" spans="1:1">
      <c r="A1418" s="555"/>
    </row>
    <row r="1419" spans="1:1">
      <c r="A1419" s="555"/>
    </row>
    <row r="1420" spans="1:1">
      <c r="A1420" s="555"/>
    </row>
    <row r="1421" spans="1:1">
      <c r="A1421" s="555"/>
    </row>
    <row r="1422" spans="1:1">
      <c r="A1422" s="555"/>
    </row>
    <row r="1423" spans="1:1">
      <c r="A1423" s="555"/>
    </row>
    <row r="1424" spans="1:1">
      <c r="A1424" s="555"/>
    </row>
    <row r="1425" spans="1:1">
      <c r="A1425" s="555"/>
    </row>
    <row r="1426" spans="1:1">
      <c r="A1426" s="555"/>
    </row>
    <row r="1427" spans="1:1">
      <c r="A1427" s="555"/>
    </row>
    <row r="1428" spans="1:1">
      <c r="A1428" s="555"/>
    </row>
    <row r="1429" spans="1:1">
      <c r="A1429" s="555"/>
    </row>
    <row r="1430" spans="1:1">
      <c r="A1430" s="555"/>
    </row>
    <row r="1431" spans="1:1">
      <c r="A1431" s="555"/>
    </row>
    <row r="1432" spans="1:1">
      <c r="A1432" s="555"/>
    </row>
    <row r="1433" spans="1:1">
      <c r="A1433" s="555"/>
    </row>
    <row r="1434" spans="1:1">
      <c r="A1434" s="555"/>
    </row>
    <row r="1435" spans="1:1">
      <c r="A1435" s="555"/>
    </row>
    <row r="1436" spans="1:1">
      <c r="A1436" s="555"/>
    </row>
    <row r="1437" spans="1:1">
      <c r="A1437" s="555"/>
    </row>
    <row r="1438" spans="1:1">
      <c r="A1438" s="555"/>
    </row>
    <row r="1439" spans="1:1">
      <c r="A1439" s="555"/>
    </row>
    <row r="1440" spans="1:1">
      <c r="A1440" s="555"/>
    </row>
    <row r="1441" spans="1:1">
      <c r="A1441" s="555"/>
    </row>
    <row r="1442" spans="1:1">
      <c r="A1442" s="555"/>
    </row>
    <row r="1443" spans="1:1">
      <c r="A1443" s="555"/>
    </row>
    <row r="1444" spans="1:1">
      <c r="A1444" s="555"/>
    </row>
    <row r="1445" spans="1:1">
      <c r="A1445" s="555"/>
    </row>
    <row r="1446" spans="1:1">
      <c r="A1446" s="555"/>
    </row>
    <row r="1447" spans="1:1">
      <c r="A1447" s="555"/>
    </row>
    <row r="1448" spans="1:1">
      <c r="A1448" s="555"/>
    </row>
    <row r="1449" spans="1:1">
      <c r="A1449" s="555"/>
    </row>
    <row r="1450" spans="1:1">
      <c r="A1450" s="555"/>
    </row>
    <row r="1451" spans="1:1">
      <c r="A1451" s="555"/>
    </row>
    <row r="1452" spans="1:1">
      <c r="A1452" s="555"/>
    </row>
    <row r="1453" spans="1:1">
      <c r="A1453" s="555"/>
    </row>
    <row r="1454" spans="1:1">
      <c r="A1454" s="555"/>
    </row>
    <row r="1455" spans="1:1">
      <c r="A1455" s="555"/>
    </row>
    <row r="1456" spans="1:1">
      <c r="A1456" s="555"/>
    </row>
    <row r="1457" spans="1:1">
      <c r="A1457" s="555"/>
    </row>
    <row r="1458" spans="1:1">
      <c r="A1458" s="555"/>
    </row>
    <row r="1459" spans="1:1">
      <c r="A1459" s="555"/>
    </row>
    <row r="1460" spans="1:1">
      <c r="A1460" s="555"/>
    </row>
    <row r="1461" spans="1:1">
      <c r="A1461" s="555"/>
    </row>
    <row r="1462" spans="1:1">
      <c r="A1462" s="555"/>
    </row>
    <row r="1463" spans="1:1">
      <c r="A1463" s="555"/>
    </row>
    <row r="1464" spans="1:1">
      <c r="A1464" s="555"/>
    </row>
    <row r="1465" spans="1:1">
      <c r="A1465" s="555"/>
    </row>
    <row r="1466" spans="1:1">
      <c r="A1466" s="555"/>
    </row>
    <row r="1467" spans="1:1">
      <c r="A1467" s="555"/>
    </row>
    <row r="1468" spans="1:1">
      <c r="A1468" s="555"/>
    </row>
    <row r="1469" spans="1:1">
      <c r="A1469" s="555"/>
    </row>
    <row r="1470" spans="1:1">
      <c r="A1470" s="555"/>
    </row>
    <row r="1471" spans="1:1">
      <c r="A1471" s="555"/>
    </row>
    <row r="1472" spans="1:1">
      <c r="A1472" s="555"/>
    </row>
    <row r="1473" spans="1:1">
      <c r="A1473" s="555"/>
    </row>
    <row r="1474" spans="1:1">
      <c r="A1474" s="555"/>
    </row>
    <row r="1475" spans="1:1">
      <c r="A1475" s="555"/>
    </row>
    <row r="1476" spans="1:1">
      <c r="A1476" s="555"/>
    </row>
    <row r="1477" spans="1:1">
      <c r="A1477" s="555"/>
    </row>
    <row r="1478" spans="1:1">
      <c r="A1478" s="555"/>
    </row>
    <row r="1479" spans="1:1">
      <c r="A1479" s="555"/>
    </row>
    <row r="1480" spans="1:1">
      <c r="A1480" s="555"/>
    </row>
    <row r="1481" spans="1:1">
      <c r="A1481" s="555"/>
    </row>
    <row r="1482" spans="1:1">
      <c r="A1482" s="555"/>
    </row>
    <row r="1483" spans="1:1">
      <c r="A1483" s="555"/>
    </row>
    <row r="1484" spans="1:1">
      <c r="A1484" s="555"/>
    </row>
    <row r="1485" spans="1:1">
      <c r="A1485" s="555"/>
    </row>
    <row r="1486" spans="1:1">
      <c r="A1486" s="555"/>
    </row>
    <row r="1487" spans="1:1">
      <c r="A1487" s="555"/>
    </row>
    <row r="1488" spans="1:1">
      <c r="A1488" s="555"/>
    </row>
    <row r="1489" spans="1:1">
      <c r="A1489" s="555"/>
    </row>
    <row r="1490" spans="1:1">
      <c r="A1490" s="555"/>
    </row>
    <row r="1491" spans="1:1">
      <c r="A1491" s="555"/>
    </row>
    <row r="1492" spans="1:1">
      <c r="A1492" s="555"/>
    </row>
    <row r="1493" spans="1:1">
      <c r="A1493" s="555"/>
    </row>
    <row r="1494" spans="1:1">
      <c r="A1494" s="555"/>
    </row>
    <row r="1495" spans="1:1">
      <c r="A1495" s="555"/>
    </row>
    <row r="1496" spans="1:1">
      <c r="A1496" s="555"/>
    </row>
    <row r="1497" spans="1:1">
      <c r="A1497" s="555"/>
    </row>
    <row r="1498" spans="1:1">
      <c r="A1498" s="555"/>
    </row>
    <row r="1499" spans="1:1">
      <c r="A1499" s="555"/>
    </row>
    <row r="1500" spans="1:1">
      <c r="A1500" s="555"/>
    </row>
    <row r="1501" spans="1:1">
      <c r="A1501" s="555"/>
    </row>
    <row r="1502" spans="1:1">
      <c r="A1502" s="555"/>
    </row>
    <row r="1503" spans="1:1">
      <c r="A1503" s="555"/>
    </row>
    <row r="1504" spans="1:1">
      <c r="A1504" s="555"/>
    </row>
    <row r="1505" spans="1:1">
      <c r="A1505" s="555"/>
    </row>
    <row r="1506" spans="1:1">
      <c r="A1506" s="555"/>
    </row>
    <row r="1507" spans="1:1">
      <c r="A1507" s="555"/>
    </row>
    <row r="1508" spans="1:1">
      <c r="A1508" s="555"/>
    </row>
    <row r="1509" spans="1:1">
      <c r="A1509" s="555"/>
    </row>
    <row r="1510" spans="1:1">
      <c r="A1510" s="555"/>
    </row>
    <row r="1511" spans="1:1">
      <c r="A1511" s="555"/>
    </row>
    <row r="1512" spans="1:1">
      <c r="A1512" s="555"/>
    </row>
    <row r="1513" spans="1:1">
      <c r="A1513" s="555"/>
    </row>
    <row r="1514" spans="1:1">
      <c r="A1514" s="555"/>
    </row>
    <row r="1515" spans="1:1">
      <c r="A1515" s="555"/>
    </row>
    <row r="1516" spans="1:1">
      <c r="A1516" s="555"/>
    </row>
    <row r="1517" spans="1:1">
      <c r="A1517" s="555"/>
    </row>
    <row r="1518" spans="1:1">
      <c r="A1518" s="555"/>
    </row>
    <row r="1519" spans="1:1">
      <c r="A1519" s="555"/>
    </row>
    <row r="1520" spans="1:1">
      <c r="A1520" s="555"/>
    </row>
    <row r="1521" spans="1:1">
      <c r="A1521" s="555"/>
    </row>
    <row r="1522" spans="1:1">
      <c r="A1522" s="555"/>
    </row>
    <row r="1523" spans="1:1">
      <c r="A1523" s="555"/>
    </row>
    <row r="1524" spans="1:1">
      <c r="A1524" s="555"/>
    </row>
    <row r="1525" spans="1:1">
      <c r="A1525" s="555"/>
    </row>
    <row r="1526" spans="1:1">
      <c r="A1526" s="555"/>
    </row>
    <row r="1527" spans="1:1">
      <c r="A1527" s="555"/>
    </row>
    <row r="1528" spans="1:1">
      <c r="A1528" s="555"/>
    </row>
    <row r="1529" spans="1:1">
      <c r="A1529" s="555"/>
    </row>
    <row r="1530" spans="1:1">
      <c r="A1530" s="555"/>
    </row>
    <row r="1531" spans="1:1">
      <c r="A1531" s="555"/>
    </row>
    <row r="1532" spans="1:1">
      <c r="A1532" s="555"/>
    </row>
    <row r="1533" spans="1:1">
      <c r="A1533" s="555"/>
    </row>
    <row r="1534" spans="1:1">
      <c r="A1534" s="555"/>
    </row>
    <row r="1535" spans="1:1">
      <c r="A1535" s="555"/>
    </row>
    <row r="1536" spans="1:1">
      <c r="A1536" s="555"/>
    </row>
    <row r="1537" spans="1:1">
      <c r="A1537" s="555"/>
    </row>
    <row r="1538" spans="1:1">
      <c r="A1538" s="555"/>
    </row>
    <row r="1539" spans="1:1">
      <c r="A1539" s="555"/>
    </row>
    <row r="1540" spans="1:1">
      <c r="A1540" s="555"/>
    </row>
    <row r="1541" spans="1:1">
      <c r="A1541" s="555"/>
    </row>
    <row r="1542" spans="1:1">
      <c r="A1542" s="555"/>
    </row>
    <row r="1543" spans="1:1">
      <c r="A1543" s="555"/>
    </row>
    <row r="1544" spans="1:1">
      <c r="A1544" s="555"/>
    </row>
    <row r="1545" spans="1:1">
      <c r="A1545" s="555"/>
    </row>
    <row r="1546" spans="1:1">
      <c r="A1546" s="555"/>
    </row>
    <row r="1547" spans="1:1">
      <c r="A1547" s="555"/>
    </row>
    <row r="1548" spans="1:1">
      <c r="A1548" s="555"/>
    </row>
    <row r="1549" spans="1:1">
      <c r="A1549" s="555"/>
    </row>
    <row r="1550" spans="1:1">
      <c r="A1550" s="555"/>
    </row>
    <row r="1551" spans="1:1">
      <c r="A1551" s="555"/>
    </row>
    <row r="1552" spans="1:1">
      <c r="A1552" s="555"/>
    </row>
    <row r="1553" spans="1:1">
      <c r="A1553" s="555"/>
    </row>
    <row r="1554" spans="1:1">
      <c r="A1554" s="555"/>
    </row>
    <row r="1555" spans="1:1">
      <c r="A1555" s="555"/>
    </row>
    <row r="1556" spans="1:1">
      <c r="A1556" s="555"/>
    </row>
    <row r="1557" spans="1:1">
      <c r="A1557" s="555"/>
    </row>
    <row r="1558" spans="1:1">
      <c r="A1558" s="555"/>
    </row>
    <row r="1559" spans="1:1">
      <c r="A1559" s="555"/>
    </row>
    <row r="1560" spans="1:1">
      <c r="A1560" s="555"/>
    </row>
    <row r="1561" spans="1:1">
      <c r="A1561" s="555"/>
    </row>
    <row r="1562" spans="1:1">
      <c r="A1562" s="555"/>
    </row>
    <row r="1563" spans="1:1">
      <c r="A1563" s="555"/>
    </row>
    <row r="1564" spans="1:1">
      <c r="A1564" s="555"/>
    </row>
    <row r="1565" spans="1:1">
      <c r="A1565" s="555"/>
    </row>
    <row r="1566" spans="1:1">
      <c r="A1566" s="555"/>
    </row>
    <row r="1567" spans="1:1">
      <c r="A1567" s="555"/>
    </row>
    <row r="1568" spans="1:1">
      <c r="A1568" s="555"/>
    </row>
    <row r="1569" spans="1:1">
      <c r="A1569" s="555"/>
    </row>
    <row r="1570" spans="1:1">
      <c r="A1570" s="555"/>
    </row>
    <row r="1571" spans="1:1">
      <c r="A1571" s="555"/>
    </row>
    <row r="1572" spans="1:1">
      <c r="A1572" s="555"/>
    </row>
    <row r="1573" spans="1:1">
      <c r="A1573" s="555"/>
    </row>
    <row r="1574" spans="1:1">
      <c r="A1574" s="555"/>
    </row>
    <row r="1575" spans="1:1">
      <c r="A1575" s="555"/>
    </row>
    <row r="1576" spans="1:1">
      <c r="A1576" s="555"/>
    </row>
    <row r="1577" spans="1:1">
      <c r="A1577" s="555"/>
    </row>
    <row r="1578" spans="1:1">
      <c r="A1578" s="555"/>
    </row>
    <row r="1579" spans="1:1">
      <c r="A1579" s="555"/>
    </row>
    <row r="1580" spans="1:1">
      <c r="A1580" s="555"/>
    </row>
    <row r="1581" spans="1:1">
      <c r="A1581" s="555"/>
    </row>
    <row r="1582" spans="1:1">
      <c r="A1582" s="555"/>
    </row>
    <row r="1583" spans="1:1">
      <c r="A1583" s="555"/>
    </row>
    <row r="1584" spans="1:1">
      <c r="A1584" s="555"/>
    </row>
    <row r="1585" spans="1:1">
      <c r="A1585" s="555"/>
    </row>
    <row r="1586" spans="1:1">
      <c r="A1586" s="555"/>
    </row>
    <row r="1587" spans="1:1">
      <c r="A1587" s="555"/>
    </row>
    <row r="1588" spans="1:1">
      <c r="A1588" s="555"/>
    </row>
    <row r="1589" spans="1:1">
      <c r="A1589" s="555"/>
    </row>
    <row r="1590" spans="1:1">
      <c r="A1590" s="555"/>
    </row>
    <row r="1591" spans="1:1">
      <c r="A1591" s="555"/>
    </row>
    <row r="1592" spans="1:1">
      <c r="A1592" s="555"/>
    </row>
    <row r="1593" spans="1:1">
      <c r="A1593" s="555"/>
    </row>
    <row r="1594" spans="1:1">
      <c r="A1594" s="555"/>
    </row>
    <row r="1595" spans="1:1">
      <c r="A1595" s="555"/>
    </row>
    <row r="1596" spans="1:1">
      <c r="A1596" s="555"/>
    </row>
    <row r="1597" spans="1:1">
      <c r="A1597" s="555"/>
    </row>
    <row r="1598" spans="1:1">
      <c r="A1598" s="555"/>
    </row>
    <row r="1599" spans="1:1">
      <c r="A1599" s="555"/>
    </row>
    <row r="1600" spans="1:1">
      <c r="A1600" s="555"/>
    </row>
    <row r="1601" spans="1:1">
      <c r="A1601" s="555"/>
    </row>
    <row r="1602" spans="1:1">
      <c r="A1602" s="555"/>
    </row>
    <row r="1603" spans="1:1">
      <c r="A1603" s="555"/>
    </row>
    <row r="1604" spans="1:1">
      <c r="A1604" s="555"/>
    </row>
    <row r="1605" spans="1:1">
      <c r="A1605" s="555"/>
    </row>
    <row r="1606" spans="1:1">
      <c r="A1606" s="555"/>
    </row>
    <row r="1607" spans="1:1">
      <c r="A1607" s="555"/>
    </row>
    <row r="1608" spans="1:1">
      <c r="A1608" s="555"/>
    </row>
    <row r="1609" spans="1:1">
      <c r="A1609" s="555"/>
    </row>
    <row r="1610" spans="1:1">
      <c r="A1610" s="555"/>
    </row>
    <row r="1611" spans="1:1">
      <c r="A1611" s="555"/>
    </row>
    <row r="1612" spans="1:1">
      <c r="A1612" s="555"/>
    </row>
    <row r="1613" spans="1:1">
      <c r="A1613" s="555"/>
    </row>
    <row r="1614" spans="1:1">
      <c r="A1614" s="555"/>
    </row>
    <row r="1615" spans="1:1">
      <c r="A1615" s="555"/>
    </row>
    <row r="1616" spans="1:1">
      <c r="A1616" s="555"/>
    </row>
    <row r="1617" spans="1:1">
      <c r="A1617" s="555"/>
    </row>
    <row r="1618" spans="1:1">
      <c r="A1618" s="555"/>
    </row>
    <row r="1619" spans="1:1">
      <c r="A1619" s="555"/>
    </row>
    <row r="1620" spans="1:1">
      <c r="A1620" s="555"/>
    </row>
    <row r="1621" spans="1:1">
      <c r="A1621" s="555"/>
    </row>
    <row r="1622" spans="1:1">
      <c r="A1622" s="555"/>
    </row>
    <row r="1623" spans="1:1">
      <c r="A1623" s="555"/>
    </row>
    <row r="1624" spans="1:1">
      <c r="A1624" s="555"/>
    </row>
    <row r="1625" spans="1:1">
      <c r="A1625" s="555"/>
    </row>
    <row r="1626" spans="1:1">
      <c r="A1626" s="555"/>
    </row>
    <row r="1627" spans="1:1">
      <c r="A1627" s="555"/>
    </row>
    <row r="1628" spans="1:1">
      <c r="A1628" s="555"/>
    </row>
    <row r="1629" spans="1:1">
      <c r="A1629" s="555"/>
    </row>
    <row r="1630" spans="1:1">
      <c r="A1630" s="555"/>
    </row>
    <row r="1631" spans="1:1">
      <c r="A1631" s="555"/>
    </row>
    <row r="1632" spans="1:1">
      <c r="A1632" s="555"/>
    </row>
    <row r="1633" spans="1:1">
      <c r="A1633" s="555"/>
    </row>
    <row r="1634" spans="1:1">
      <c r="A1634" s="555"/>
    </row>
    <row r="1635" spans="1:1">
      <c r="A1635" s="555"/>
    </row>
    <row r="1636" spans="1:1">
      <c r="A1636" s="555"/>
    </row>
    <row r="1637" spans="1:1">
      <c r="A1637" s="555"/>
    </row>
    <row r="1638" spans="1:1">
      <c r="A1638" s="555"/>
    </row>
    <row r="1639" spans="1:1">
      <c r="A1639" s="555"/>
    </row>
    <row r="1640" spans="1:1">
      <c r="A1640" s="555"/>
    </row>
    <row r="1641" spans="1:1">
      <c r="A1641" s="555"/>
    </row>
    <row r="1642" spans="1:1">
      <c r="A1642" s="555"/>
    </row>
    <row r="1643" spans="1:1">
      <c r="A1643" s="555"/>
    </row>
    <row r="1644" spans="1:1">
      <c r="A1644" s="555"/>
    </row>
    <row r="1645" spans="1:1">
      <c r="A1645" s="555"/>
    </row>
    <row r="1646" spans="1:1">
      <c r="A1646" s="555"/>
    </row>
    <row r="1647" spans="1:1">
      <c r="A1647" s="555"/>
    </row>
    <row r="1648" spans="1:1">
      <c r="A1648" s="555"/>
    </row>
    <row r="1649" spans="1:1">
      <c r="A1649" s="555"/>
    </row>
    <row r="1650" spans="1:1">
      <c r="A1650" s="555"/>
    </row>
    <row r="1651" spans="1:1">
      <c r="A1651" s="555"/>
    </row>
    <row r="1652" spans="1:1">
      <c r="A1652" s="555"/>
    </row>
    <row r="1653" spans="1:1">
      <c r="A1653" s="555"/>
    </row>
    <row r="1654" spans="1:1">
      <c r="A1654" s="555"/>
    </row>
    <row r="1655" spans="1:1">
      <c r="A1655" s="555"/>
    </row>
    <row r="1656" spans="1:1">
      <c r="A1656" s="555"/>
    </row>
    <row r="1657" spans="1:1">
      <c r="A1657" s="555"/>
    </row>
    <row r="1658" spans="1:1">
      <c r="A1658" s="555"/>
    </row>
    <row r="1659" spans="1:1">
      <c r="A1659" s="555"/>
    </row>
    <row r="1660" spans="1:1">
      <c r="A1660" s="555"/>
    </row>
    <row r="1661" spans="1:1">
      <c r="A1661" s="555"/>
    </row>
    <row r="1662" spans="1:1">
      <c r="A1662" s="555"/>
    </row>
    <row r="1663" spans="1:1">
      <c r="A1663" s="555"/>
    </row>
    <row r="1664" spans="1:1">
      <c r="A1664" s="555"/>
    </row>
    <row r="1665" spans="1:1">
      <c r="A1665" s="555"/>
    </row>
    <row r="1666" spans="1:1">
      <c r="A1666" s="555"/>
    </row>
    <row r="1667" spans="1:1">
      <c r="A1667" s="555"/>
    </row>
    <row r="1668" spans="1:1">
      <c r="A1668" s="555"/>
    </row>
    <row r="1669" spans="1:1">
      <c r="A1669" s="555"/>
    </row>
    <row r="1670" spans="1:1">
      <c r="A1670" s="555"/>
    </row>
    <row r="1671" spans="1:1">
      <c r="A1671" s="555"/>
    </row>
    <row r="1672" spans="1:1">
      <c r="A1672" s="555"/>
    </row>
    <row r="1673" spans="1:1">
      <c r="A1673" s="555"/>
    </row>
    <row r="1674" spans="1:1">
      <c r="A1674" s="555"/>
    </row>
    <row r="1675" spans="1:1">
      <c r="A1675" s="555"/>
    </row>
    <row r="1676" spans="1:1">
      <c r="A1676" s="555"/>
    </row>
    <row r="1677" spans="1:1">
      <c r="A1677" s="555"/>
    </row>
    <row r="1678" spans="1:1">
      <c r="A1678" s="555"/>
    </row>
    <row r="1679" spans="1:1">
      <c r="A1679" s="555"/>
    </row>
    <row r="1680" spans="1:1">
      <c r="A1680" s="555"/>
    </row>
    <row r="1681" spans="1:1">
      <c r="A1681" s="555"/>
    </row>
    <row r="1682" spans="1:1">
      <c r="A1682" s="555"/>
    </row>
    <row r="1683" spans="1:1">
      <c r="A1683" s="555"/>
    </row>
    <row r="1684" spans="1:1">
      <c r="A1684" s="555"/>
    </row>
    <row r="1685" spans="1:1">
      <c r="A1685" s="555"/>
    </row>
    <row r="1686" spans="1:1">
      <c r="A1686" s="555"/>
    </row>
    <row r="1687" spans="1:1">
      <c r="A1687" s="555"/>
    </row>
    <row r="1688" spans="1:1">
      <c r="A1688" s="555"/>
    </row>
    <row r="1689" spans="1:1">
      <c r="A1689" s="555"/>
    </row>
    <row r="1690" spans="1:1">
      <c r="A1690" s="555"/>
    </row>
    <row r="1691" spans="1:1">
      <c r="A1691" s="555"/>
    </row>
    <row r="1692" spans="1:1">
      <c r="A1692" s="555"/>
    </row>
    <row r="1693" spans="1:1">
      <c r="A1693" s="555"/>
    </row>
    <row r="1694" spans="1:1">
      <c r="A1694" s="555"/>
    </row>
    <row r="1695" spans="1:1">
      <c r="A1695" s="555"/>
    </row>
    <row r="1696" spans="1:1">
      <c r="A1696" s="555"/>
    </row>
    <row r="1697" spans="1:1">
      <c r="A1697" s="555"/>
    </row>
    <row r="1698" spans="1:1">
      <c r="A1698" s="555"/>
    </row>
    <row r="1699" spans="1:1">
      <c r="A1699" s="555"/>
    </row>
    <row r="1700" spans="1:1">
      <c r="A1700" s="555"/>
    </row>
    <row r="1701" spans="1:1">
      <c r="A1701" s="555"/>
    </row>
    <row r="1702" spans="1:1">
      <c r="A1702" s="555"/>
    </row>
    <row r="1703" spans="1:1">
      <c r="A1703" s="555"/>
    </row>
    <row r="1704" spans="1:1">
      <c r="A1704" s="555"/>
    </row>
    <row r="1705" spans="1:1">
      <c r="A1705" s="555"/>
    </row>
    <row r="1706" spans="1:1">
      <c r="A1706" s="555"/>
    </row>
    <row r="1707" spans="1:1">
      <c r="A1707" s="555"/>
    </row>
    <row r="1708" spans="1:1">
      <c r="A1708" s="555"/>
    </row>
    <row r="1709" spans="1:1">
      <c r="A1709" s="555"/>
    </row>
    <row r="1710" spans="1:1">
      <c r="A1710" s="555"/>
    </row>
    <row r="1711" spans="1:1">
      <c r="A1711" s="555"/>
    </row>
    <row r="1712" spans="1:1">
      <c r="A1712" s="555"/>
    </row>
    <row r="1713" spans="1:1">
      <c r="A1713" s="555"/>
    </row>
    <row r="1714" spans="1:1">
      <c r="A1714" s="555"/>
    </row>
    <row r="1715" spans="1:1">
      <c r="A1715" s="555"/>
    </row>
    <row r="1716" spans="1:1">
      <c r="A1716" s="555"/>
    </row>
    <row r="1717" spans="1:1">
      <c r="A1717" s="555"/>
    </row>
    <row r="1718" spans="1:1">
      <c r="A1718" s="555"/>
    </row>
    <row r="1719" spans="1:1">
      <c r="A1719" s="555"/>
    </row>
    <row r="1720" spans="1:1">
      <c r="A1720" s="555"/>
    </row>
    <row r="1721" spans="1:1">
      <c r="A1721" s="555"/>
    </row>
    <row r="1722" spans="1:1">
      <c r="A1722" s="555"/>
    </row>
    <row r="1723" spans="1:1">
      <c r="A1723" s="555"/>
    </row>
    <row r="1724" spans="1:1">
      <c r="A1724" s="555"/>
    </row>
    <row r="1725" spans="1:1">
      <c r="A1725" s="555"/>
    </row>
    <row r="1726" spans="1:1">
      <c r="A1726" s="555"/>
    </row>
    <row r="1727" spans="1:1">
      <c r="A1727" s="555"/>
    </row>
    <row r="1728" spans="1:1">
      <c r="A1728" s="555"/>
    </row>
    <row r="1729" spans="1:1">
      <c r="A1729" s="555"/>
    </row>
    <row r="1730" spans="1:1">
      <c r="A1730" s="555"/>
    </row>
    <row r="1731" spans="1:1">
      <c r="A1731" s="555"/>
    </row>
    <row r="1732" spans="1:1">
      <c r="A1732" s="555"/>
    </row>
    <row r="1733" spans="1:1">
      <c r="A1733" s="555"/>
    </row>
    <row r="1734" spans="1:1">
      <c r="A1734" s="555"/>
    </row>
    <row r="1735" spans="1:1">
      <c r="A1735" s="555"/>
    </row>
    <row r="1736" spans="1:1">
      <c r="A1736" s="555"/>
    </row>
    <row r="1737" spans="1:1">
      <c r="A1737" s="555"/>
    </row>
    <row r="1738" spans="1:1">
      <c r="A1738" s="555"/>
    </row>
    <row r="1739" spans="1:1">
      <c r="A1739" s="555"/>
    </row>
    <row r="1740" spans="1:1">
      <c r="A1740" s="555"/>
    </row>
    <row r="1741" spans="1:1">
      <c r="A1741" s="555"/>
    </row>
    <row r="1742" spans="1:1">
      <c r="A1742" s="555"/>
    </row>
    <row r="1743" spans="1:1">
      <c r="A1743" s="555"/>
    </row>
    <row r="1744" spans="1:1">
      <c r="A1744" s="555"/>
    </row>
    <row r="1745" spans="1:1">
      <c r="A1745" s="555"/>
    </row>
    <row r="1746" spans="1:1">
      <c r="A1746" s="555"/>
    </row>
    <row r="1747" spans="1:1">
      <c r="A1747" s="555"/>
    </row>
    <row r="1748" spans="1:1">
      <c r="A1748" s="555"/>
    </row>
    <row r="1749" spans="1:1">
      <c r="A1749" s="555"/>
    </row>
    <row r="1750" spans="1:1">
      <c r="A1750" s="555"/>
    </row>
    <row r="1751" spans="1:1">
      <c r="A1751" s="555"/>
    </row>
    <row r="1752" spans="1:1">
      <c r="A1752" s="555"/>
    </row>
    <row r="1753" spans="1:1">
      <c r="A1753" s="555"/>
    </row>
    <row r="1754" spans="1:1">
      <c r="A1754" s="555"/>
    </row>
    <row r="1755" spans="1:1">
      <c r="A1755" s="555"/>
    </row>
    <row r="1756" spans="1:1">
      <c r="A1756" s="555"/>
    </row>
    <row r="1757" spans="1:1">
      <c r="A1757" s="555"/>
    </row>
    <row r="1758" spans="1:1">
      <c r="A1758" s="555"/>
    </row>
    <row r="1759" spans="1:1">
      <c r="A1759" s="555"/>
    </row>
    <row r="1760" spans="1:1">
      <c r="A1760" s="555"/>
    </row>
    <row r="1761" spans="1:1">
      <c r="A1761" s="555"/>
    </row>
    <row r="1762" spans="1:1">
      <c r="A1762" s="555"/>
    </row>
    <row r="1763" spans="1:1">
      <c r="A1763" s="555"/>
    </row>
    <row r="1764" spans="1:1">
      <c r="A1764" s="555"/>
    </row>
    <row r="1765" spans="1:1">
      <c r="A1765" s="555"/>
    </row>
    <row r="1766" spans="1:1">
      <c r="A1766" s="555"/>
    </row>
    <row r="1767" spans="1:1">
      <c r="A1767" s="555"/>
    </row>
    <row r="1768" spans="1:1">
      <c r="A1768" s="555"/>
    </row>
    <row r="1769" spans="1:1">
      <c r="A1769" s="555"/>
    </row>
    <row r="1770" spans="1:1">
      <c r="A1770" s="555"/>
    </row>
    <row r="1771" spans="1:1">
      <c r="A1771" s="555"/>
    </row>
    <row r="1772" spans="1:1">
      <c r="A1772" s="555"/>
    </row>
    <row r="1773" spans="1:1">
      <c r="A1773" s="555"/>
    </row>
    <row r="1774" spans="1:1">
      <c r="A1774" s="555"/>
    </row>
    <row r="1775" spans="1:1">
      <c r="A1775" s="555"/>
    </row>
    <row r="1776" spans="1:1">
      <c r="A1776" s="555"/>
    </row>
    <row r="1777" spans="1:1">
      <c r="A1777" s="555"/>
    </row>
    <row r="1778" spans="1:1">
      <c r="A1778" s="555"/>
    </row>
    <row r="1779" spans="1:1">
      <c r="A1779" s="555"/>
    </row>
    <row r="1780" spans="1:1">
      <c r="A1780" s="555"/>
    </row>
    <row r="1781" spans="1:1">
      <c r="A1781" s="555"/>
    </row>
    <row r="1782" spans="1:1">
      <c r="A1782" s="555"/>
    </row>
    <row r="1783" spans="1:1">
      <c r="A1783" s="555"/>
    </row>
    <row r="1784" spans="1:1">
      <c r="A1784" s="555"/>
    </row>
    <row r="1785" spans="1:1">
      <c r="A1785" s="555"/>
    </row>
    <row r="1786" spans="1:1">
      <c r="A1786" s="555"/>
    </row>
    <row r="1787" spans="1:1">
      <c r="A1787" s="555"/>
    </row>
    <row r="1788" spans="1:1">
      <c r="A1788" s="555"/>
    </row>
    <row r="1789" spans="1:1">
      <c r="A1789" s="555"/>
    </row>
    <row r="1790" spans="1:1">
      <c r="A1790" s="555"/>
    </row>
    <row r="1791" spans="1:1">
      <c r="A1791" s="555"/>
    </row>
    <row r="1792" spans="1:1">
      <c r="A1792" s="555"/>
    </row>
    <row r="1793" spans="1:1">
      <c r="A1793" s="555"/>
    </row>
    <row r="1794" spans="1:1">
      <c r="A1794" s="555"/>
    </row>
    <row r="1795" spans="1:1">
      <c r="A1795" s="555"/>
    </row>
    <row r="1796" spans="1:1">
      <c r="A1796" s="555"/>
    </row>
    <row r="1797" spans="1:1">
      <c r="A1797" s="555"/>
    </row>
    <row r="1798" spans="1:1">
      <c r="A1798" s="555"/>
    </row>
    <row r="1799" spans="1:1">
      <c r="A1799" s="555"/>
    </row>
    <row r="1800" spans="1:1">
      <c r="A1800" s="555"/>
    </row>
    <row r="1801" spans="1:1">
      <c r="A1801" s="555"/>
    </row>
    <row r="1802" spans="1:1">
      <c r="A1802" s="555"/>
    </row>
    <row r="1803" spans="1:1">
      <c r="A1803" s="555"/>
    </row>
    <row r="1804" spans="1:1">
      <c r="A1804" s="555"/>
    </row>
    <row r="1805" spans="1:1">
      <c r="A1805" s="555"/>
    </row>
    <row r="1806" spans="1:1">
      <c r="A1806" s="555"/>
    </row>
    <row r="1807" spans="1:1">
      <c r="A1807" s="555"/>
    </row>
    <row r="1808" spans="1:1">
      <c r="A1808" s="555"/>
    </row>
    <row r="1809" spans="1:1">
      <c r="A1809" s="555"/>
    </row>
    <row r="1810" spans="1:1">
      <c r="A1810" s="555"/>
    </row>
    <row r="1811" spans="1:1">
      <c r="A1811" s="555"/>
    </row>
    <row r="1812" spans="1:1">
      <c r="A1812" s="555"/>
    </row>
    <row r="1813" spans="1:1">
      <c r="A1813" s="555"/>
    </row>
    <row r="1814" spans="1:1">
      <c r="A1814" s="555"/>
    </row>
    <row r="1815" spans="1:1">
      <c r="A1815" s="555"/>
    </row>
    <row r="1816" spans="1:1">
      <c r="A1816" s="555"/>
    </row>
    <row r="1817" spans="1:1">
      <c r="A1817" s="555"/>
    </row>
    <row r="1818" spans="1:1">
      <c r="A1818" s="555"/>
    </row>
    <row r="1819" spans="1:1">
      <c r="A1819" s="555"/>
    </row>
    <row r="1820" spans="1:1">
      <c r="A1820" s="555"/>
    </row>
    <row r="1821" spans="1:1">
      <c r="A1821" s="555"/>
    </row>
    <row r="1822" spans="1:1">
      <c r="A1822" s="555"/>
    </row>
    <row r="1823" spans="1:1">
      <c r="A1823" s="555"/>
    </row>
    <row r="1824" spans="1:1">
      <c r="A1824" s="555"/>
    </row>
    <row r="1825" spans="1:1">
      <c r="A1825" s="555"/>
    </row>
    <row r="1826" spans="1:1">
      <c r="A1826" s="555"/>
    </row>
    <row r="1827" spans="1:1">
      <c r="A1827" s="555"/>
    </row>
    <row r="1828" spans="1:1">
      <c r="A1828" s="555"/>
    </row>
    <row r="1829" spans="1:1">
      <c r="A1829" s="555"/>
    </row>
    <row r="1830" spans="1:1">
      <c r="A1830" s="555"/>
    </row>
    <row r="1831" spans="1:1">
      <c r="A1831" s="555"/>
    </row>
    <row r="1832" spans="1:1">
      <c r="A1832" s="555"/>
    </row>
    <row r="1833" spans="1:1">
      <c r="A1833" s="555"/>
    </row>
    <row r="1834" spans="1:1">
      <c r="A1834" s="555"/>
    </row>
    <row r="1835" spans="1:1">
      <c r="A1835" s="555"/>
    </row>
    <row r="1836" spans="1:1">
      <c r="A1836" s="555"/>
    </row>
    <row r="1837" spans="1:1">
      <c r="A1837" s="555"/>
    </row>
    <row r="1838" spans="1:1">
      <c r="A1838" s="555"/>
    </row>
    <row r="1839" spans="1:1">
      <c r="A1839" s="555"/>
    </row>
    <row r="1840" spans="1:1">
      <c r="A1840" s="555"/>
    </row>
    <row r="1841" spans="1:1">
      <c r="A1841" s="555"/>
    </row>
    <row r="1842" spans="1:1">
      <c r="A1842" s="555"/>
    </row>
    <row r="1843" spans="1:1">
      <c r="A1843" s="555"/>
    </row>
    <row r="1844" spans="1:1">
      <c r="A1844" s="555"/>
    </row>
    <row r="1845" spans="1:1">
      <c r="A1845" s="555"/>
    </row>
    <row r="1846" spans="1:1">
      <c r="A1846" s="555"/>
    </row>
    <row r="1847" spans="1:1">
      <c r="A1847" s="555"/>
    </row>
    <row r="1848" spans="1:1">
      <c r="A1848" s="555"/>
    </row>
    <row r="1849" spans="1:1">
      <c r="A1849" s="555"/>
    </row>
    <row r="1850" spans="1:1">
      <c r="A1850" s="555"/>
    </row>
    <row r="1851" spans="1:1">
      <c r="A1851" s="555"/>
    </row>
    <row r="1852" spans="1:1">
      <c r="A1852" s="555"/>
    </row>
    <row r="1853" spans="1:1">
      <c r="A1853" s="555"/>
    </row>
    <row r="1854" spans="1:1">
      <c r="A1854" s="555"/>
    </row>
    <row r="1855" spans="1:1">
      <c r="A1855" s="555"/>
    </row>
    <row r="1856" spans="1:1">
      <c r="A1856" s="555"/>
    </row>
    <row r="1857" spans="1:1">
      <c r="A1857" s="555"/>
    </row>
    <row r="1858" spans="1:1">
      <c r="A1858" s="555"/>
    </row>
    <row r="1859" spans="1:1">
      <c r="A1859" s="555"/>
    </row>
    <row r="1860" spans="1:1">
      <c r="A1860" s="555"/>
    </row>
    <row r="1861" spans="1:1">
      <c r="A1861" s="555"/>
    </row>
    <row r="1862" spans="1:1">
      <c r="A1862" s="555"/>
    </row>
    <row r="1863" spans="1:1">
      <c r="A1863" s="555"/>
    </row>
    <row r="1864" spans="1:1">
      <c r="A1864" s="555"/>
    </row>
    <row r="1865" spans="1:1">
      <c r="A1865" s="555"/>
    </row>
    <row r="1866" spans="1:1">
      <c r="A1866" s="555"/>
    </row>
    <row r="1867" spans="1:1">
      <c r="A1867" s="555"/>
    </row>
    <row r="1868" spans="1:1">
      <c r="A1868" s="555"/>
    </row>
    <row r="1869" spans="1:1">
      <c r="A1869" s="555"/>
    </row>
    <row r="1870" spans="1:1">
      <c r="A1870" s="555"/>
    </row>
    <row r="1871" spans="1:1">
      <c r="A1871" s="555"/>
    </row>
    <row r="1872" spans="1:1">
      <c r="A1872" s="555"/>
    </row>
    <row r="1873" spans="1:1">
      <c r="A1873" s="555"/>
    </row>
    <row r="1874" spans="1:1">
      <c r="A1874" s="555"/>
    </row>
    <row r="1875" spans="1:1">
      <c r="A1875" s="555"/>
    </row>
    <row r="1876" spans="1:1">
      <c r="A1876" s="555"/>
    </row>
    <row r="1877" spans="1:1">
      <c r="A1877" s="555"/>
    </row>
    <row r="1878" spans="1:1">
      <c r="A1878" s="555"/>
    </row>
    <row r="1879" spans="1:1">
      <c r="A1879" s="555"/>
    </row>
    <row r="1880" spans="1:1">
      <c r="A1880" s="555"/>
    </row>
    <row r="1881" spans="1:1">
      <c r="A1881" s="555"/>
    </row>
    <row r="1882" spans="1:1">
      <c r="A1882" s="555"/>
    </row>
    <row r="1883" spans="1:1">
      <c r="A1883" s="555"/>
    </row>
    <row r="1884" spans="1:1">
      <c r="A1884" s="555"/>
    </row>
    <row r="1885" spans="1:1">
      <c r="A1885" s="555"/>
    </row>
    <row r="1886" spans="1:1">
      <c r="A1886" s="555"/>
    </row>
    <row r="1887" spans="1:1">
      <c r="A1887" s="555"/>
    </row>
    <row r="1888" spans="1:1">
      <c r="A1888" s="555"/>
    </row>
    <row r="1889" spans="1:1">
      <c r="A1889" s="555"/>
    </row>
    <row r="1890" spans="1:1">
      <c r="A1890" s="555"/>
    </row>
    <row r="1891" spans="1:1">
      <c r="A1891" s="555"/>
    </row>
    <row r="1892" spans="1:1">
      <c r="A1892" s="555"/>
    </row>
    <row r="1893" spans="1:1">
      <c r="A1893" s="555"/>
    </row>
    <row r="1894" spans="1:1">
      <c r="A1894" s="555"/>
    </row>
    <row r="1895" spans="1:1">
      <c r="A1895" s="555"/>
    </row>
    <row r="1896" spans="1:1">
      <c r="A1896" s="555"/>
    </row>
    <row r="1897" spans="1:1">
      <c r="A1897" s="555"/>
    </row>
    <row r="1898" spans="1:1">
      <c r="A1898" s="555"/>
    </row>
    <row r="1899" spans="1:1">
      <c r="A1899" s="555"/>
    </row>
    <row r="1900" spans="1:1">
      <c r="A1900" s="555"/>
    </row>
    <row r="1901" spans="1:1">
      <c r="A1901" s="555"/>
    </row>
    <row r="1902" spans="1:1">
      <c r="A1902" s="555"/>
    </row>
    <row r="1903" spans="1:1">
      <c r="A1903" s="555"/>
    </row>
    <row r="1904" spans="1:1">
      <c r="A1904" s="555"/>
    </row>
    <row r="1905" spans="1:1">
      <c r="A1905" s="555"/>
    </row>
    <row r="1906" spans="1:1">
      <c r="A1906" s="555"/>
    </row>
    <row r="1907" spans="1:1">
      <c r="A1907" s="555"/>
    </row>
    <row r="1908" spans="1:1">
      <c r="A1908" s="555"/>
    </row>
    <row r="1909" spans="1:1">
      <c r="A1909" s="555"/>
    </row>
    <row r="1910" spans="1:1">
      <c r="A1910" s="555"/>
    </row>
    <row r="1911" spans="1:1">
      <c r="A1911" s="555"/>
    </row>
    <row r="1912" spans="1:1">
      <c r="A1912" s="555"/>
    </row>
    <row r="1913" spans="1:1">
      <c r="A1913" s="555"/>
    </row>
    <row r="1914" spans="1:1">
      <c r="A1914" s="555"/>
    </row>
    <row r="1915" spans="1:1">
      <c r="A1915" s="555"/>
    </row>
    <row r="1916" spans="1:1">
      <c r="A1916" s="555"/>
    </row>
    <row r="1917" spans="1:1">
      <c r="A1917" s="555"/>
    </row>
    <row r="1918" spans="1:1">
      <c r="A1918" s="555"/>
    </row>
    <row r="1919" spans="1:1">
      <c r="A1919" s="555"/>
    </row>
    <row r="1920" spans="1:1">
      <c r="A1920" s="555"/>
    </row>
    <row r="1921" spans="1:1">
      <c r="A1921" s="555"/>
    </row>
    <row r="1922" spans="1:1">
      <c r="A1922" s="555"/>
    </row>
    <row r="1923" spans="1:1">
      <c r="A1923" s="555"/>
    </row>
    <row r="1924" spans="1:1">
      <c r="A1924" s="555"/>
    </row>
    <row r="1925" spans="1:1">
      <c r="A1925" s="555"/>
    </row>
    <row r="1926" spans="1:1">
      <c r="A1926" s="555"/>
    </row>
    <row r="1927" spans="1:1">
      <c r="A1927" s="555"/>
    </row>
    <row r="1928" spans="1:1">
      <c r="A1928" s="555"/>
    </row>
    <row r="1929" spans="1:1">
      <c r="A1929" s="555"/>
    </row>
    <row r="1930" spans="1:1">
      <c r="A1930" s="555"/>
    </row>
    <row r="1931" spans="1:1">
      <c r="A1931" s="555"/>
    </row>
    <row r="1932" spans="1:1">
      <c r="A1932" s="555"/>
    </row>
    <row r="1933" spans="1:1">
      <c r="A1933" s="555"/>
    </row>
    <row r="1934" spans="1:1">
      <c r="A1934" s="555"/>
    </row>
    <row r="1935" spans="1:1">
      <c r="A1935" s="555"/>
    </row>
    <row r="1936" spans="1:1">
      <c r="A1936" s="555"/>
    </row>
    <row r="1937" spans="1:1">
      <c r="A1937" s="555"/>
    </row>
    <row r="1938" spans="1:1">
      <c r="A1938" s="555"/>
    </row>
    <row r="1939" spans="1:1">
      <c r="A1939" s="555"/>
    </row>
    <row r="1940" spans="1:1">
      <c r="A1940" s="555"/>
    </row>
    <row r="1941" spans="1:1">
      <c r="A1941" s="555"/>
    </row>
    <row r="1942" spans="1:1">
      <c r="A1942" s="555"/>
    </row>
    <row r="1943" spans="1:1">
      <c r="A1943" s="555"/>
    </row>
    <row r="1944" spans="1:1">
      <c r="A1944" s="555"/>
    </row>
    <row r="1945" spans="1:1">
      <c r="A1945" s="555"/>
    </row>
    <row r="1946" spans="1:1">
      <c r="A1946" s="555"/>
    </row>
    <row r="1947" spans="1:1">
      <c r="A1947" s="555"/>
    </row>
    <row r="1948" spans="1:1">
      <c r="A1948" s="555"/>
    </row>
    <row r="1949" spans="1:1">
      <c r="A1949" s="555"/>
    </row>
    <row r="1950" spans="1:1">
      <c r="A1950" s="555"/>
    </row>
    <row r="1951" spans="1:1">
      <c r="A1951" s="555"/>
    </row>
    <row r="1952" spans="1:1">
      <c r="A1952" s="555"/>
    </row>
    <row r="1953" spans="1:1">
      <c r="A1953" s="555"/>
    </row>
    <row r="1954" spans="1:1">
      <c r="A1954" s="555"/>
    </row>
    <row r="1955" spans="1:1">
      <c r="A1955" s="555"/>
    </row>
    <row r="1956" spans="1:1">
      <c r="A1956" s="555"/>
    </row>
    <row r="1957" spans="1:1">
      <c r="A1957" s="555"/>
    </row>
    <row r="1958" spans="1:1">
      <c r="A1958" s="555"/>
    </row>
    <row r="1959" spans="1:1">
      <c r="A1959" s="555"/>
    </row>
    <row r="1960" spans="1:1">
      <c r="A1960" s="555"/>
    </row>
    <row r="1961" spans="1:1">
      <c r="A1961" s="555"/>
    </row>
    <row r="1962" spans="1:1">
      <c r="A1962" s="555"/>
    </row>
    <row r="1963" spans="1:1">
      <c r="A1963" s="555"/>
    </row>
    <row r="1964" spans="1:1">
      <c r="A1964" s="555"/>
    </row>
    <row r="1965" spans="1:1">
      <c r="A1965" s="555"/>
    </row>
    <row r="1966" spans="1:1">
      <c r="A1966" s="555"/>
    </row>
    <row r="1967" spans="1:1">
      <c r="A1967" s="555"/>
    </row>
    <row r="1968" spans="1:1">
      <c r="A1968" s="555"/>
    </row>
    <row r="1969" spans="1:1">
      <c r="A1969" s="555"/>
    </row>
    <row r="1970" spans="1:1">
      <c r="A1970" s="555"/>
    </row>
    <row r="1971" spans="1:1">
      <c r="A1971" s="555"/>
    </row>
    <row r="1972" spans="1:1">
      <c r="A1972" s="555"/>
    </row>
    <row r="1973" spans="1:1">
      <c r="A1973" s="555"/>
    </row>
    <row r="1974" spans="1:1">
      <c r="A1974" s="555"/>
    </row>
    <row r="1975" spans="1:1">
      <c r="A1975" s="555"/>
    </row>
    <row r="1976" spans="1:1">
      <c r="A1976" s="555"/>
    </row>
    <row r="1977" spans="1:1">
      <c r="A1977" s="555"/>
    </row>
    <row r="1978" spans="1:1">
      <c r="A1978" s="555"/>
    </row>
    <row r="1979" spans="1:1">
      <c r="A1979" s="555"/>
    </row>
    <row r="1980" spans="1:1">
      <c r="A1980" s="555"/>
    </row>
    <row r="1981" spans="1:1">
      <c r="A1981" s="555"/>
    </row>
    <row r="1982" spans="1:1">
      <c r="A1982" s="555"/>
    </row>
    <row r="1983" spans="1:1">
      <c r="A1983" s="555"/>
    </row>
    <row r="1984" spans="1:1">
      <c r="A1984" s="555"/>
    </row>
    <row r="1985" spans="1:1">
      <c r="A1985" s="555"/>
    </row>
    <row r="1986" spans="1:1">
      <c r="A1986" s="555"/>
    </row>
    <row r="1987" spans="1:1">
      <c r="A1987" s="555"/>
    </row>
    <row r="1988" spans="1:1">
      <c r="A1988" s="555"/>
    </row>
    <row r="1989" spans="1:1">
      <c r="A1989" s="555"/>
    </row>
    <row r="1990" spans="1:1">
      <c r="A1990" s="555"/>
    </row>
    <row r="1991" spans="1:1">
      <c r="A1991" s="555"/>
    </row>
    <row r="1992" spans="1:1">
      <c r="A1992" s="555"/>
    </row>
    <row r="1993" spans="1:1">
      <c r="A1993" s="555"/>
    </row>
    <row r="1994" spans="1:1">
      <c r="A1994" s="555"/>
    </row>
    <row r="1995" spans="1:1">
      <c r="A1995" s="555"/>
    </row>
    <row r="1996" spans="1:1">
      <c r="A1996" s="555"/>
    </row>
    <row r="1997" spans="1:1">
      <c r="A1997" s="555"/>
    </row>
    <row r="1998" spans="1:1">
      <c r="A1998" s="555"/>
    </row>
    <row r="1999" spans="1:1">
      <c r="A1999" s="555"/>
    </row>
    <row r="2000" spans="1:1">
      <c r="A2000" s="555"/>
    </row>
    <row r="2001" spans="1:1">
      <c r="A2001" s="555"/>
    </row>
    <row r="2002" spans="1:1">
      <c r="A2002" s="555"/>
    </row>
    <row r="2003" spans="1:1">
      <c r="A2003" s="555"/>
    </row>
    <row r="2004" spans="1:1">
      <c r="A2004" s="555"/>
    </row>
    <row r="2005" spans="1:1">
      <c r="A2005" s="555"/>
    </row>
    <row r="2006" spans="1:1">
      <c r="A2006" s="555"/>
    </row>
    <row r="2007" spans="1:1">
      <c r="A2007" s="555"/>
    </row>
    <row r="2008" spans="1:1">
      <c r="A2008" s="555"/>
    </row>
    <row r="2009" spans="1:1">
      <c r="A2009" s="555"/>
    </row>
    <row r="2010" spans="1:1">
      <c r="A2010" s="555"/>
    </row>
    <row r="2011" spans="1:1">
      <c r="A2011" s="555"/>
    </row>
    <row r="2012" spans="1:1">
      <c r="A2012" s="555"/>
    </row>
    <row r="2013" spans="1:1">
      <c r="A2013" s="555"/>
    </row>
    <row r="2014" spans="1:1">
      <c r="A2014" s="555"/>
    </row>
    <row r="2015" spans="1:1">
      <c r="A2015" s="555"/>
    </row>
    <row r="2016" spans="1:1">
      <c r="A2016" s="555"/>
    </row>
    <row r="2017" spans="1:1">
      <c r="A2017" s="555"/>
    </row>
    <row r="2018" spans="1:1">
      <c r="A2018" s="555"/>
    </row>
    <row r="2019" spans="1:1">
      <c r="A2019" s="555"/>
    </row>
    <row r="2020" spans="1:1">
      <c r="A2020" s="555"/>
    </row>
    <row r="2021" spans="1:1">
      <c r="A2021" s="555"/>
    </row>
    <row r="2022" spans="1:1">
      <c r="A2022" s="555"/>
    </row>
    <row r="2023" spans="1:1">
      <c r="A2023" s="555"/>
    </row>
    <row r="2024" spans="1:1">
      <c r="A2024" s="555"/>
    </row>
    <row r="2025" spans="1:1">
      <c r="A2025" s="555"/>
    </row>
    <row r="2026" spans="1:1">
      <c r="A2026" s="555"/>
    </row>
    <row r="2027" spans="1:1">
      <c r="A2027" s="555"/>
    </row>
    <row r="2028" spans="1:1">
      <c r="A2028" s="555"/>
    </row>
    <row r="2029" spans="1:1">
      <c r="A2029" s="555"/>
    </row>
    <row r="2030" spans="1:1">
      <c r="A2030" s="555"/>
    </row>
    <row r="2031" spans="1:1">
      <c r="A2031" s="555"/>
    </row>
    <row r="2032" spans="1:1">
      <c r="A2032" s="555"/>
    </row>
    <row r="2033" spans="1:1">
      <c r="A2033" s="555"/>
    </row>
    <row r="2034" spans="1:1">
      <c r="A2034" s="555"/>
    </row>
    <row r="2035" spans="1:1">
      <c r="A2035" s="555"/>
    </row>
    <row r="2036" spans="1:1">
      <c r="A2036" s="555"/>
    </row>
    <row r="2037" spans="1:1">
      <c r="A2037" s="555"/>
    </row>
    <row r="2038" spans="1:1">
      <c r="A2038" s="555"/>
    </row>
    <row r="2039" spans="1:1">
      <c r="A2039" s="555"/>
    </row>
    <row r="2040" spans="1:1">
      <c r="A2040" s="555"/>
    </row>
    <row r="2041" spans="1:1">
      <c r="A2041" s="555"/>
    </row>
    <row r="2042" spans="1:1">
      <c r="A2042" s="555"/>
    </row>
    <row r="2043" spans="1:1">
      <c r="A2043" s="555"/>
    </row>
    <row r="2044" spans="1:1">
      <c r="A2044" s="555"/>
    </row>
    <row r="2045" spans="1:1">
      <c r="A2045" s="555"/>
    </row>
    <row r="2046" spans="1:1">
      <c r="A2046" s="555"/>
    </row>
    <row r="2047" spans="1:1">
      <c r="A2047" s="555"/>
    </row>
    <row r="2048" spans="1:1">
      <c r="A2048" s="555"/>
    </row>
    <row r="2049" spans="1:1">
      <c r="A2049" s="555"/>
    </row>
    <row r="2050" spans="1:1">
      <c r="A2050" s="555"/>
    </row>
    <row r="2051" spans="1:1">
      <c r="A2051" s="555"/>
    </row>
    <row r="2052" spans="1:1">
      <c r="A2052" s="555"/>
    </row>
    <row r="2053" spans="1:1">
      <c r="A2053" s="555"/>
    </row>
    <row r="2054" spans="1:1">
      <c r="A2054" s="555"/>
    </row>
    <row r="2055" spans="1:1">
      <c r="A2055" s="555"/>
    </row>
    <row r="2056" spans="1:1">
      <c r="A2056" s="555"/>
    </row>
    <row r="2057" spans="1:1">
      <c r="A2057" s="555"/>
    </row>
    <row r="2058" spans="1:1">
      <c r="A2058" s="555"/>
    </row>
    <row r="2059" spans="1:1">
      <c r="A2059" s="555"/>
    </row>
    <row r="2060" spans="1:1">
      <c r="A2060" s="555"/>
    </row>
    <row r="2061" spans="1:1">
      <c r="A2061" s="555"/>
    </row>
    <row r="2062" spans="1:1">
      <c r="A2062" s="555"/>
    </row>
    <row r="2063" spans="1:1">
      <c r="A2063" s="555"/>
    </row>
    <row r="2064" spans="1:1">
      <c r="A2064" s="555"/>
    </row>
    <row r="2065" spans="1:1">
      <c r="A2065" s="555"/>
    </row>
    <row r="2066" spans="1:1">
      <c r="A2066" s="555"/>
    </row>
    <row r="2067" spans="1:1">
      <c r="A2067" s="555"/>
    </row>
    <row r="2068" spans="1:1">
      <c r="A2068" s="555"/>
    </row>
    <row r="2069" spans="1:1">
      <c r="A2069" s="555"/>
    </row>
    <row r="2070" spans="1:1">
      <c r="A2070" s="555"/>
    </row>
    <row r="2071" spans="1:1">
      <c r="A2071" s="555"/>
    </row>
    <row r="2072" spans="1:1">
      <c r="A2072" s="555"/>
    </row>
    <row r="2073" spans="1:1">
      <c r="A2073" s="555"/>
    </row>
    <row r="2074" spans="1:1">
      <c r="A2074" s="555"/>
    </row>
    <row r="2075" spans="1:1">
      <c r="A2075" s="555"/>
    </row>
    <row r="2076" spans="1:1">
      <c r="A2076" s="555"/>
    </row>
    <row r="2077" spans="1:1">
      <c r="A2077" s="555"/>
    </row>
    <row r="2078" spans="1:1">
      <c r="A2078" s="555"/>
    </row>
    <row r="2079" spans="1:1">
      <c r="A2079" s="555"/>
    </row>
    <row r="2080" spans="1:1">
      <c r="A2080" s="555"/>
    </row>
    <row r="2081" spans="1:1">
      <c r="A2081" s="555"/>
    </row>
    <row r="2082" spans="1:1">
      <c r="A2082" s="555"/>
    </row>
    <row r="2083" spans="1:1">
      <c r="A2083" s="555"/>
    </row>
    <row r="2084" spans="1:1">
      <c r="A2084" s="555"/>
    </row>
    <row r="2085" spans="1:1">
      <c r="A2085" s="555"/>
    </row>
    <row r="2086" spans="1:1">
      <c r="A2086" s="555"/>
    </row>
    <row r="2087" spans="1:1">
      <c r="A2087" s="555"/>
    </row>
    <row r="2088" spans="1:1">
      <c r="A2088" s="555"/>
    </row>
    <row r="2089" spans="1:1">
      <c r="A2089" s="555"/>
    </row>
    <row r="2090" spans="1:1">
      <c r="A2090" s="555"/>
    </row>
    <row r="2091" spans="1:1">
      <c r="A2091" s="555"/>
    </row>
    <row r="2092" spans="1:1">
      <c r="A2092" s="555"/>
    </row>
    <row r="2093" spans="1:1">
      <c r="A2093" s="555"/>
    </row>
    <row r="2094" spans="1:1">
      <c r="A2094" s="555"/>
    </row>
    <row r="2095" spans="1:1">
      <c r="A2095" s="555"/>
    </row>
    <row r="2096" spans="1:1">
      <c r="A2096" s="555"/>
    </row>
    <row r="2097" spans="1:1">
      <c r="A2097" s="555"/>
    </row>
    <row r="2098" spans="1:1">
      <c r="A2098" s="555"/>
    </row>
    <row r="2099" spans="1:1">
      <c r="A2099" s="555"/>
    </row>
    <row r="2100" spans="1:1">
      <c r="A2100" s="555"/>
    </row>
    <row r="2101" spans="1:1">
      <c r="A2101" s="555"/>
    </row>
    <row r="2102" spans="1:1">
      <c r="A2102" s="555"/>
    </row>
    <row r="2103" spans="1:1">
      <c r="A2103" s="555"/>
    </row>
    <row r="2104" spans="1:1">
      <c r="A2104" s="555"/>
    </row>
    <row r="2105" spans="1:1">
      <c r="A2105" s="555"/>
    </row>
    <row r="2106" spans="1:1">
      <c r="A2106" s="555"/>
    </row>
    <row r="2107" spans="1:1">
      <c r="A2107" s="555"/>
    </row>
    <row r="2108" spans="1:1">
      <c r="A2108" s="555"/>
    </row>
    <row r="2109" spans="1:1">
      <c r="A2109" s="555"/>
    </row>
    <row r="2110" spans="1:1">
      <c r="A2110" s="555"/>
    </row>
    <row r="2111" spans="1:1">
      <c r="A2111" s="555"/>
    </row>
    <row r="2112" spans="1:1">
      <c r="A2112" s="555"/>
    </row>
    <row r="2113" spans="1:1">
      <c r="A2113" s="555"/>
    </row>
    <row r="2114" spans="1:1">
      <c r="A2114" s="555"/>
    </row>
    <row r="2115" spans="1:1">
      <c r="A2115" s="555"/>
    </row>
    <row r="2116" spans="1:1">
      <c r="A2116" s="555"/>
    </row>
    <row r="2117" spans="1:1">
      <c r="A2117" s="555"/>
    </row>
    <row r="2118" spans="1:1">
      <c r="A2118" s="555"/>
    </row>
    <row r="2119" spans="1:1">
      <c r="A2119" s="555"/>
    </row>
    <row r="2120" spans="1:1">
      <c r="A2120" s="555"/>
    </row>
    <row r="2121" spans="1:1">
      <c r="A2121" s="555"/>
    </row>
    <row r="2122" spans="1:1">
      <c r="A2122" s="555"/>
    </row>
    <row r="2123" spans="1:1">
      <c r="A2123" s="555"/>
    </row>
    <row r="2124" spans="1:1">
      <c r="A2124" s="555"/>
    </row>
    <row r="2125" spans="1:1">
      <c r="A2125" s="555"/>
    </row>
    <row r="2126" spans="1:1">
      <c r="A2126" s="555"/>
    </row>
    <row r="2127" spans="1:1">
      <c r="A2127" s="555"/>
    </row>
    <row r="2128" spans="1:1">
      <c r="A2128" s="555"/>
    </row>
    <row r="2129" spans="1:1">
      <c r="A2129" s="555"/>
    </row>
    <row r="2130" spans="1:1">
      <c r="A2130" s="555"/>
    </row>
    <row r="2131" spans="1:1">
      <c r="A2131" s="555"/>
    </row>
    <row r="2132" spans="1:1">
      <c r="A2132" s="555"/>
    </row>
    <row r="2133" spans="1:1">
      <c r="A2133" s="555"/>
    </row>
    <row r="2134" spans="1:1">
      <c r="A2134" s="555"/>
    </row>
    <row r="2135" spans="1:1">
      <c r="A2135" s="555"/>
    </row>
    <row r="2136" spans="1:1">
      <c r="A2136" s="555"/>
    </row>
    <row r="2137" spans="1:1">
      <c r="A2137" s="555"/>
    </row>
    <row r="2138" spans="1:1">
      <c r="A2138" s="555"/>
    </row>
    <row r="2139" spans="1:1">
      <c r="A2139" s="555"/>
    </row>
    <row r="2140" spans="1:1">
      <c r="A2140" s="555"/>
    </row>
    <row r="2141" spans="1:1">
      <c r="A2141" s="555"/>
    </row>
    <row r="2142" spans="1:1">
      <c r="A2142" s="555"/>
    </row>
    <row r="2143" spans="1:1">
      <c r="A2143" s="555"/>
    </row>
    <row r="2144" spans="1:1">
      <c r="A2144" s="555"/>
    </row>
    <row r="2145" spans="1:1">
      <c r="A2145" s="555"/>
    </row>
    <row r="2146" spans="1:1">
      <c r="A2146" s="555"/>
    </row>
    <row r="2147" spans="1:1">
      <c r="A2147" s="555"/>
    </row>
    <row r="2148" spans="1:1">
      <c r="A2148" s="555"/>
    </row>
    <row r="2149" spans="1:1">
      <c r="A2149" s="555"/>
    </row>
    <row r="2150" spans="1:1">
      <c r="A2150" s="555"/>
    </row>
    <row r="2151" spans="1:1">
      <c r="A2151" s="555"/>
    </row>
    <row r="2152" spans="1:1">
      <c r="A2152" s="555"/>
    </row>
    <row r="2153" spans="1:1">
      <c r="A2153" s="555"/>
    </row>
    <row r="2154" spans="1:1">
      <c r="A2154" s="555"/>
    </row>
    <row r="2155" spans="1:1">
      <c r="A2155" s="555"/>
    </row>
    <row r="2156" spans="1:1">
      <c r="A2156" s="555"/>
    </row>
    <row r="2157" spans="1:1">
      <c r="A2157" s="555"/>
    </row>
    <row r="2158" spans="1:1">
      <c r="A2158" s="555"/>
    </row>
    <row r="2159" spans="1:1">
      <c r="A2159" s="555"/>
    </row>
    <row r="2160" spans="1:1">
      <c r="A2160" s="555"/>
    </row>
    <row r="2161" spans="1:1">
      <c r="A2161" s="555"/>
    </row>
    <row r="2162" spans="1:1">
      <c r="A2162" s="555"/>
    </row>
    <row r="2163" spans="1:1">
      <c r="A2163" s="555"/>
    </row>
    <row r="2164" spans="1:1">
      <c r="A2164" s="555"/>
    </row>
    <row r="2165" spans="1:1">
      <c r="A2165" s="555"/>
    </row>
    <row r="2166" spans="1:1">
      <c r="A2166" s="555"/>
    </row>
    <row r="2167" spans="1:1">
      <c r="A2167" s="555"/>
    </row>
    <row r="2168" spans="1:1">
      <c r="A2168" s="555"/>
    </row>
    <row r="2169" spans="1:1">
      <c r="A2169" s="555"/>
    </row>
    <row r="2170" spans="1:1">
      <c r="A2170" s="555"/>
    </row>
    <row r="2171" spans="1:1">
      <c r="A2171" s="555"/>
    </row>
    <row r="2172" spans="1:1">
      <c r="A2172" s="555"/>
    </row>
    <row r="2173" spans="1:1">
      <c r="A2173" s="555"/>
    </row>
    <row r="2174" spans="1:1">
      <c r="A2174" s="555"/>
    </row>
    <row r="2175" spans="1:1">
      <c r="A2175" s="555"/>
    </row>
    <row r="2176" spans="1:1">
      <c r="A2176" s="555"/>
    </row>
    <row r="2177" spans="1:1">
      <c r="A2177" s="555"/>
    </row>
    <row r="2178" spans="1:1">
      <c r="A2178" s="555"/>
    </row>
    <row r="2179" spans="1:1">
      <c r="A2179" s="555"/>
    </row>
    <row r="2180" spans="1:1">
      <c r="A2180" s="555"/>
    </row>
    <row r="2181" spans="1:1">
      <c r="A2181" s="555"/>
    </row>
    <row r="2182" spans="1:1">
      <c r="A2182" s="555"/>
    </row>
    <row r="2183" spans="1:1">
      <c r="A2183" s="555"/>
    </row>
    <row r="2184" spans="1:1">
      <c r="A2184" s="555"/>
    </row>
    <row r="2185" spans="1:1">
      <c r="A2185" s="555"/>
    </row>
    <row r="2186" spans="1:1">
      <c r="A2186" s="555"/>
    </row>
    <row r="2187" spans="1:1">
      <c r="A2187" s="555"/>
    </row>
    <row r="2188" spans="1:1">
      <c r="A2188" s="555"/>
    </row>
    <row r="2189" spans="1:1">
      <c r="A2189" s="555"/>
    </row>
    <row r="2190" spans="1:1">
      <c r="A2190" s="555"/>
    </row>
    <row r="2191" spans="1:1">
      <c r="A2191" s="555"/>
    </row>
    <row r="2192" spans="1:1">
      <c r="A2192" s="555"/>
    </row>
    <row r="2193" spans="1:1">
      <c r="A2193" s="555"/>
    </row>
    <row r="2194" spans="1:1">
      <c r="A2194" s="555"/>
    </row>
    <row r="2195" spans="1:1">
      <c r="A2195" s="555"/>
    </row>
    <row r="2196" spans="1:1">
      <c r="A2196" s="555"/>
    </row>
    <row r="2197" spans="1:1">
      <c r="A2197" s="555"/>
    </row>
    <row r="2198" spans="1:1">
      <c r="A2198" s="555"/>
    </row>
    <row r="2199" spans="1:1">
      <c r="A2199" s="555"/>
    </row>
    <row r="2200" spans="1:1">
      <c r="A2200" s="555"/>
    </row>
    <row r="2201" spans="1:1">
      <c r="A2201" s="555"/>
    </row>
    <row r="2202" spans="1:1">
      <c r="A2202" s="555"/>
    </row>
    <row r="2203" spans="1:1">
      <c r="A2203" s="555"/>
    </row>
    <row r="2204" spans="1:1">
      <c r="A2204" s="555"/>
    </row>
    <row r="2205" spans="1:1">
      <c r="A2205" s="555"/>
    </row>
    <row r="2206" spans="1:1">
      <c r="A2206" s="555"/>
    </row>
    <row r="2207" spans="1:1">
      <c r="A2207" s="555"/>
    </row>
    <row r="2208" spans="1:1">
      <c r="A2208" s="555"/>
    </row>
    <row r="2209" spans="1:1">
      <c r="A2209" s="555"/>
    </row>
    <row r="2210" spans="1:1">
      <c r="A2210" s="555"/>
    </row>
    <row r="2211" spans="1:1">
      <c r="A2211" s="555"/>
    </row>
    <row r="2212" spans="1:1">
      <c r="A2212" s="555"/>
    </row>
    <row r="2213" spans="1:1">
      <c r="A2213" s="555"/>
    </row>
    <row r="2214" spans="1:1">
      <c r="A2214" s="555"/>
    </row>
    <row r="2215" spans="1:1">
      <c r="A2215" s="555"/>
    </row>
    <row r="2216" spans="1:1">
      <c r="A2216" s="555"/>
    </row>
    <row r="2217" spans="1:1">
      <c r="A2217" s="555"/>
    </row>
    <row r="2218" spans="1:1">
      <c r="A2218" s="555"/>
    </row>
    <row r="2219" spans="1:1">
      <c r="A2219" s="555"/>
    </row>
    <row r="2220" spans="1:1">
      <c r="A2220" s="555"/>
    </row>
    <row r="2221" spans="1:1">
      <c r="A2221" s="555"/>
    </row>
    <row r="2222" spans="1:1">
      <c r="A2222" s="555"/>
    </row>
    <row r="2223" spans="1:1">
      <c r="A2223" s="555"/>
    </row>
    <row r="2224" spans="1:1">
      <c r="A2224" s="555"/>
    </row>
    <row r="2225" spans="1:1">
      <c r="A2225" s="555"/>
    </row>
    <row r="2226" spans="1:1">
      <c r="A2226" s="555"/>
    </row>
    <row r="2227" spans="1:1">
      <c r="A2227" s="555"/>
    </row>
    <row r="2228" spans="1:1">
      <c r="A2228" s="555"/>
    </row>
    <row r="2229" spans="1:1">
      <c r="A2229" s="555"/>
    </row>
    <row r="2230" spans="1:1">
      <c r="A2230" s="555"/>
    </row>
    <row r="2231" spans="1:1">
      <c r="A2231" s="555"/>
    </row>
    <row r="2232" spans="1:1">
      <c r="A2232" s="555"/>
    </row>
    <row r="2233" spans="1:1">
      <c r="A2233" s="555"/>
    </row>
    <row r="2234" spans="1:1">
      <c r="A2234" s="555"/>
    </row>
    <row r="2235" spans="1:1">
      <c r="A2235" s="555"/>
    </row>
    <row r="2236" spans="1:1">
      <c r="A2236" s="555"/>
    </row>
    <row r="2237" spans="1:1">
      <c r="A2237" s="555"/>
    </row>
    <row r="2238" spans="1:1">
      <c r="A2238" s="555"/>
    </row>
    <row r="2239" spans="1:1">
      <c r="A2239" s="555"/>
    </row>
    <row r="2240" spans="1:1">
      <c r="A2240" s="555"/>
    </row>
    <row r="2241" spans="1:1">
      <c r="A2241" s="555"/>
    </row>
    <row r="2242" spans="1:1">
      <c r="A2242" s="555"/>
    </row>
    <row r="2243" spans="1:1">
      <c r="A2243" s="555"/>
    </row>
    <row r="2244" spans="1:1">
      <c r="A2244" s="555"/>
    </row>
    <row r="2245" spans="1:1">
      <c r="A2245" s="555"/>
    </row>
    <row r="2246" spans="1:1">
      <c r="A2246" s="555"/>
    </row>
    <row r="2247" spans="1:1">
      <c r="A2247" s="555"/>
    </row>
    <row r="2248" spans="1:1">
      <c r="A2248" s="555"/>
    </row>
    <row r="2249" spans="1:1">
      <c r="A2249" s="555"/>
    </row>
    <row r="2250" spans="1:1">
      <c r="A2250" s="555"/>
    </row>
    <row r="2251" spans="1:1">
      <c r="A2251" s="555"/>
    </row>
    <row r="2252" spans="1:1">
      <c r="A2252" s="555"/>
    </row>
    <row r="2253" spans="1:1">
      <c r="A2253" s="555"/>
    </row>
    <row r="2254" spans="1:1">
      <c r="A2254" s="555"/>
    </row>
    <row r="2255" spans="1:1">
      <c r="A2255" s="555"/>
    </row>
    <row r="2256" spans="1:1">
      <c r="A2256" s="555"/>
    </row>
    <row r="2257" spans="1:1">
      <c r="A2257" s="555"/>
    </row>
    <row r="2258" spans="1:1">
      <c r="A2258" s="555"/>
    </row>
    <row r="2259" spans="1:1">
      <c r="A2259" s="555"/>
    </row>
    <row r="2260" spans="1:1">
      <c r="A2260" s="555"/>
    </row>
    <row r="2261" spans="1:1">
      <c r="A2261" s="555"/>
    </row>
    <row r="2262" spans="1:1">
      <c r="A2262" s="555"/>
    </row>
    <row r="2263" spans="1:1">
      <c r="A2263" s="555"/>
    </row>
    <row r="2264" spans="1:1">
      <c r="A2264" s="555"/>
    </row>
    <row r="2265" spans="1:1">
      <c r="A2265" s="555"/>
    </row>
    <row r="2266" spans="1:1">
      <c r="A2266" s="555"/>
    </row>
    <row r="2267" spans="1:1">
      <c r="A2267" s="555"/>
    </row>
    <row r="2268" spans="1:1">
      <c r="A2268" s="555"/>
    </row>
    <row r="2269" spans="1:1">
      <c r="A2269" s="555"/>
    </row>
    <row r="2270" spans="1:1">
      <c r="A2270" s="555"/>
    </row>
    <row r="2271" spans="1:1">
      <c r="A2271" s="555"/>
    </row>
    <row r="2272" spans="1:1">
      <c r="A2272" s="555"/>
    </row>
    <row r="2273" spans="1:1">
      <c r="A2273" s="555"/>
    </row>
    <row r="2274" spans="1:1">
      <c r="A2274" s="555"/>
    </row>
    <row r="2275" spans="1:1">
      <c r="A2275" s="555"/>
    </row>
    <row r="2276" spans="1:1">
      <c r="A2276" s="555"/>
    </row>
    <row r="2277" spans="1:1">
      <c r="A2277" s="555"/>
    </row>
    <row r="2278" spans="1:1">
      <c r="A2278" s="555"/>
    </row>
    <row r="2279" spans="1:1">
      <c r="A2279" s="555"/>
    </row>
    <row r="2280" spans="1:1">
      <c r="A2280" s="555"/>
    </row>
    <row r="2281" spans="1:1">
      <c r="A2281" s="555"/>
    </row>
    <row r="2282" spans="1:1">
      <c r="A2282" s="555"/>
    </row>
    <row r="2283" spans="1:1">
      <c r="A2283" s="555"/>
    </row>
    <row r="2284" spans="1:1">
      <c r="A2284" s="555"/>
    </row>
    <row r="2285" spans="1:1">
      <c r="A2285" s="555"/>
    </row>
    <row r="2286" spans="1:1">
      <c r="A2286" s="555"/>
    </row>
    <row r="2287" spans="1:1">
      <c r="A2287" s="555"/>
    </row>
    <row r="2288" spans="1:1">
      <c r="A2288" s="555"/>
    </row>
    <row r="2289" spans="1:1">
      <c r="A2289" s="555"/>
    </row>
    <row r="2290" spans="1:1">
      <c r="A2290" s="555"/>
    </row>
    <row r="2291" spans="1:1">
      <c r="A2291" s="555"/>
    </row>
    <row r="2292" spans="1:1">
      <c r="A2292" s="555"/>
    </row>
    <row r="2293" spans="1:1">
      <c r="A2293" s="555"/>
    </row>
    <row r="2294" spans="1:1">
      <c r="A2294" s="555"/>
    </row>
    <row r="2295" spans="1:1">
      <c r="A2295" s="555"/>
    </row>
    <row r="2296" spans="1:1">
      <c r="A2296" s="555"/>
    </row>
    <row r="2297" spans="1:1">
      <c r="A2297" s="555"/>
    </row>
    <row r="2298" spans="1:1">
      <c r="A2298" s="555"/>
    </row>
    <row r="2299" spans="1:1">
      <c r="A2299" s="555"/>
    </row>
    <row r="2300" spans="1:1">
      <c r="A2300" s="555"/>
    </row>
    <row r="2301" spans="1:1">
      <c r="A2301" s="555"/>
    </row>
    <row r="2302" spans="1:1">
      <c r="A2302" s="555"/>
    </row>
    <row r="2303" spans="1:1">
      <c r="A2303" s="555"/>
    </row>
    <row r="2304" spans="1:1">
      <c r="A2304" s="555"/>
    </row>
    <row r="2305" spans="1:1">
      <c r="A2305" s="555"/>
    </row>
    <row r="2306" spans="1:1">
      <c r="A2306" s="555"/>
    </row>
    <row r="2307" spans="1:1">
      <c r="A2307" s="555"/>
    </row>
    <row r="2308" spans="1:1">
      <c r="A2308" s="555"/>
    </row>
    <row r="2309" spans="1:1">
      <c r="A2309" s="555"/>
    </row>
    <row r="2310" spans="1:1">
      <c r="A2310" s="555"/>
    </row>
    <row r="2311" spans="1:1">
      <c r="A2311" s="555"/>
    </row>
    <row r="2312" spans="1:1">
      <c r="A2312" s="555"/>
    </row>
    <row r="2313" spans="1:1">
      <c r="A2313" s="555"/>
    </row>
    <row r="2314" spans="1:1">
      <c r="A2314" s="555"/>
    </row>
    <row r="2315" spans="1:1">
      <c r="A2315" s="555"/>
    </row>
    <row r="2316" spans="1:1">
      <c r="A2316" s="555"/>
    </row>
    <row r="2317" spans="1:1">
      <c r="A2317" s="555"/>
    </row>
    <row r="2318" spans="1:1">
      <c r="A2318" s="555"/>
    </row>
    <row r="2319" spans="1:1">
      <c r="A2319" s="555"/>
    </row>
    <row r="2320" spans="1:1">
      <c r="A2320" s="555"/>
    </row>
    <row r="2321" spans="1:1">
      <c r="A2321" s="555"/>
    </row>
    <row r="2322" spans="1:1">
      <c r="A2322" s="555"/>
    </row>
    <row r="2323" spans="1:1">
      <c r="A2323" s="555"/>
    </row>
    <row r="2324" spans="1:1">
      <c r="A2324" s="555"/>
    </row>
    <row r="2325" spans="1:1">
      <c r="A2325" s="555"/>
    </row>
    <row r="2326" spans="1:1">
      <c r="A2326" s="555"/>
    </row>
    <row r="2327" spans="1:1">
      <c r="A2327" s="555"/>
    </row>
    <row r="2328" spans="1:1">
      <c r="A2328" s="555"/>
    </row>
    <row r="2329" spans="1:1">
      <c r="A2329" s="555"/>
    </row>
    <row r="2330" spans="1:1">
      <c r="A2330" s="555"/>
    </row>
    <row r="2331" spans="1:1">
      <c r="A2331" s="555"/>
    </row>
    <row r="2332" spans="1:1">
      <c r="A2332" s="555"/>
    </row>
    <row r="2333" spans="1:1">
      <c r="A2333" s="555"/>
    </row>
    <row r="2334" spans="1:1">
      <c r="A2334" s="555"/>
    </row>
    <row r="2335" spans="1:1">
      <c r="A2335" s="555"/>
    </row>
    <row r="2336" spans="1:1">
      <c r="A2336" s="555"/>
    </row>
    <row r="2337" spans="1:1">
      <c r="A2337" s="555"/>
    </row>
    <row r="2338" spans="1:1">
      <c r="A2338" s="555"/>
    </row>
    <row r="2339" spans="1:1">
      <c r="A2339" s="555"/>
    </row>
    <row r="2340" spans="1:1">
      <c r="A2340" s="555"/>
    </row>
    <row r="2341" spans="1:1">
      <c r="A2341" s="555"/>
    </row>
    <row r="2342" spans="1:1">
      <c r="A2342" s="555"/>
    </row>
    <row r="2343" spans="1:1">
      <c r="A2343" s="555"/>
    </row>
    <row r="2344" spans="1:1">
      <c r="A2344" s="555"/>
    </row>
    <row r="2345" spans="1:1">
      <c r="A2345" s="555"/>
    </row>
    <row r="2346" spans="1:1">
      <c r="A2346" s="555"/>
    </row>
    <row r="2347" spans="1:1">
      <c r="A2347" s="555"/>
    </row>
    <row r="2348" spans="1:1">
      <c r="A2348" s="555"/>
    </row>
    <row r="2349" spans="1:1">
      <c r="A2349" s="555"/>
    </row>
    <row r="2350" spans="1:1">
      <c r="A2350" s="555"/>
    </row>
    <row r="2351" spans="1:1">
      <c r="A2351" s="555"/>
    </row>
    <row r="2352" spans="1:1">
      <c r="A2352" s="555"/>
    </row>
    <row r="2353" spans="1:1">
      <c r="A2353" s="555"/>
    </row>
    <row r="2354" spans="1:1">
      <c r="A2354" s="555"/>
    </row>
    <row r="2355" spans="1:1">
      <c r="A2355" s="555"/>
    </row>
    <row r="2356" spans="1:1">
      <c r="A2356" s="555"/>
    </row>
    <row r="2357" spans="1:1">
      <c r="A2357" s="555"/>
    </row>
    <row r="2358" spans="1:1">
      <c r="A2358" s="555"/>
    </row>
    <row r="2359" spans="1:1">
      <c r="A2359" s="555"/>
    </row>
    <row r="2360" spans="1:1">
      <c r="A2360" s="555"/>
    </row>
    <row r="2361" spans="1:1">
      <c r="A2361" s="555"/>
    </row>
    <row r="2362" spans="1:1">
      <c r="A2362" s="555"/>
    </row>
    <row r="2363" spans="1:1">
      <c r="A2363" s="555"/>
    </row>
    <row r="2364" spans="1:1">
      <c r="A2364" s="555"/>
    </row>
    <row r="2365" spans="1:1">
      <c r="A2365" s="555"/>
    </row>
    <row r="2366" spans="1:1">
      <c r="A2366" s="555"/>
    </row>
    <row r="2367" spans="1:1">
      <c r="A2367" s="555"/>
    </row>
    <row r="2368" spans="1:1">
      <c r="A2368" s="555"/>
    </row>
    <row r="2369" spans="1:1">
      <c r="A2369" s="555"/>
    </row>
    <row r="2370" spans="1:1">
      <c r="A2370" s="555"/>
    </row>
    <row r="2371" spans="1:1">
      <c r="A2371" s="555"/>
    </row>
    <row r="2372" spans="1:1">
      <c r="A2372" s="555"/>
    </row>
    <row r="2373" spans="1:1">
      <c r="A2373" s="555"/>
    </row>
    <row r="2374" spans="1:1">
      <c r="A2374" s="555"/>
    </row>
    <row r="2375" spans="1:1">
      <c r="A2375" s="555"/>
    </row>
    <row r="2376" spans="1:1">
      <c r="A2376" s="555"/>
    </row>
    <row r="2377" spans="1:1">
      <c r="A2377" s="555"/>
    </row>
    <row r="2378" spans="1:1">
      <c r="A2378" s="555"/>
    </row>
    <row r="2379" spans="1:1">
      <c r="A2379" s="555"/>
    </row>
    <row r="2380" spans="1:1">
      <c r="A2380" s="555"/>
    </row>
    <row r="2381" spans="1:1">
      <c r="A2381" s="555"/>
    </row>
    <row r="2382" spans="1:1">
      <c r="A2382" s="555"/>
    </row>
    <row r="2383" spans="1:1">
      <c r="A2383" s="555"/>
    </row>
    <row r="2384" spans="1:1">
      <c r="A2384" s="555"/>
    </row>
    <row r="2385" spans="1:1">
      <c r="A2385" s="555"/>
    </row>
    <row r="2386" spans="1:1">
      <c r="A2386" s="555"/>
    </row>
    <row r="2387" spans="1:1">
      <c r="A2387" s="555"/>
    </row>
    <row r="2388" spans="1:1">
      <c r="A2388" s="555"/>
    </row>
    <row r="2389" spans="1:1">
      <c r="A2389" s="555"/>
    </row>
    <row r="2390" spans="1:1">
      <c r="A2390" s="555"/>
    </row>
    <row r="2391" spans="1:1">
      <c r="A2391" s="555"/>
    </row>
    <row r="2392" spans="1:1">
      <c r="A2392" s="555"/>
    </row>
    <row r="2393" spans="1:1">
      <c r="A2393" s="555"/>
    </row>
    <row r="2394" spans="1:1">
      <c r="A2394" s="555"/>
    </row>
    <row r="2395" spans="1:1">
      <c r="A2395" s="555"/>
    </row>
    <row r="2396" spans="1:1">
      <c r="A2396" s="555"/>
    </row>
    <row r="2397" spans="1:1">
      <c r="A2397" s="555"/>
    </row>
    <row r="2398" spans="1:1">
      <c r="A2398" s="555"/>
    </row>
    <row r="2399" spans="1:1">
      <c r="A2399" s="555"/>
    </row>
    <row r="2400" spans="1:1">
      <c r="A2400" s="555"/>
    </row>
    <row r="2401" spans="1:1">
      <c r="A2401" s="555"/>
    </row>
    <row r="2402" spans="1:1">
      <c r="A2402" s="555"/>
    </row>
    <row r="2403" spans="1:1">
      <c r="A2403" s="555"/>
    </row>
    <row r="2404" spans="1:1">
      <c r="A2404" s="555"/>
    </row>
    <row r="2405" spans="1:1">
      <c r="A2405" s="555"/>
    </row>
    <row r="2406" spans="1:1">
      <c r="A2406" s="555"/>
    </row>
    <row r="2407" spans="1:1">
      <c r="A2407" s="555"/>
    </row>
    <row r="2408" spans="1:1">
      <c r="A2408" s="555"/>
    </row>
    <row r="2409" spans="1:1">
      <c r="A2409" s="555"/>
    </row>
    <row r="2410" spans="1:1">
      <c r="A2410" s="555"/>
    </row>
    <row r="2411" spans="1:1">
      <c r="A2411" s="555"/>
    </row>
    <row r="2412" spans="1:1">
      <c r="A2412" s="555"/>
    </row>
    <row r="2413" spans="1:1">
      <c r="A2413" s="555"/>
    </row>
    <row r="2414" spans="1:1">
      <c r="A2414" s="555"/>
    </row>
    <row r="2415" spans="1:1">
      <c r="A2415" s="555"/>
    </row>
    <row r="2416" spans="1:1">
      <c r="A2416" s="555"/>
    </row>
    <row r="2417" spans="1:1">
      <c r="A2417" s="555"/>
    </row>
    <row r="2418" spans="1:1">
      <c r="A2418" s="555"/>
    </row>
    <row r="2419" spans="1:1">
      <c r="A2419" s="555"/>
    </row>
    <row r="2420" spans="1:1">
      <c r="A2420" s="555"/>
    </row>
    <row r="2421" spans="1:1">
      <c r="A2421" s="555"/>
    </row>
    <row r="2422" spans="1:1">
      <c r="A2422" s="555"/>
    </row>
    <row r="2423" spans="1:1">
      <c r="A2423" s="555"/>
    </row>
    <row r="2424" spans="1:1">
      <c r="A2424" s="555"/>
    </row>
    <row r="2425" spans="1:1">
      <c r="A2425" s="555"/>
    </row>
    <row r="2426" spans="1:1">
      <c r="A2426" s="555"/>
    </row>
    <row r="2427" spans="1:1">
      <c r="A2427" s="555"/>
    </row>
    <row r="2428" spans="1:1">
      <c r="A2428" s="555"/>
    </row>
    <row r="2429" spans="1:1">
      <c r="A2429" s="555"/>
    </row>
    <row r="2430" spans="1:1">
      <c r="A2430" s="555"/>
    </row>
    <row r="2431" spans="1:1">
      <c r="A2431" s="555"/>
    </row>
    <row r="2432" spans="1:1">
      <c r="A2432" s="555"/>
    </row>
    <row r="2433" spans="1:1">
      <c r="A2433" s="555"/>
    </row>
    <row r="2434" spans="1:1">
      <c r="A2434" s="555"/>
    </row>
    <row r="2435" spans="1:1">
      <c r="A2435" s="555"/>
    </row>
    <row r="2436" spans="1:1">
      <c r="A2436" s="555"/>
    </row>
    <row r="2437" spans="1:1">
      <c r="A2437" s="555"/>
    </row>
    <row r="2438" spans="1:1">
      <c r="A2438" s="555"/>
    </row>
    <row r="2439" spans="1:1">
      <c r="A2439" s="555"/>
    </row>
    <row r="2440" spans="1:1">
      <c r="A2440" s="555"/>
    </row>
    <row r="2441" spans="1:1">
      <c r="A2441" s="555"/>
    </row>
    <row r="2442" spans="1:1">
      <c r="A2442" s="555"/>
    </row>
    <row r="2443" spans="1:1">
      <c r="A2443" s="555"/>
    </row>
    <row r="2444" spans="1:1">
      <c r="A2444" s="555"/>
    </row>
    <row r="2445" spans="1:1">
      <c r="A2445" s="555"/>
    </row>
    <row r="2446" spans="1:1">
      <c r="A2446" s="555"/>
    </row>
    <row r="2447" spans="1:1">
      <c r="A2447" s="555"/>
    </row>
    <row r="2448" spans="1:1">
      <c r="A2448" s="555"/>
    </row>
    <row r="2449" spans="1:1">
      <c r="A2449" s="555"/>
    </row>
    <row r="2450" spans="1:1">
      <c r="A2450" s="555"/>
    </row>
    <row r="2451" spans="1:1">
      <c r="A2451" s="555"/>
    </row>
    <row r="2452" spans="1:1">
      <c r="A2452" s="555"/>
    </row>
    <row r="2453" spans="1:1">
      <c r="A2453" s="555"/>
    </row>
    <row r="2454" spans="1:1">
      <c r="A2454" s="555"/>
    </row>
    <row r="2455" spans="1:1">
      <c r="A2455" s="555"/>
    </row>
    <row r="2456" spans="1:1">
      <c r="A2456" s="555"/>
    </row>
    <row r="2457" spans="1:1">
      <c r="A2457" s="555"/>
    </row>
    <row r="2458" spans="1:1">
      <c r="A2458" s="555"/>
    </row>
    <row r="2459" spans="1:1">
      <c r="A2459" s="555"/>
    </row>
    <row r="2460" spans="1:1">
      <c r="A2460" s="555"/>
    </row>
    <row r="2461" spans="1:1">
      <c r="A2461" s="555"/>
    </row>
    <row r="2462" spans="1:1">
      <c r="A2462" s="555"/>
    </row>
    <row r="2463" spans="1:1">
      <c r="A2463" s="555"/>
    </row>
    <row r="2464" spans="1:1">
      <c r="A2464" s="555"/>
    </row>
    <row r="2465" spans="1:1">
      <c r="A2465" s="555"/>
    </row>
    <row r="2466" spans="1:1">
      <c r="A2466" s="555"/>
    </row>
    <row r="2467" spans="1:1">
      <c r="A2467" s="555"/>
    </row>
    <row r="2468" spans="1:1">
      <c r="A2468" s="555"/>
    </row>
    <row r="2469" spans="1:1">
      <c r="A2469" s="555"/>
    </row>
    <row r="2470" spans="1:1">
      <c r="A2470" s="555"/>
    </row>
    <row r="2471" spans="1:1">
      <c r="A2471" s="555"/>
    </row>
    <row r="2472" spans="1:1">
      <c r="A2472" s="555"/>
    </row>
    <row r="2473" spans="1:1">
      <c r="A2473" s="555"/>
    </row>
    <row r="2474" spans="1:1">
      <c r="A2474" s="555"/>
    </row>
    <row r="2475" spans="1:1">
      <c r="A2475" s="555"/>
    </row>
    <row r="2476" spans="1:1">
      <c r="A2476" s="555"/>
    </row>
    <row r="2477" spans="1:1">
      <c r="A2477" s="555"/>
    </row>
    <row r="2478" spans="1:1">
      <c r="A2478" s="555"/>
    </row>
    <row r="2479" spans="1:1">
      <c r="A2479" s="555"/>
    </row>
    <row r="2480" spans="1:1">
      <c r="A2480" s="555"/>
    </row>
    <row r="2481" spans="1:1">
      <c r="A2481" s="555"/>
    </row>
    <row r="2482" spans="1:1">
      <c r="A2482" s="555"/>
    </row>
    <row r="2483" spans="1:1">
      <c r="A2483" s="555"/>
    </row>
    <row r="2484" spans="1:1">
      <c r="A2484" s="555"/>
    </row>
    <row r="2485" spans="1:1">
      <c r="A2485" s="555"/>
    </row>
    <row r="2486" spans="1:1">
      <c r="A2486" s="555"/>
    </row>
    <row r="2487" spans="1:1">
      <c r="A2487" s="555"/>
    </row>
    <row r="2488" spans="1:1">
      <c r="A2488" s="555"/>
    </row>
    <row r="2489" spans="1:1">
      <c r="A2489" s="555"/>
    </row>
    <row r="2490" spans="1:1">
      <c r="A2490" s="555"/>
    </row>
    <row r="2491" spans="1:1">
      <c r="A2491" s="555"/>
    </row>
    <row r="2492" spans="1:1">
      <c r="A2492" s="555"/>
    </row>
    <row r="2493" spans="1:1">
      <c r="A2493" s="555"/>
    </row>
    <row r="2494" spans="1:1">
      <c r="A2494" s="555"/>
    </row>
    <row r="2495" spans="1:1">
      <c r="A2495" s="555"/>
    </row>
    <row r="2496" spans="1:1">
      <c r="A2496" s="555"/>
    </row>
    <row r="2497" spans="1:1">
      <c r="A2497" s="555"/>
    </row>
    <row r="2498" spans="1:1">
      <c r="A2498" s="555"/>
    </row>
    <row r="2499" spans="1:1">
      <c r="A2499" s="555"/>
    </row>
    <row r="2500" spans="1:1">
      <c r="A2500" s="555"/>
    </row>
    <row r="2501" spans="1:1">
      <c r="A2501" s="555"/>
    </row>
    <row r="2502" spans="1:1">
      <c r="A2502" s="555"/>
    </row>
    <row r="2503" spans="1:1">
      <c r="A2503" s="555"/>
    </row>
    <row r="2504" spans="1:1">
      <c r="A2504" s="555"/>
    </row>
    <row r="2505" spans="1:1">
      <c r="A2505" s="555"/>
    </row>
    <row r="2506" spans="1:1">
      <c r="A2506" s="555"/>
    </row>
    <row r="2507" spans="1:1">
      <c r="A2507" s="555"/>
    </row>
    <row r="2508" spans="1:1">
      <c r="A2508" s="555"/>
    </row>
    <row r="2509" spans="1:1">
      <c r="A2509" s="555"/>
    </row>
    <row r="2510" spans="1:1">
      <c r="A2510" s="555"/>
    </row>
    <row r="2511" spans="1:1">
      <c r="A2511" s="555"/>
    </row>
    <row r="2512" spans="1:1">
      <c r="A2512" s="555"/>
    </row>
    <row r="2513" spans="1:1">
      <c r="A2513" s="555"/>
    </row>
    <row r="2514" spans="1:1">
      <c r="A2514" s="555"/>
    </row>
    <row r="2515" spans="1:1">
      <c r="A2515" s="555"/>
    </row>
    <row r="2516" spans="1:1">
      <c r="A2516" s="555"/>
    </row>
    <row r="2517" spans="1:1">
      <c r="A2517" s="555"/>
    </row>
    <row r="2518" spans="1:1">
      <c r="A2518" s="555"/>
    </row>
    <row r="2519" spans="1:1">
      <c r="A2519" s="555"/>
    </row>
    <row r="2520" spans="1:1">
      <c r="A2520" s="555"/>
    </row>
    <row r="2521" spans="1:1">
      <c r="A2521" s="555"/>
    </row>
    <row r="2522" spans="1:1">
      <c r="A2522" s="555"/>
    </row>
    <row r="2523" spans="1:1">
      <c r="A2523" s="555"/>
    </row>
    <row r="2524" spans="1:1">
      <c r="A2524" s="555"/>
    </row>
    <row r="2525" spans="1:1">
      <c r="A2525" s="555"/>
    </row>
    <row r="2526" spans="1:1">
      <c r="A2526" s="555"/>
    </row>
    <row r="2527" spans="1:1">
      <c r="A2527" s="555"/>
    </row>
    <row r="2528" spans="1:1">
      <c r="A2528" s="555"/>
    </row>
    <row r="2529" spans="1:1">
      <c r="A2529" s="555"/>
    </row>
    <row r="2530" spans="1:1">
      <c r="A2530" s="555"/>
    </row>
    <row r="2531" spans="1:1">
      <c r="A2531" s="555"/>
    </row>
    <row r="2532" spans="1:1">
      <c r="A2532" s="555"/>
    </row>
    <row r="2533" spans="1:1">
      <c r="A2533" s="555"/>
    </row>
    <row r="2534" spans="1:1">
      <c r="A2534" s="555"/>
    </row>
    <row r="2535" spans="1:1">
      <c r="A2535" s="555"/>
    </row>
    <row r="2536" spans="1:1">
      <c r="A2536" s="555"/>
    </row>
    <row r="2537" spans="1:1">
      <c r="A2537" s="555"/>
    </row>
    <row r="2538" spans="1:1">
      <c r="A2538" s="555"/>
    </row>
    <row r="2539" spans="1:1">
      <c r="A2539" s="555"/>
    </row>
    <row r="2540" spans="1:1">
      <c r="A2540" s="555"/>
    </row>
    <row r="2541" spans="1:1">
      <c r="A2541" s="555"/>
    </row>
    <row r="2542" spans="1:1">
      <c r="A2542" s="555"/>
    </row>
    <row r="2543" spans="1:1">
      <c r="A2543" s="555"/>
    </row>
    <row r="2544" spans="1:1">
      <c r="A2544" s="555"/>
    </row>
    <row r="2545" spans="1:1">
      <c r="A2545" s="555"/>
    </row>
    <row r="2546" spans="1:1">
      <c r="A2546" s="555"/>
    </row>
    <row r="2547" spans="1:1">
      <c r="A2547" s="555"/>
    </row>
    <row r="2548" spans="1:1">
      <c r="A2548" s="555"/>
    </row>
    <row r="2549" spans="1:1">
      <c r="A2549" s="555"/>
    </row>
    <row r="2550" spans="1:1">
      <c r="A2550" s="555"/>
    </row>
    <row r="2551" spans="1:1">
      <c r="A2551" s="555"/>
    </row>
    <row r="2552" spans="1:1">
      <c r="A2552" s="555"/>
    </row>
    <row r="2553" spans="1:1">
      <c r="A2553" s="555"/>
    </row>
    <row r="2554" spans="1:1">
      <c r="A2554" s="555"/>
    </row>
    <row r="2555" spans="1:1">
      <c r="A2555" s="555"/>
    </row>
    <row r="2556" spans="1:1">
      <c r="A2556" s="555"/>
    </row>
    <row r="2557" spans="1:1">
      <c r="A2557" s="555"/>
    </row>
    <row r="2558" spans="1:1">
      <c r="A2558" s="555"/>
    </row>
    <row r="2559" spans="1:1">
      <c r="A2559" s="555"/>
    </row>
    <row r="2560" spans="1:1">
      <c r="A2560" s="555"/>
    </row>
    <row r="2561" spans="1:1">
      <c r="A2561" s="555"/>
    </row>
    <row r="2562" spans="1:1">
      <c r="A2562" s="555"/>
    </row>
    <row r="2563" spans="1:1">
      <c r="A2563" s="555"/>
    </row>
    <row r="2564" spans="1:1">
      <c r="A2564" s="555"/>
    </row>
    <row r="2565" spans="1:1">
      <c r="A2565" s="555"/>
    </row>
    <row r="2566" spans="1:1">
      <c r="A2566" s="555"/>
    </row>
    <row r="2567" spans="1:1">
      <c r="A2567" s="555"/>
    </row>
    <row r="2568" spans="1:1">
      <c r="A2568" s="555"/>
    </row>
    <row r="2569" spans="1:1">
      <c r="A2569" s="555"/>
    </row>
    <row r="2570" spans="1:1">
      <c r="A2570" s="555"/>
    </row>
    <row r="2571" spans="1:1">
      <c r="A2571" s="555"/>
    </row>
    <row r="2572" spans="1:1">
      <c r="A2572" s="555"/>
    </row>
    <row r="2573" spans="1:1">
      <c r="A2573" s="555"/>
    </row>
    <row r="2574" spans="1:1">
      <c r="A2574" s="555"/>
    </row>
    <row r="2575" spans="1:1">
      <c r="A2575" s="555"/>
    </row>
    <row r="2576" spans="1:1">
      <c r="A2576" s="555"/>
    </row>
    <row r="2577" spans="1:1">
      <c r="A2577" s="555"/>
    </row>
    <row r="2578" spans="1:1">
      <c r="A2578" s="555"/>
    </row>
    <row r="2579" spans="1:1">
      <c r="A2579" s="555"/>
    </row>
    <row r="2580" spans="1:1">
      <c r="A2580" s="555"/>
    </row>
    <row r="2581" spans="1:1">
      <c r="A2581" s="555"/>
    </row>
    <row r="2582" spans="1:1">
      <c r="A2582" s="555"/>
    </row>
    <row r="2583" spans="1:1">
      <c r="A2583" s="555"/>
    </row>
    <row r="2584" spans="1:1">
      <c r="A2584" s="555"/>
    </row>
    <row r="2585" spans="1:1">
      <c r="A2585" s="555"/>
    </row>
    <row r="2586" spans="1:1">
      <c r="A2586" s="555"/>
    </row>
    <row r="2587" spans="1:1">
      <c r="A2587" s="555"/>
    </row>
    <row r="2588" spans="1:1">
      <c r="A2588" s="555"/>
    </row>
    <row r="2589" spans="1:1">
      <c r="A2589" s="555"/>
    </row>
    <row r="2590" spans="1:1">
      <c r="A2590" s="555"/>
    </row>
    <row r="2591" spans="1:1">
      <c r="A2591" s="555"/>
    </row>
    <row r="2592" spans="1:1">
      <c r="A2592" s="555"/>
    </row>
    <row r="2593" spans="1:1">
      <c r="A2593" s="555"/>
    </row>
    <row r="2594" spans="1:1">
      <c r="A2594" s="555"/>
    </row>
    <row r="2595" spans="1:1">
      <c r="A2595" s="555"/>
    </row>
    <row r="2596" spans="1:1">
      <c r="A2596" s="555"/>
    </row>
    <row r="2597" spans="1:1">
      <c r="A2597" s="555"/>
    </row>
    <row r="2598" spans="1:1">
      <c r="A2598" s="555"/>
    </row>
    <row r="2599" spans="1:1">
      <c r="A2599" s="555"/>
    </row>
    <row r="2600" spans="1:1">
      <c r="A2600" s="555"/>
    </row>
    <row r="2601" spans="1:1">
      <c r="A2601" s="555"/>
    </row>
    <row r="2602" spans="1:1">
      <c r="A2602" s="555"/>
    </row>
    <row r="2603" spans="1:1">
      <c r="A2603" s="555"/>
    </row>
    <row r="2604" spans="1:1">
      <c r="A2604" s="555"/>
    </row>
    <row r="2605" spans="1:1">
      <c r="A2605" s="555"/>
    </row>
    <row r="2606" spans="1:1">
      <c r="A2606" s="555"/>
    </row>
    <row r="2607" spans="1:1">
      <c r="A2607" s="555"/>
    </row>
    <row r="2608" spans="1:1">
      <c r="A2608" s="555"/>
    </row>
    <row r="2609" spans="1:1">
      <c r="A2609" s="555"/>
    </row>
    <row r="2610" spans="1:1">
      <c r="A2610" s="555"/>
    </row>
    <row r="2611" spans="1:1">
      <c r="A2611" s="555"/>
    </row>
    <row r="2612" spans="1:1">
      <c r="A2612" s="555"/>
    </row>
    <row r="2613" spans="1:1">
      <c r="A2613" s="555"/>
    </row>
    <row r="2614" spans="1:1">
      <c r="A2614" s="555"/>
    </row>
    <row r="2615" spans="1:1">
      <c r="A2615" s="555"/>
    </row>
    <row r="2616" spans="1:1">
      <c r="A2616" s="555"/>
    </row>
    <row r="2617" spans="1:1">
      <c r="A2617" s="555"/>
    </row>
    <row r="2618" spans="1:1">
      <c r="A2618" s="555"/>
    </row>
    <row r="2619" spans="1:1">
      <c r="A2619" s="555"/>
    </row>
    <row r="2620" spans="1:1">
      <c r="A2620" s="555"/>
    </row>
    <row r="2621" spans="1:1">
      <c r="A2621" s="555"/>
    </row>
    <row r="2622" spans="1:1">
      <c r="A2622" s="555"/>
    </row>
    <row r="2623" spans="1:1">
      <c r="A2623" s="555"/>
    </row>
    <row r="2624" spans="1:1">
      <c r="A2624" s="555"/>
    </row>
    <row r="2625" spans="1:1">
      <c r="A2625" s="555"/>
    </row>
    <row r="2626" spans="1:1">
      <c r="A2626" s="555"/>
    </row>
    <row r="2627" spans="1:1">
      <c r="A2627" s="555"/>
    </row>
    <row r="2628" spans="1:1">
      <c r="A2628" s="555"/>
    </row>
    <row r="2629" spans="1:1">
      <c r="A2629" s="555"/>
    </row>
    <row r="2630" spans="1:1">
      <c r="A2630" s="555"/>
    </row>
    <row r="2631" spans="1:1">
      <c r="A2631" s="555"/>
    </row>
    <row r="2632" spans="1:1">
      <c r="A2632" s="555"/>
    </row>
    <row r="2633" spans="1:1">
      <c r="A2633" s="555"/>
    </row>
    <row r="2634" spans="1:1">
      <c r="A2634" s="555"/>
    </row>
    <row r="2635" spans="1:1">
      <c r="A2635" s="555"/>
    </row>
    <row r="2636" spans="1:1">
      <c r="A2636" s="555"/>
    </row>
    <row r="2637" spans="1:1">
      <c r="A2637" s="555"/>
    </row>
    <row r="2638" spans="1:1">
      <c r="A2638" s="555"/>
    </row>
    <row r="2639" spans="1:1">
      <c r="A2639" s="555"/>
    </row>
    <row r="2640" spans="1:1">
      <c r="A2640" s="555"/>
    </row>
    <row r="2641" spans="1:1">
      <c r="A2641" s="555"/>
    </row>
    <row r="2642" spans="1:1">
      <c r="A2642" s="555"/>
    </row>
    <row r="2643" spans="1:1">
      <c r="A2643" s="555"/>
    </row>
    <row r="2644" spans="1:1">
      <c r="A2644" s="555"/>
    </row>
    <row r="2645" spans="1:1">
      <c r="A2645" s="555"/>
    </row>
    <row r="2646" spans="1:1">
      <c r="A2646" s="555"/>
    </row>
    <row r="2647" spans="1:1">
      <c r="A2647" s="555"/>
    </row>
    <row r="2648" spans="1:1">
      <c r="A2648" s="555"/>
    </row>
    <row r="2649" spans="1:1">
      <c r="A2649" s="555"/>
    </row>
    <row r="2650" spans="1:1">
      <c r="A2650" s="555"/>
    </row>
    <row r="2651" spans="1:1">
      <c r="A2651" s="555"/>
    </row>
    <row r="2652" spans="1:1">
      <c r="A2652" s="555"/>
    </row>
    <row r="2653" spans="1:1">
      <c r="A2653" s="555"/>
    </row>
    <row r="2654" spans="1:1">
      <c r="A2654" s="555"/>
    </row>
    <row r="2655" spans="1:1">
      <c r="A2655" s="555"/>
    </row>
    <row r="2656" spans="1:1">
      <c r="A2656" s="555"/>
    </row>
    <row r="2657" spans="1:1">
      <c r="A2657" s="555"/>
    </row>
    <row r="2658" spans="1:1">
      <c r="A2658" s="555"/>
    </row>
    <row r="2659" spans="1:1">
      <c r="A2659" s="555"/>
    </row>
    <row r="2660" spans="1:1">
      <c r="A2660" s="555"/>
    </row>
    <row r="2661" spans="1:1">
      <c r="A2661" s="555"/>
    </row>
    <row r="2662" spans="1:1">
      <c r="A2662" s="555"/>
    </row>
    <row r="2663" spans="1:1">
      <c r="A2663" s="555"/>
    </row>
    <row r="2664" spans="1:1">
      <c r="A2664" s="555"/>
    </row>
    <row r="2665" spans="1:1">
      <c r="A2665" s="555"/>
    </row>
    <row r="2666" spans="1:1">
      <c r="A2666" s="555"/>
    </row>
    <row r="2667" spans="1:1">
      <c r="A2667" s="555"/>
    </row>
    <row r="2668" spans="1:1">
      <c r="A2668" s="555"/>
    </row>
    <row r="2669" spans="1:1">
      <c r="A2669" s="555"/>
    </row>
    <row r="2670" spans="1:1">
      <c r="A2670" s="555"/>
    </row>
    <row r="2671" spans="1:1">
      <c r="A2671" s="555"/>
    </row>
    <row r="2672" spans="1:1">
      <c r="A2672" s="555"/>
    </row>
    <row r="2673" spans="1:1">
      <c r="A2673" s="555"/>
    </row>
    <row r="2674" spans="1:1">
      <c r="A2674" s="555"/>
    </row>
    <row r="2675" spans="1:1">
      <c r="A2675" s="555"/>
    </row>
    <row r="2676" spans="1:1">
      <c r="A2676" s="555"/>
    </row>
    <row r="2677" spans="1:1">
      <c r="A2677" s="555"/>
    </row>
    <row r="2678" spans="1:1">
      <c r="A2678" s="555"/>
    </row>
    <row r="2679" spans="1:1">
      <c r="A2679" s="555"/>
    </row>
    <row r="2680" spans="1:1">
      <c r="A2680" s="555"/>
    </row>
    <row r="2681" spans="1:1">
      <c r="A2681" s="555"/>
    </row>
    <row r="2682" spans="1:1">
      <c r="A2682" s="555"/>
    </row>
    <row r="2683" spans="1:1">
      <c r="A2683" s="555"/>
    </row>
    <row r="2684" spans="1:1">
      <c r="A2684" s="555"/>
    </row>
    <row r="2685" spans="1:1">
      <c r="A2685" s="555"/>
    </row>
    <row r="2686" spans="1:1">
      <c r="A2686" s="555"/>
    </row>
    <row r="2687" spans="1:1">
      <c r="A2687" s="555"/>
    </row>
    <row r="2688" spans="1:1">
      <c r="A2688" s="555"/>
    </row>
    <row r="2689" spans="1:1">
      <c r="A2689" s="555"/>
    </row>
    <row r="2690" spans="1:1">
      <c r="A2690" s="555"/>
    </row>
    <row r="2691" spans="1:1">
      <c r="A2691" s="555"/>
    </row>
    <row r="2692" spans="1:1">
      <c r="A2692" s="555"/>
    </row>
    <row r="2693" spans="1:1">
      <c r="A2693" s="555"/>
    </row>
    <row r="2694" spans="1:1">
      <c r="A2694" s="555"/>
    </row>
    <row r="2695" spans="1:1">
      <c r="A2695" s="555"/>
    </row>
    <row r="2696" spans="1:1">
      <c r="A2696" s="555"/>
    </row>
    <row r="2697" spans="1:1">
      <c r="A2697" s="555"/>
    </row>
    <row r="2698" spans="1:1">
      <c r="A2698" s="555"/>
    </row>
    <row r="2699" spans="1:1">
      <c r="A2699" s="555"/>
    </row>
    <row r="2700" spans="1:1">
      <c r="A2700" s="555"/>
    </row>
    <row r="2701" spans="1:1">
      <c r="A2701" s="555"/>
    </row>
    <row r="2702" spans="1:1">
      <c r="A2702" s="555"/>
    </row>
    <row r="2703" spans="1:1">
      <c r="A2703" s="555"/>
    </row>
    <row r="2704" spans="1:1">
      <c r="A2704" s="555"/>
    </row>
    <row r="2705" spans="1:1">
      <c r="A2705" s="555"/>
    </row>
    <row r="2706" spans="1:1">
      <c r="A2706" s="555"/>
    </row>
    <row r="2707" spans="1:1">
      <c r="A2707" s="555"/>
    </row>
    <row r="2708" spans="1:1">
      <c r="A2708" s="555"/>
    </row>
    <row r="2709" spans="1:1">
      <c r="A2709" s="555"/>
    </row>
    <row r="2710" spans="1:1">
      <c r="A2710" s="555"/>
    </row>
    <row r="2711" spans="1:1">
      <c r="A2711" s="555"/>
    </row>
    <row r="2712" spans="1:1">
      <c r="A2712" s="555"/>
    </row>
    <row r="2713" spans="1:1">
      <c r="A2713" s="555"/>
    </row>
    <row r="2714" spans="1:1">
      <c r="A2714" s="555"/>
    </row>
    <row r="2715" spans="1:1">
      <c r="A2715" s="555"/>
    </row>
    <row r="2716" spans="1:1">
      <c r="A2716" s="555"/>
    </row>
    <row r="2717" spans="1:1">
      <c r="A2717" s="555"/>
    </row>
    <row r="2718" spans="1:1">
      <c r="A2718" s="555"/>
    </row>
    <row r="2719" spans="1:1">
      <c r="A2719" s="555"/>
    </row>
    <row r="2720" spans="1:1">
      <c r="A2720" s="555"/>
    </row>
    <row r="2721" spans="1:1">
      <c r="A2721" s="555"/>
    </row>
    <row r="2722" spans="1:1">
      <c r="A2722" s="555"/>
    </row>
    <row r="2723" spans="1:1">
      <c r="A2723" s="555"/>
    </row>
    <row r="2724" spans="1:1">
      <c r="A2724" s="555"/>
    </row>
    <row r="2725" spans="1:1">
      <c r="A2725" s="555"/>
    </row>
    <row r="2726" spans="1:1">
      <c r="A2726" s="555"/>
    </row>
    <row r="2727" spans="1:1">
      <c r="A2727" s="555"/>
    </row>
    <row r="2728" spans="1:1">
      <c r="A2728" s="555"/>
    </row>
    <row r="2729" spans="1:1">
      <c r="A2729" s="555"/>
    </row>
    <row r="2730" spans="1:1">
      <c r="A2730" s="555"/>
    </row>
    <row r="2731" spans="1:1">
      <c r="A2731" s="555"/>
    </row>
    <row r="2732" spans="1:1">
      <c r="A2732" s="555"/>
    </row>
    <row r="2733" spans="1:1">
      <c r="A2733" s="555"/>
    </row>
    <row r="2734" spans="1:1">
      <c r="A2734" s="555"/>
    </row>
    <row r="2735" spans="1:1">
      <c r="A2735" s="555"/>
    </row>
    <row r="2736" spans="1:1">
      <c r="A2736" s="555"/>
    </row>
    <row r="2737" spans="1:1">
      <c r="A2737" s="555"/>
    </row>
    <row r="2738" spans="1:1">
      <c r="A2738" s="555"/>
    </row>
    <row r="2739" spans="1:1">
      <c r="A2739" s="555"/>
    </row>
    <row r="2740" spans="1:1">
      <c r="A2740" s="555"/>
    </row>
    <row r="2741" spans="1:1">
      <c r="A2741" s="555"/>
    </row>
    <row r="2742" spans="1:1">
      <c r="A2742" s="555"/>
    </row>
    <row r="2743" spans="1:1">
      <c r="A2743" s="555"/>
    </row>
    <row r="2744" spans="1:1">
      <c r="A2744" s="555"/>
    </row>
    <row r="2745" spans="1:1">
      <c r="A2745" s="555"/>
    </row>
    <row r="2746" spans="1:1">
      <c r="A2746" s="555"/>
    </row>
    <row r="2747" spans="1:1">
      <c r="A2747" s="555"/>
    </row>
    <row r="2748" spans="1:1">
      <c r="A2748" s="555"/>
    </row>
    <row r="2749" spans="1:1">
      <c r="A2749" s="555"/>
    </row>
    <row r="2750" spans="1:1">
      <c r="A2750" s="555"/>
    </row>
    <row r="2751" spans="1:1">
      <c r="A2751" s="555"/>
    </row>
    <row r="2752" spans="1:1">
      <c r="A2752" s="555"/>
    </row>
    <row r="2753" spans="1:1">
      <c r="A2753" s="555"/>
    </row>
    <row r="2754" spans="1:1">
      <c r="A2754" s="555"/>
    </row>
    <row r="2755" spans="1:1">
      <c r="A2755" s="555"/>
    </row>
    <row r="2756" spans="1:1">
      <c r="A2756" s="555"/>
    </row>
    <row r="2757" spans="1:1">
      <c r="A2757" s="555"/>
    </row>
    <row r="2758" spans="1:1">
      <c r="A2758" s="555"/>
    </row>
    <row r="2759" spans="1:1">
      <c r="A2759" s="555"/>
    </row>
    <row r="2760" spans="1:1">
      <c r="A2760" s="555"/>
    </row>
    <row r="2761" spans="1:1">
      <c r="A2761" s="555"/>
    </row>
    <row r="2762" spans="1:1">
      <c r="A2762" s="555"/>
    </row>
    <row r="2763" spans="1:1">
      <c r="A2763" s="555"/>
    </row>
    <row r="2764" spans="1:1">
      <c r="A2764" s="555"/>
    </row>
    <row r="2765" spans="1:1">
      <c r="A2765" s="555"/>
    </row>
    <row r="2766" spans="1:1">
      <c r="A2766" s="555"/>
    </row>
    <row r="2767" spans="1:1">
      <c r="A2767" s="555"/>
    </row>
    <row r="2768" spans="1:1">
      <c r="A2768" s="555"/>
    </row>
    <row r="2769" spans="1:1">
      <c r="A2769" s="555"/>
    </row>
    <row r="2770" spans="1:1">
      <c r="A2770" s="555"/>
    </row>
    <row r="2771" spans="1:1">
      <c r="A2771" s="555"/>
    </row>
    <row r="2772" spans="1:1">
      <c r="A2772" s="555"/>
    </row>
    <row r="2773" spans="1:1">
      <c r="A2773" s="555"/>
    </row>
    <row r="2774" spans="1:1">
      <c r="A2774" s="555"/>
    </row>
    <row r="2775" spans="1:1">
      <c r="A2775" s="555"/>
    </row>
    <row r="2776" spans="1:1">
      <c r="A2776" s="555"/>
    </row>
    <row r="2777" spans="1:1">
      <c r="A2777" s="555"/>
    </row>
    <row r="2778" spans="1:1">
      <c r="A2778" s="555"/>
    </row>
    <row r="2779" spans="1:1">
      <c r="A2779" s="555"/>
    </row>
    <row r="2780" spans="1:1">
      <c r="A2780" s="555"/>
    </row>
    <row r="2781" spans="1:1">
      <c r="A2781" s="555"/>
    </row>
    <row r="2782" spans="1:1">
      <c r="A2782" s="555"/>
    </row>
    <row r="2783" spans="1:1">
      <c r="A2783" s="555"/>
    </row>
    <row r="2784" spans="1:1">
      <c r="A2784" s="555"/>
    </row>
    <row r="2785" spans="1:1">
      <c r="A2785" s="555"/>
    </row>
    <row r="2786" spans="1:1">
      <c r="A2786" s="555"/>
    </row>
    <row r="2787" spans="1:1">
      <c r="A2787" s="555"/>
    </row>
    <row r="2788" spans="1:1">
      <c r="A2788" s="555"/>
    </row>
    <row r="2789" spans="1:1">
      <c r="A2789" s="555"/>
    </row>
    <row r="2790" spans="1:1">
      <c r="A2790" s="555"/>
    </row>
    <row r="2791" spans="1:1">
      <c r="A2791" s="555"/>
    </row>
    <row r="2792" spans="1:1">
      <c r="A2792" s="555"/>
    </row>
    <row r="2793" spans="1:1">
      <c r="A2793" s="555"/>
    </row>
    <row r="2794" spans="1:1">
      <c r="A2794" s="555"/>
    </row>
    <row r="2795" spans="1:1">
      <c r="A2795" s="555"/>
    </row>
    <row r="2796" spans="1:1">
      <c r="A2796" s="555"/>
    </row>
    <row r="2797" spans="1:1">
      <c r="A2797" s="555"/>
    </row>
    <row r="2798" spans="1:1">
      <c r="A2798" s="555"/>
    </row>
    <row r="2799" spans="1:1">
      <c r="A2799" s="555"/>
    </row>
    <row r="2800" spans="1:1">
      <c r="A2800" s="555"/>
    </row>
    <row r="2801" spans="1:1">
      <c r="A2801" s="555"/>
    </row>
    <row r="2802" spans="1:1">
      <c r="A2802" s="555"/>
    </row>
    <row r="2803" spans="1:1">
      <c r="A2803" s="555"/>
    </row>
    <row r="2804" spans="1:1">
      <c r="A2804" s="555"/>
    </row>
    <row r="2805" spans="1:1">
      <c r="A2805" s="555"/>
    </row>
    <row r="2806" spans="1:1">
      <c r="A2806" s="555"/>
    </row>
    <row r="2807" spans="1:1">
      <c r="A2807" s="555"/>
    </row>
    <row r="2808" spans="1:1">
      <c r="A2808" s="555"/>
    </row>
    <row r="2809" spans="1:1">
      <c r="A2809" s="555"/>
    </row>
    <row r="2810" spans="1:1">
      <c r="A2810" s="555"/>
    </row>
    <row r="2811" spans="1:1">
      <c r="A2811" s="555"/>
    </row>
    <row r="2812" spans="1:1">
      <c r="A2812" s="555"/>
    </row>
    <row r="2813" spans="1:1">
      <c r="A2813" s="555"/>
    </row>
    <row r="2814" spans="1:1">
      <c r="A2814" s="555"/>
    </row>
    <row r="2815" spans="1:1">
      <c r="A2815" s="555"/>
    </row>
    <row r="2816" spans="1:1">
      <c r="A2816" s="555"/>
    </row>
    <row r="2817" spans="1:1">
      <c r="A2817" s="555"/>
    </row>
    <row r="2818" spans="1:1">
      <c r="A2818" s="555"/>
    </row>
    <row r="2819" spans="1:1">
      <c r="A2819" s="555"/>
    </row>
    <row r="2820" spans="1:1">
      <c r="A2820" s="555"/>
    </row>
    <row r="2821" spans="1:1">
      <c r="A2821" s="555"/>
    </row>
    <row r="2822" spans="1:1">
      <c r="A2822" s="555"/>
    </row>
    <row r="2823" spans="1:1">
      <c r="A2823" s="555"/>
    </row>
    <row r="2824" spans="1:1">
      <c r="A2824" s="555"/>
    </row>
    <row r="2825" spans="1:1">
      <c r="A2825" s="555"/>
    </row>
    <row r="2826" spans="1:1">
      <c r="A2826" s="555"/>
    </row>
    <row r="2827" spans="1:1">
      <c r="A2827" s="555"/>
    </row>
    <row r="2828" spans="1:1">
      <c r="A2828" s="555"/>
    </row>
    <row r="2829" spans="1:1">
      <c r="A2829" s="555"/>
    </row>
    <row r="2830" spans="1:1">
      <c r="A2830" s="555"/>
    </row>
    <row r="2831" spans="1:1">
      <c r="A2831" s="555"/>
    </row>
    <row r="2832" spans="1:1">
      <c r="A2832" s="555"/>
    </row>
    <row r="2833" spans="1:1">
      <c r="A2833" s="555"/>
    </row>
    <row r="2834" spans="1:1">
      <c r="A2834" s="555"/>
    </row>
    <row r="2835" spans="1:1">
      <c r="A2835" s="555"/>
    </row>
    <row r="2836" spans="1:1">
      <c r="A2836" s="555"/>
    </row>
    <row r="2837" spans="1:1">
      <c r="A2837" s="555"/>
    </row>
    <row r="2838" spans="1:1">
      <c r="A2838" s="555"/>
    </row>
    <row r="2839" spans="1:1">
      <c r="A2839" s="555"/>
    </row>
    <row r="2840" spans="1:1">
      <c r="A2840" s="555"/>
    </row>
    <row r="2841" spans="1:1">
      <c r="A2841" s="555"/>
    </row>
    <row r="2842" spans="1:1">
      <c r="A2842" s="555"/>
    </row>
    <row r="2843" spans="1:1">
      <c r="A2843" s="555"/>
    </row>
    <row r="2844" spans="1:1">
      <c r="A2844" s="555"/>
    </row>
    <row r="2845" spans="1:1">
      <c r="A2845" s="555"/>
    </row>
    <row r="2846" spans="1:1">
      <c r="A2846" s="555"/>
    </row>
    <row r="2847" spans="1:1">
      <c r="A2847" s="555"/>
    </row>
    <row r="2848" spans="1:1">
      <c r="A2848" s="555"/>
    </row>
    <row r="2849" spans="1:1">
      <c r="A2849" s="555"/>
    </row>
    <row r="2850" spans="1:1">
      <c r="A2850" s="555"/>
    </row>
    <row r="2851" spans="1:1">
      <c r="A2851" s="555"/>
    </row>
    <row r="2852" spans="1:1">
      <c r="A2852" s="555"/>
    </row>
    <row r="2853" spans="1:1">
      <c r="A2853" s="555"/>
    </row>
    <row r="2854" spans="1:1">
      <c r="A2854" s="555"/>
    </row>
    <row r="2855" spans="1:1">
      <c r="A2855" s="555"/>
    </row>
    <row r="2856" spans="1:1">
      <c r="A2856" s="555"/>
    </row>
    <row r="2857" spans="1:1">
      <c r="A2857" s="555"/>
    </row>
    <row r="2858" spans="1:1">
      <c r="A2858" s="555"/>
    </row>
    <row r="2859" spans="1:1">
      <c r="A2859" s="555"/>
    </row>
    <row r="2860" spans="1:1">
      <c r="A2860" s="555"/>
    </row>
    <row r="2861" spans="1:1">
      <c r="A2861" s="555"/>
    </row>
    <row r="2862" spans="1:1">
      <c r="A2862" s="555"/>
    </row>
    <row r="2863" spans="1:1">
      <c r="A2863" s="555"/>
    </row>
    <row r="2864" spans="1:1">
      <c r="A2864" s="555"/>
    </row>
    <row r="2865" spans="1:1">
      <c r="A2865" s="555"/>
    </row>
    <row r="2866" spans="1:1">
      <c r="A2866" s="555"/>
    </row>
    <row r="2867" spans="1:1">
      <c r="A2867" s="555"/>
    </row>
    <row r="2868" spans="1:1">
      <c r="A2868" s="555"/>
    </row>
    <row r="2869" spans="1:1">
      <c r="A2869" s="555"/>
    </row>
    <row r="2870" spans="1:1">
      <c r="A2870" s="555"/>
    </row>
    <row r="2871" spans="1:1">
      <c r="A2871" s="555"/>
    </row>
    <row r="2872" spans="1:1">
      <c r="A2872" s="555"/>
    </row>
    <row r="2873" spans="1:1">
      <c r="A2873" s="555"/>
    </row>
    <row r="2874" spans="1:1">
      <c r="A2874" s="555"/>
    </row>
    <row r="2875" spans="1:1">
      <c r="A2875" s="555"/>
    </row>
    <row r="2876" spans="1:1">
      <c r="A2876" s="555"/>
    </row>
    <row r="2877" spans="1:1">
      <c r="A2877" s="555"/>
    </row>
    <row r="2878" spans="1:1">
      <c r="A2878" s="555"/>
    </row>
    <row r="2879" spans="1:1">
      <c r="A2879" s="555"/>
    </row>
    <row r="2880" spans="1:1">
      <c r="A2880" s="555"/>
    </row>
    <row r="2881" spans="1:1">
      <c r="A2881" s="555"/>
    </row>
    <row r="2882" spans="1:1">
      <c r="A2882" s="555"/>
    </row>
    <row r="2883" spans="1:1">
      <c r="A2883" s="555"/>
    </row>
    <row r="2884" spans="1:1">
      <c r="A2884" s="555"/>
    </row>
    <row r="2885" spans="1:1">
      <c r="A2885" s="555"/>
    </row>
    <row r="2886" spans="1:1">
      <c r="A2886" s="555"/>
    </row>
    <row r="2887" spans="1:1">
      <c r="A2887" s="555"/>
    </row>
    <row r="2888" spans="1:1">
      <c r="A2888" s="555"/>
    </row>
    <row r="2889" spans="1:1">
      <c r="A2889" s="555"/>
    </row>
    <row r="2890" spans="1:1">
      <c r="A2890" s="555"/>
    </row>
    <row r="2891" spans="1:1">
      <c r="A2891" s="555"/>
    </row>
    <row r="2892" spans="1:1">
      <c r="A2892" s="555"/>
    </row>
    <row r="2893" spans="1:1">
      <c r="A2893" s="555"/>
    </row>
    <row r="2894" spans="1:1">
      <c r="A2894" s="555"/>
    </row>
    <row r="2895" spans="1:1">
      <c r="A2895" s="555"/>
    </row>
    <row r="2896" spans="1:1">
      <c r="A2896" s="555"/>
    </row>
    <row r="2897" spans="1:1">
      <c r="A2897" s="555"/>
    </row>
    <row r="2898" spans="1:1">
      <c r="A2898" s="555"/>
    </row>
    <row r="2899" spans="1:1">
      <c r="A2899" s="555"/>
    </row>
    <row r="2900" spans="1:1">
      <c r="A2900" s="555"/>
    </row>
    <row r="2901" spans="1:1">
      <c r="A2901" s="555"/>
    </row>
    <row r="2902" spans="1:1">
      <c r="A2902" s="555"/>
    </row>
    <row r="2903" spans="1:1">
      <c r="A2903" s="555"/>
    </row>
    <row r="2904" spans="1:1">
      <c r="A2904" s="555"/>
    </row>
    <row r="2905" spans="1:1">
      <c r="A2905" s="555"/>
    </row>
    <row r="2906" spans="1:1">
      <c r="A2906" s="555"/>
    </row>
    <row r="2907" spans="1:1">
      <c r="A2907" s="555"/>
    </row>
    <row r="2908" spans="1:1">
      <c r="A2908" s="555"/>
    </row>
    <row r="2909" spans="1:1">
      <c r="A2909" s="555"/>
    </row>
    <row r="2910" spans="1:1">
      <c r="A2910" s="555"/>
    </row>
    <row r="2911" spans="1:1">
      <c r="A2911" s="555"/>
    </row>
    <row r="2912" spans="1:1">
      <c r="A2912" s="555"/>
    </row>
    <row r="2913" spans="1:1">
      <c r="A2913" s="555"/>
    </row>
    <row r="2914" spans="1:1">
      <c r="A2914" s="555"/>
    </row>
    <row r="2915" spans="1:1">
      <c r="A2915" s="555"/>
    </row>
    <row r="2916" spans="1:1">
      <c r="A2916" s="555"/>
    </row>
    <row r="2917" spans="1:1">
      <c r="A2917" s="555"/>
    </row>
    <row r="2918" spans="1:1">
      <c r="A2918" s="555"/>
    </row>
    <row r="2919" spans="1:1">
      <c r="A2919" s="555"/>
    </row>
    <row r="2920" spans="1:1">
      <c r="A2920" s="555"/>
    </row>
    <row r="2921" spans="1:1">
      <c r="A2921" s="555"/>
    </row>
    <row r="2922" spans="1:1">
      <c r="A2922" s="555"/>
    </row>
    <row r="2923" spans="1:1">
      <c r="A2923" s="555"/>
    </row>
    <row r="2924" spans="1:1">
      <c r="A2924" s="555"/>
    </row>
    <row r="2925" spans="1:1">
      <c r="A2925" s="555"/>
    </row>
    <row r="2926" spans="1:1">
      <c r="A2926" s="555"/>
    </row>
    <row r="2927" spans="1:1">
      <c r="A2927" s="555"/>
    </row>
    <row r="2928" spans="1:1">
      <c r="A2928" s="555"/>
    </row>
    <row r="2929" spans="1:1">
      <c r="A2929" s="555"/>
    </row>
    <row r="2930" spans="1:1">
      <c r="A2930" s="555"/>
    </row>
    <row r="2931" spans="1:1">
      <c r="A2931" s="555"/>
    </row>
    <row r="2932" spans="1:1">
      <c r="A2932" s="555"/>
    </row>
    <row r="2933" spans="1:1">
      <c r="A2933" s="555"/>
    </row>
    <row r="2934" spans="1:1">
      <c r="A2934" s="555"/>
    </row>
    <row r="2935" spans="1:1">
      <c r="A2935" s="555"/>
    </row>
    <row r="2936" spans="1:1">
      <c r="A2936" s="555"/>
    </row>
    <row r="2937" spans="1:1">
      <c r="A2937" s="555"/>
    </row>
    <row r="2938" spans="1:1">
      <c r="A2938" s="555"/>
    </row>
    <row r="2939" spans="1:1">
      <c r="A2939" s="555"/>
    </row>
    <row r="2940" spans="1:1">
      <c r="A2940" s="555"/>
    </row>
    <row r="2941" spans="1:1">
      <c r="A2941" s="555"/>
    </row>
    <row r="2942" spans="1:1">
      <c r="A2942" s="555"/>
    </row>
    <row r="2943" spans="1:1">
      <c r="A2943" s="555"/>
    </row>
    <row r="2944" spans="1:1">
      <c r="A2944" s="555"/>
    </row>
    <row r="2945" spans="1:1">
      <c r="A2945" s="555"/>
    </row>
    <row r="2946" spans="1:1">
      <c r="A2946" s="555"/>
    </row>
    <row r="2947" spans="1:1">
      <c r="A2947" s="555"/>
    </row>
    <row r="2948" spans="1:1">
      <c r="A2948" s="555"/>
    </row>
    <row r="2949" spans="1:1">
      <c r="A2949" s="555"/>
    </row>
    <row r="2950" spans="1:1">
      <c r="A2950" s="555"/>
    </row>
    <row r="2951" spans="1:1">
      <c r="A2951" s="555"/>
    </row>
    <row r="2952" spans="1:1">
      <c r="A2952" s="555"/>
    </row>
    <row r="2953" spans="1:1">
      <c r="A2953" s="555"/>
    </row>
    <row r="2954" spans="1:1">
      <c r="A2954" s="555"/>
    </row>
    <row r="2955" spans="1:1">
      <c r="A2955" s="555"/>
    </row>
    <row r="2956" spans="1:1">
      <c r="A2956" s="555"/>
    </row>
    <row r="2957" spans="1:1">
      <c r="A2957" s="555"/>
    </row>
    <row r="2958" spans="1:1">
      <c r="A2958" s="555"/>
    </row>
    <row r="2959" spans="1:1">
      <c r="A2959" s="555"/>
    </row>
    <row r="2960" spans="1:1">
      <c r="A2960" s="555"/>
    </row>
    <row r="2961" spans="1:1">
      <c r="A2961" s="555"/>
    </row>
    <row r="2962" spans="1:1">
      <c r="A2962" s="555"/>
    </row>
    <row r="2963" spans="1:1">
      <c r="A2963" s="555"/>
    </row>
    <row r="2964" spans="1:1">
      <c r="A2964" s="555"/>
    </row>
    <row r="2965" spans="1:1">
      <c r="A2965" s="555"/>
    </row>
    <row r="2966" spans="1:1">
      <c r="A2966" s="555"/>
    </row>
    <row r="2967" spans="1:1">
      <c r="A2967" s="555"/>
    </row>
    <row r="2968" spans="1:1">
      <c r="A2968" s="555"/>
    </row>
    <row r="2969" spans="1:1">
      <c r="A2969" s="555"/>
    </row>
    <row r="2970" spans="1:1">
      <c r="A2970" s="555"/>
    </row>
    <row r="2971" spans="1:1">
      <c r="A2971" s="555"/>
    </row>
    <row r="2972" spans="1:1">
      <c r="A2972" s="555"/>
    </row>
    <row r="2973" spans="1:1">
      <c r="A2973" s="555"/>
    </row>
    <row r="2974" spans="1:1">
      <c r="A2974" s="555"/>
    </row>
    <row r="2975" spans="1:1">
      <c r="A2975" s="555"/>
    </row>
    <row r="2976" spans="1:1">
      <c r="A2976" s="555"/>
    </row>
    <row r="2977" spans="1:1">
      <c r="A2977" s="555"/>
    </row>
    <row r="2978" spans="1:1">
      <c r="A2978" s="555"/>
    </row>
    <row r="2979" spans="1:1">
      <c r="A2979" s="555"/>
    </row>
    <row r="2980" spans="1:1">
      <c r="A2980" s="555"/>
    </row>
    <row r="2981" spans="1:1">
      <c r="A2981" s="555"/>
    </row>
    <row r="2982" spans="1:1">
      <c r="A2982" s="555"/>
    </row>
    <row r="2983" spans="1:1">
      <c r="A2983" s="555"/>
    </row>
    <row r="2984" spans="1:1">
      <c r="A2984" s="555"/>
    </row>
    <row r="2985" spans="1:1">
      <c r="A2985" s="555"/>
    </row>
    <row r="2986" spans="1:1">
      <c r="A2986" s="555"/>
    </row>
    <row r="2987" spans="1:1">
      <c r="A2987" s="555"/>
    </row>
    <row r="2988" spans="1:1">
      <c r="A2988" s="555"/>
    </row>
    <row r="2989" spans="1:1">
      <c r="A2989" s="555"/>
    </row>
    <row r="2990" spans="1:1">
      <c r="A2990" s="555"/>
    </row>
    <row r="2991" spans="1:1">
      <c r="A2991" s="555"/>
    </row>
    <row r="2992" spans="1:1">
      <c r="A2992" s="555"/>
    </row>
    <row r="2993" spans="1:1">
      <c r="A2993" s="555"/>
    </row>
    <row r="2994" spans="1:1">
      <c r="A2994" s="555"/>
    </row>
    <row r="2995" spans="1:1">
      <c r="A2995" s="555"/>
    </row>
    <row r="2996" spans="1:1">
      <c r="A2996" s="555"/>
    </row>
    <row r="2997" spans="1:1">
      <c r="A2997" s="555"/>
    </row>
    <row r="2998" spans="1:1">
      <c r="A2998" s="555"/>
    </row>
    <row r="2999" spans="1:1">
      <c r="A2999" s="555"/>
    </row>
    <row r="3000" spans="1:1">
      <c r="A3000" s="555"/>
    </row>
    <row r="3001" spans="1:1">
      <c r="A3001" s="555"/>
    </row>
    <row r="3002" spans="1:1">
      <c r="A3002" s="555"/>
    </row>
    <row r="3003" spans="1:1">
      <c r="A3003" s="555"/>
    </row>
    <row r="3004" spans="1:1">
      <c r="A3004" s="555"/>
    </row>
    <row r="3005" spans="1:1">
      <c r="A3005" s="555"/>
    </row>
    <row r="3006" spans="1:1">
      <c r="A3006" s="555"/>
    </row>
    <row r="3007" spans="1:1">
      <c r="A3007" s="555"/>
    </row>
    <row r="3008" spans="1:1">
      <c r="A3008" s="555"/>
    </row>
    <row r="3009" spans="1:1">
      <c r="A3009" s="555"/>
    </row>
    <row r="3010" spans="1:1">
      <c r="A3010" s="555"/>
    </row>
    <row r="3011" spans="1:1">
      <c r="A3011" s="555"/>
    </row>
    <row r="3012" spans="1:1">
      <c r="A3012" s="555"/>
    </row>
    <row r="3013" spans="1:1">
      <c r="A3013" s="555"/>
    </row>
    <row r="3014" spans="1:1">
      <c r="A3014" s="555"/>
    </row>
    <row r="3015" spans="1:1">
      <c r="A3015" s="555"/>
    </row>
    <row r="3016" spans="1:1">
      <c r="A3016" s="555"/>
    </row>
    <row r="3017" spans="1:1">
      <c r="A3017" s="555"/>
    </row>
    <row r="3018" spans="1:1">
      <c r="A3018" s="555"/>
    </row>
    <row r="3019" spans="1:1">
      <c r="A3019" s="555"/>
    </row>
    <row r="3020" spans="1:1">
      <c r="A3020" s="555"/>
    </row>
    <row r="3021" spans="1:1">
      <c r="A3021" s="555"/>
    </row>
    <row r="3022" spans="1:1">
      <c r="A3022" s="555"/>
    </row>
    <row r="3023" spans="1:1">
      <c r="A3023" s="555"/>
    </row>
    <row r="3024" spans="1:1">
      <c r="A3024" s="555"/>
    </row>
    <row r="3025" spans="1:1">
      <c r="A3025" s="555"/>
    </row>
    <row r="3026" spans="1:1">
      <c r="A3026" s="555"/>
    </row>
    <row r="3027" spans="1:1">
      <c r="A3027" s="555"/>
    </row>
    <row r="3028" spans="1:1">
      <c r="A3028" s="555"/>
    </row>
    <row r="3029" spans="1:1">
      <c r="A3029" s="555"/>
    </row>
    <row r="3030" spans="1:1">
      <c r="A3030" s="555"/>
    </row>
    <row r="3031" spans="1:1">
      <c r="A3031" s="555"/>
    </row>
    <row r="3032" spans="1:1">
      <c r="A3032" s="555"/>
    </row>
    <row r="3033" spans="1:1">
      <c r="A3033" s="555"/>
    </row>
    <row r="3034" spans="1:1">
      <c r="A3034" s="555"/>
    </row>
    <row r="3035" spans="1:1">
      <c r="A3035" s="555"/>
    </row>
    <row r="3036" spans="1:1">
      <c r="A3036" s="555"/>
    </row>
    <row r="3037" spans="1:1">
      <c r="A3037" s="555"/>
    </row>
    <row r="3038" spans="1:1">
      <c r="A3038" s="555"/>
    </row>
    <row r="3039" spans="1:1">
      <c r="A3039" s="555"/>
    </row>
    <row r="3040" spans="1:1">
      <c r="A3040" s="555"/>
    </row>
    <row r="3041" spans="1:1">
      <c r="A3041" s="555"/>
    </row>
    <row r="3042" spans="1:1">
      <c r="A3042" s="555"/>
    </row>
    <row r="3043" spans="1:1">
      <c r="A3043" s="555"/>
    </row>
    <row r="3044" spans="1:1">
      <c r="A3044" s="555"/>
    </row>
    <row r="3045" spans="1:1">
      <c r="A3045" s="555"/>
    </row>
    <row r="3046" spans="1:1">
      <c r="A3046" s="555"/>
    </row>
    <row r="3047" spans="1:1">
      <c r="A3047" s="555"/>
    </row>
    <row r="3048" spans="1:1">
      <c r="A3048" s="555"/>
    </row>
    <row r="3049" spans="1:1">
      <c r="A3049" s="555"/>
    </row>
    <row r="3050" spans="1:1">
      <c r="A3050" s="555"/>
    </row>
    <row r="3051" spans="1:1">
      <c r="A3051" s="555"/>
    </row>
    <row r="3052" spans="1:1">
      <c r="A3052" s="555"/>
    </row>
    <row r="3053" spans="1:1">
      <c r="A3053" s="555"/>
    </row>
    <row r="3054" spans="1:1">
      <c r="A3054" s="555"/>
    </row>
    <row r="3055" spans="1:1">
      <c r="A3055" s="555"/>
    </row>
    <row r="3056" spans="1:1">
      <c r="A3056" s="555"/>
    </row>
    <row r="3057" spans="1:1">
      <c r="A3057" s="555"/>
    </row>
    <row r="3058" spans="1:1">
      <c r="A3058" s="555"/>
    </row>
    <row r="3059" spans="1:1">
      <c r="A3059" s="555"/>
    </row>
    <row r="3060" spans="1:1">
      <c r="A3060" s="555"/>
    </row>
    <row r="3061" spans="1:1">
      <c r="A3061" s="555"/>
    </row>
    <row r="3062" spans="1:1">
      <c r="A3062" s="555"/>
    </row>
    <row r="3063" spans="1:1">
      <c r="A3063" s="555"/>
    </row>
    <row r="3064" spans="1:1">
      <c r="A3064" s="555"/>
    </row>
    <row r="3065" spans="1:1">
      <c r="A3065" s="555"/>
    </row>
    <row r="3066" spans="1:1">
      <c r="A3066" s="555"/>
    </row>
    <row r="3067" spans="1:1">
      <c r="A3067" s="555"/>
    </row>
    <row r="3068" spans="1:1">
      <c r="A3068" s="555"/>
    </row>
    <row r="3069" spans="1:1">
      <c r="A3069" s="555"/>
    </row>
    <row r="3070" spans="1:1">
      <c r="A3070" s="555"/>
    </row>
    <row r="3071" spans="1:1">
      <c r="A3071" s="555"/>
    </row>
    <row r="3072" spans="1:1">
      <c r="A3072" s="555"/>
    </row>
    <row r="3073" spans="1:1">
      <c r="A3073" s="555"/>
    </row>
    <row r="3074" spans="1:1">
      <c r="A3074" s="555"/>
    </row>
    <row r="3075" spans="1:1">
      <c r="A3075" s="555"/>
    </row>
    <row r="3076" spans="1:1">
      <c r="A3076" s="555"/>
    </row>
    <row r="3077" spans="1:1">
      <c r="A3077" s="555"/>
    </row>
    <row r="3078" spans="1:1">
      <c r="A3078" s="555"/>
    </row>
    <row r="3079" spans="1:1">
      <c r="A3079" s="555"/>
    </row>
    <row r="3080" spans="1:1">
      <c r="A3080" s="555"/>
    </row>
    <row r="3081" spans="1:1">
      <c r="A3081" s="555"/>
    </row>
    <row r="3082" spans="1:1">
      <c r="A3082" s="555"/>
    </row>
    <row r="3083" spans="1:1">
      <c r="A3083" s="555"/>
    </row>
    <row r="3084" spans="1:1">
      <c r="A3084" s="555"/>
    </row>
    <row r="3085" spans="1:1">
      <c r="A3085" s="555"/>
    </row>
    <row r="3086" spans="1:1">
      <c r="A3086" s="555"/>
    </row>
    <row r="3087" spans="1:1">
      <c r="A3087" s="555"/>
    </row>
    <row r="3088" spans="1:1">
      <c r="A3088" s="555"/>
    </row>
    <row r="3089" spans="1:1">
      <c r="A3089" s="555"/>
    </row>
    <row r="3090" spans="1:1">
      <c r="A3090" s="555"/>
    </row>
    <row r="3091" spans="1:1">
      <c r="A3091" s="555"/>
    </row>
    <row r="3092" spans="1:1">
      <c r="A3092" s="555"/>
    </row>
    <row r="3093" spans="1:1">
      <c r="A3093" s="555"/>
    </row>
    <row r="3094" spans="1:1">
      <c r="A3094" s="555"/>
    </row>
    <row r="3095" spans="1:1">
      <c r="A3095" s="555"/>
    </row>
    <row r="3096" spans="1:1">
      <c r="A3096" s="555"/>
    </row>
    <row r="3097" spans="1:1">
      <c r="A3097" s="555"/>
    </row>
    <row r="3098" spans="1:1">
      <c r="A3098" s="555"/>
    </row>
    <row r="3099" spans="1:1">
      <c r="A3099" s="555"/>
    </row>
    <row r="3100" spans="1:1">
      <c r="A3100" s="555"/>
    </row>
    <row r="3101" spans="1:1">
      <c r="A3101" s="555"/>
    </row>
    <row r="3102" spans="1:1">
      <c r="A3102" s="555"/>
    </row>
    <row r="3103" spans="1:1">
      <c r="A3103" s="555"/>
    </row>
    <row r="3104" spans="1:1">
      <c r="A3104" s="555"/>
    </row>
    <row r="3105" spans="1:1">
      <c r="A3105" s="555"/>
    </row>
    <row r="3106" spans="1:1">
      <c r="A3106" s="555"/>
    </row>
    <row r="3107" spans="1:1">
      <c r="A3107" s="555"/>
    </row>
    <row r="3108" spans="1:1">
      <c r="A3108" s="555"/>
    </row>
    <row r="3109" spans="1:1">
      <c r="A3109" s="555"/>
    </row>
    <row r="3110" spans="1:1">
      <c r="A3110" s="555"/>
    </row>
    <row r="3111" spans="1:1">
      <c r="A3111" s="555"/>
    </row>
    <row r="3112" spans="1:1">
      <c r="A3112" s="555"/>
    </row>
    <row r="3113" spans="1:1">
      <c r="A3113" s="555"/>
    </row>
    <row r="3114" spans="1:1">
      <c r="A3114" s="555"/>
    </row>
    <row r="3115" spans="1:1">
      <c r="A3115" s="555"/>
    </row>
    <row r="3116" spans="1:1">
      <c r="A3116" s="555"/>
    </row>
    <row r="3117" spans="1:1">
      <c r="A3117" s="555"/>
    </row>
    <row r="3118" spans="1:1">
      <c r="A3118" s="555"/>
    </row>
    <row r="3119" spans="1:1">
      <c r="A3119" s="555"/>
    </row>
    <row r="3120" spans="1:1">
      <c r="A3120" s="555"/>
    </row>
    <row r="3121" spans="1:1">
      <c r="A3121" s="555"/>
    </row>
    <row r="3122" spans="1:1">
      <c r="A3122" s="555"/>
    </row>
    <row r="3123" spans="1:1">
      <c r="A3123" s="555"/>
    </row>
    <row r="3124" spans="1:1">
      <c r="A3124" s="555"/>
    </row>
    <row r="3125" spans="1:1">
      <c r="A3125" s="555"/>
    </row>
    <row r="3126" spans="1:1">
      <c r="A3126" s="555"/>
    </row>
    <row r="3127" spans="1:1">
      <c r="A3127" s="555"/>
    </row>
    <row r="3128" spans="1:1">
      <c r="A3128" s="555"/>
    </row>
    <row r="3129" spans="1:1">
      <c r="A3129" s="555"/>
    </row>
    <row r="3130" spans="1:1">
      <c r="A3130" s="555"/>
    </row>
    <row r="3131" spans="1:1">
      <c r="A3131" s="555"/>
    </row>
    <row r="3132" spans="1:1">
      <c r="A3132" s="555"/>
    </row>
    <row r="3133" spans="1:1">
      <c r="A3133" s="555"/>
    </row>
    <row r="3134" spans="1:1">
      <c r="A3134" s="555"/>
    </row>
    <row r="3135" spans="1:1">
      <c r="A3135" s="555"/>
    </row>
    <row r="3136" spans="1:1">
      <c r="A3136" s="555"/>
    </row>
    <row r="3137" spans="1:1">
      <c r="A3137" s="555"/>
    </row>
    <row r="3138" spans="1:1">
      <c r="A3138" s="555"/>
    </row>
    <row r="3139" spans="1:1">
      <c r="A3139" s="555"/>
    </row>
    <row r="3140" spans="1:1">
      <c r="A3140" s="555"/>
    </row>
    <row r="3141" spans="1:1">
      <c r="A3141" s="555"/>
    </row>
    <row r="3142" spans="1:1">
      <c r="A3142" s="555"/>
    </row>
    <row r="3143" spans="1:1">
      <c r="A3143" s="555"/>
    </row>
    <row r="3144" spans="1:1">
      <c r="A3144" s="555"/>
    </row>
    <row r="3145" spans="1:1">
      <c r="A3145" s="555"/>
    </row>
    <row r="3146" spans="1:1">
      <c r="A3146" s="555"/>
    </row>
    <row r="3147" spans="1:1">
      <c r="A3147" s="555"/>
    </row>
    <row r="3148" spans="1:1">
      <c r="A3148" s="555"/>
    </row>
    <row r="3149" spans="1:1">
      <c r="A3149" s="555"/>
    </row>
    <row r="3150" spans="1:1">
      <c r="A3150" s="555"/>
    </row>
    <row r="3151" spans="1:1">
      <c r="A3151" s="555"/>
    </row>
    <row r="3152" spans="1:1">
      <c r="A3152" s="555"/>
    </row>
    <row r="3153" spans="1:1">
      <c r="A3153" s="555"/>
    </row>
    <row r="3154" spans="1:1">
      <c r="A3154" s="555"/>
    </row>
    <row r="3155" spans="1:1">
      <c r="A3155" s="555"/>
    </row>
    <row r="3156" spans="1:1">
      <c r="A3156" s="555"/>
    </row>
    <row r="3157" spans="1:1">
      <c r="A3157" s="555"/>
    </row>
    <row r="3158" spans="1:1">
      <c r="A3158" s="555"/>
    </row>
    <row r="3159" spans="1:1">
      <c r="A3159" s="555"/>
    </row>
    <row r="3160" spans="1:1">
      <c r="A3160" s="555"/>
    </row>
    <row r="3161" spans="1:1">
      <c r="A3161" s="555"/>
    </row>
    <row r="3162" spans="1:1">
      <c r="A3162" s="555"/>
    </row>
    <row r="3163" spans="1:1">
      <c r="A3163" s="555"/>
    </row>
    <row r="3164" spans="1:1">
      <c r="A3164" s="555"/>
    </row>
    <row r="3165" spans="1:1">
      <c r="A3165" s="555"/>
    </row>
    <row r="3166" spans="1:1">
      <c r="A3166" s="555"/>
    </row>
    <row r="3167" spans="1:1">
      <c r="A3167" s="555"/>
    </row>
    <row r="3168" spans="1:1">
      <c r="A3168" s="555"/>
    </row>
    <row r="3169" spans="1:1">
      <c r="A3169" s="555"/>
    </row>
    <row r="3170" spans="1:1">
      <c r="A3170" s="555"/>
    </row>
    <row r="3171" spans="1:1">
      <c r="A3171" s="555"/>
    </row>
    <row r="3172" spans="1:1">
      <c r="A3172" s="555"/>
    </row>
    <row r="3173" spans="1:1">
      <c r="A3173" s="555"/>
    </row>
    <row r="3174" spans="1:1">
      <c r="A3174" s="555"/>
    </row>
    <row r="3175" spans="1:1">
      <c r="A3175" s="555"/>
    </row>
    <row r="3176" spans="1:1">
      <c r="A3176" s="555"/>
    </row>
    <row r="3177" spans="1:1">
      <c r="A3177" s="555"/>
    </row>
    <row r="3178" spans="1:1">
      <c r="A3178" s="555"/>
    </row>
    <row r="3179" spans="1:1">
      <c r="A3179" s="555"/>
    </row>
    <row r="3180" spans="1:1">
      <c r="A3180" s="555"/>
    </row>
    <row r="3181" spans="1:1">
      <c r="A3181" s="555"/>
    </row>
    <row r="3182" spans="1:1">
      <c r="A3182" s="555"/>
    </row>
    <row r="3183" spans="1:1">
      <c r="A3183" s="555"/>
    </row>
    <row r="3184" spans="1:1">
      <c r="A3184" s="555"/>
    </row>
    <row r="3185" spans="1:1">
      <c r="A3185" s="555"/>
    </row>
    <row r="3186" spans="1:1">
      <c r="A3186" s="555"/>
    </row>
    <row r="3187" spans="1:1">
      <c r="A3187" s="555"/>
    </row>
    <row r="3188" spans="1:1">
      <c r="A3188" s="555"/>
    </row>
    <row r="3189" spans="1:1">
      <c r="A3189" s="555"/>
    </row>
    <row r="3190" spans="1:1">
      <c r="A3190" s="555"/>
    </row>
    <row r="3191" spans="1:1">
      <c r="A3191" s="555"/>
    </row>
    <row r="3192" spans="1:1">
      <c r="A3192" s="555"/>
    </row>
    <row r="3193" spans="1:1">
      <c r="A3193" s="555"/>
    </row>
    <row r="3194" spans="1:1">
      <c r="A3194" s="555"/>
    </row>
    <row r="3195" spans="1:1">
      <c r="A3195" s="555"/>
    </row>
    <row r="3196" spans="1:1">
      <c r="A3196" s="555"/>
    </row>
    <row r="3197" spans="1:1">
      <c r="A3197" s="555"/>
    </row>
    <row r="3198" spans="1:1">
      <c r="A3198" s="555"/>
    </row>
    <row r="3199" spans="1:1">
      <c r="A3199" s="555"/>
    </row>
    <row r="3200" spans="1:1">
      <c r="A3200" s="555"/>
    </row>
    <row r="3201" spans="1:1">
      <c r="A3201" s="555"/>
    </row>
    <row r="3202" spans="1:1">
      <c r="A3202" s="555"/>
    </row>
    <row r="3203" spans="1:1">
      <c r="A3203" s="555"/>
    </row>
    <row r="3204" spans="1:1">
      <c r="A3204" s="555"/>
    </row>
    <row r="3205" spans="1:1">
      <c r="A3205" s="555"/>
    </row>
    <row r="3206" spans="1:1">
      <c r="A3206" s="555"/>
    </row>
    <row r="3207" spans="1:1">
      <c r="A3207" s="555"/>
    </row>
    <row r="3208" spans="1:1">
      <c r="A3208" s="555"/>
    </row>
    <row r="3209" spans="1:1">
      <c r="A3209" s="555"/>
    </row>
    <row r="3210" spans="1:1">
      <c r="A3210" s="555"/>
    </row>
    <row r="3211" spans="1:1">
      <c r="A3211" s="555"/>
    </row>
    <row r="3212" spans="1:1">
      <c r="A3212" s="555"/>
    </row>
    <row r="3213" spans="1:1">
      <c r="A3213" s="555"/>
    </row>
    <row r="3214" spans="1:1">
      <c r="A3214" s="555"/>
    </row>
    <row r="3215" spans="1:1">
      <c r="A3215" s="555"/>
    </row>
    <row r="3216" spans="1:1">
      <c r="A3216" s="555"/>
    </row>
    <row r="3217" spans="1:1">
      <c r="A3217" s="555"/>
    </row>
    <row r="3218" spans="1:1">
      <c r="A3218" s="555"/>
    </row>
    <row r="3219" spans="1:1">
      <c r="A3219" s="555"/>
    </row>
    <row r="3220" spans="1:1">
      <c r="A3220" s="555"/>
    </row>
    <row r="3221" spans="1:1">
      <c r="A3221" s="555"/>
    </row>
    <row r="3222" spans="1:1">
      <c r="A3222" s="555"/>
    </row>
    <row r="3223" spans="1:1">
      <c r="A3223" s="555"/>
    </row>
    <row r="3224" spans="1:1">
      <c r="A3224" s="555"/>
    </row>
    <row r="3225" spans="1:1">
      <c r="A3225" s="555"/>
    </row>
    <row r="3226" spans="1:1">
      <c r="A3226" s="555"/>
    </row>
    <row r="3227" spans="1:1">
      <c r="A3227" s="555"/>
    </row>
    <row r="3228" spans="1:1">
      <c r="A3228" s="555"/>
    </row>
    <row r="3229" spans="1:1">
      <c r="A3229" s="555"/>
    </row>
    <row r="3230" spans="1:1">
      <c r="A3230" s="555"/>
    </row>
    <row r="3231" spans="1:1">
      <c r="A3231" s="555"/>
    </row>
    <row r="3232" spans="1:1">
      <c r="A3232" s="555"/>
    </row>
    <row r="3233" spans="1:1">
      <c r="A3233" s="555"/>
    </row>
    <row r="3234" spans="1:1">
      <c r="A3234" s="555"/>
    </row>
    <row r="3235" spans="1:1">
      <c r="A3235" s="555"/>
    </row>
    <row r="3236" spans="1:1">
      <c r="A3236" s="555"/>
    </row>
    <row r="3237" spans="1:1">
      <c r="A3237" s="555"/>
    </row>
    <row r="3238" spans="1:1">
      <c r="A3238" s="555"/>
    </row>
    <row r="3239" spans="1:1">
      <c r="A3239" s="555"/>
    </row>
    <row r="3240" spans="1:1">
      <c r="A3240" s="555"/>
    </row>
    <row r="3241" spans="1:1">
      <c r="A3241" s="555"/>
    </row>
    <row r="3242" spans="1:1">
      <c r="A3242" s="555"/>
    </row>
    <row r="3243" spans="1:1">
      <c r="A3243" s="555"/>
    </row>
    <row r="3244" spans="1:1">
      <c r="A3244" s="555"/>
    </row>
    <row r="3245" spans="1:1">
      <c r="A3245" s="555"/>
    </row>
    <row r="3246" spans="1:1">
      <c r="A3246" s="555"/>
    </row>
    <row r="3247" spans="1:1">
      <c r="A3247" s="555"/>
    </row>
    <row r="3248" spans="1:1">
      <c r="A3248" s="555"/>
    </row>
    <row r="3249" spans="1:1">
      <c r="A3249" s="555"/>
    </row>
    <row r="3250" spans="1:1">
      <c r="A3250" s="555"/>
    </row>
    <row r="3251" spans="1:1">
      <c r="A3251" s="555"/>
    </row>
    <row r="3252" spans="1:1">
      <c r="A3252" s="555"/>
    </row>
    <row r="3253" spans="1:1">
      <c r="A3253" s="555"/>
    </row>
    <row r="3254" spans="1:1">
      <c r="A3254" s="555"/>
    </row>
    <row r="3255" spans="1:1">
      <c r="A3255" s="555"/>
    </row>
    <row r="3256" spans="1:1">
      <c r="A3256" s="555"/>
    </row>
    <row r="3257" spans="1:1">
      <c r="A3257" s="555"/>
    </row>
    <row r="3258" spans="1:1">
      <c r="A3258" s="555"/>
    </row>
    <row r="3259" spans="1:1">
      <c r="A3259" s="555"/>
    </row>
    <row r="3260" spans="1:1">
      <c r="A3260" s="555"/>
    </row>
    <row r="3261" spans="1:1">
      <c r="A3261" s="555"/>
    </row>
    <row r="3262" spans="1:1">
      <c r="A3262" s="555"/>
    </row>
    <row r="3263" spans="1:1">
      <c r="A3263" s="555"/>
    </row>
    <row r="3264" spans="1:1">
      <c r="A3264" s="555"/>
    </row>
    <row r="3265" spans="1:1">
      <c r="A3265" s="555"/>
    </row>
    <row r="3266" spans="1:1">
      <c r="A3266" s="555"/>
    </row>
    <row r="3267" spans="1:1">
      <c r="A3267" s="555"/>
    </row>
    <row r="3268" spans="1:1">
      <c r="A3268" s="555"/>
    </row>
    <row r="3269" spans="1:1">
      <c r="A3269" s="555"/>
    </row>
    <row r="3270" spans="1:1">
      <c r="A3270" s="555"/>
    </row>
    <row r="3271" spans="1:1">
      <c r="A3271" s="555"/>
    </row>
    <row r="3272" spans="1:1">
      <c r="A3272" s="555"/>
    </row>
    <row r="3273" spans="1:1">
      <c r="A3273" s="555"/>
    </row>
    <row r="3274" spans="1:1">
      <c r="A3274" s="555"/>
    </row>
    <row r="3275" spans="1:1">
      <c r="A3275" s="555"/>
    </row>
    <row r="3276" spans="1:1">
      <c r="A3276" s="555"/>
    </row>
    <row r="3277" spans="1:1">
      <c r="A3277" s="555"/>
    </row>
    <row r="3278" spans="1:1">
      <c r="A3278" s="555"/>
    </row>
    <row r="3279" spans="1:1">
      <c r="A3279" s="555"/>
    </row>
    <row r="3280" spans="1:1">
      <c r="A3280" s="555"/>
    </row>
    <row r="3281" spans="1:1">
      <c r="A3281" s="555"/>
    </row>
    <row r="3282" spans="1:1">
      <c r="A3282" s="555"/>
    </row>
    <row r="3283" spans="1:1">
      <c r="A3283" s="555"/>
    </row>
    <row r="3284" spans="1:1">
      <c r="A3284" s="555"/>
    </row>
    <row r="3285" spans="1:1">
      <c r="A3285" s="555"/>
    </row>
    <row r="3286" spans="1:1">
      <c r="A3286" s="555"/>
    </row>
    <row r="3287" spans="1:1">
      <c r="A3287" s="555"/>
    </row>
    <row r="3288" spans="1:1">
      <c r="A3288" s="555"/>
    </row>
    <row r="3289" spans="1:1">
      <c r="A3289" s="555"/>
    </row>
    <row r="3290" spans="1:1">
      <c r="A3290" s="555"/>
    </row>
    <row r="3291" spans="1:1">
      <c r="A3291" s="555"/>
    </row>
    <row r="3292" spans="1:1">
      <c r="A3292" s="555"/>
    </row>
    <row r="3293" spans="1:1">
      <c r="A3293" s="555"/>
    </row>
    <row r="3294" spans="1:1">
      <c r="A3294" s="555"/>
    </row>
    <row r="3295" spans="1:1">
      <c r="A3295" s="555"/>
    </row>
    <row r="3296" spans="1:1">
      <c r="A3296" s="555"/>
    </row>
    <row r="3297" spans="1:1">
      <c r="A3297" s="555"/>
    </row>
    <row r="3298" spans="1:1">
      <c r="A3298" s="555"/>
    </row>
    <row r="3299" spans="1:1">
      <c r="A3299" s="555"/>
    </row>
    <row r="3300" spans="1:1">
      <c r="A3300" s="555"/>
    </row>
    <row r="3301" spans="1:1">
      <c r="A3301" s="555"/>
    </row>
    <row r="3302" spans="1:1">
      <c r="A3302" s="555"/>
    </row>
    <row r="3303" spans="1:1">
      <c r="A3303" s="555"/>
    </row>
    <row r="3304" spans="1:1">
      <c r="A3304" s="555"/>
    </row>
    <row r="3305" spans="1:1">
      <c r="A3305" s="555"/>
    </row>
    <row r="3306" spans="1:1">
      <c r="A3306" s="555"/>
    </row>
    <row r="3307" spans="1:1">
      <c r="A3307" s="555"/>
    </row>
    <row r="3308" spans="1:1">
      <c r="A3308" s="555"/>
    </row>
    <row r="3309" spans="1:1">
      <c r="A3309" s="555"/>
    </row>
    <row r="3310" spans="1:1">
      <c r="A3310" s="555"/>
    </row>
    <row r="3311" spans="1:1">
      <c r="A3311" s="555"/>
    </row>
    <row r="3312" spans="1:1">
      <c r="A3312" s="555"/>
    </row>
    <row r="3313" spans="1:1">
      <c r="A3313" s="555"/>
    </row>
    <row r="3314" spans="1:1">
      <c r="A3314" s="555"/>
    </row>
    <row r="3315" spans="1:1">
      <c r="A3315" s="555"/>
    </row>
    <row r="3316" spans="1:1">
      <c r="A3316" s="555"/>
    </row>
    <row r="3317" spans="1:1">
      <c r="A3317" s="555"/>
    </row>
    <row r="3318" spans="1:1">
      <c r="A3318" s="555"/>
    </row>
    <row r="3319" spans="1:1">
      <c r="A3319" s="555"/>
    </row>
    <row r="3320" spans="1:1">
      <c r="A3320" s="555"/>
    </row>
    <row r="3321" spans="1:1">
      <c r="A3321" s="555"/>
    </row>
    <row r="3322" spans="1:1">
      <c r="A3322" s="555"/>
    </row>
    <row r="3323" spans="1:1">
      <c r="A3323" s="555"/>
    </row>
    <row r="3324" spans="1:1">
      <c r="A3324" s="555"/>
    </row>
    <row r="3325" spans="1:1">
      <c r="A3325" s="555"/>
    </row>
    <row r="3326" spans="1:1">
      <c r="A3326" s="555"/>
    </row>
    <row r="3327" spans="1:1">
      <c r="A3327" s="555"/>
    </row>
    <row r="3328" spans="1:1">
      <c r="A3328" s="555"/>
    </row>
    <row r="3329" spans="1:1">
      <c r="A3329" s="555"/>
    </row>
    <row r="3330" spans="1:1">
      <c r="A3330" s="555"/>
    </row>
    <row r="3331" spans="1:1">
      <c r="A3331" s="555"/>
    </row>
    <row r="3332" spans="1:1">
      <c r="A3332" s="555"/>
    </row>
    <row r="3333" spans="1:1">
      <c r="A3333" s="555"/>
    </row>
    <row r="3334" spans="1:1">
      <c r="A3334" s="555"/>
    </row>
    <row r="3335" spans="1:1">
      <c r="A3335" s="555"/>
    </row>
    <row r="3336" spans="1:1">
      <c r="A3336" s="555"/>
    </row>
    <row r="3337" spans="1:1">
      <c r="A3337" s="555"/>
    </row>
    <row r="3338" spans="1:1">
      <c r="A3338" s="555"/>
    </row>
    <row r="3339" spans="1:1">
      <c r="A3339" s="555"/>
    </row>
    <row r="3340" spans="1:1">
      <c r="A3340" s="555"/>
    </row>
    <row r="3341" spans="1:1">
      <c r="A3341" s="555"/>
    </row>
    <row r="3342" spans="1:1">
      <c r="A3342" s="555"/>
    </row>
    <row r="3343" spans="1:1">
      <c r="A3343" s="555"/>
    </row>
    <row r="3344" spans="1:1">
      <c r="A3344" s="555"/>
    </row>
    <row r="3345" spans="1:1">
      <c r="A3345" s="555"/>
    </row>
    <row r="3346" spans="1:1">
      <c r="A3346" s="555"/>
    </row>
    <row r="3347" spans="1:1">
      <c r="A3347" s="555"/>
    </row>
    <row r="3348" spans="1:1">
      <c r="A3348" s="555"/>
    </row>
    <row r="3349" spans="1:1">
      <c r="A3349" s="555"/>
    </row>
    <row r="3350" spans="1:1">
      <c r="A3350" s="555"/>
    </row>
    <row r="3351" spans="1:1">
      <c r="A3351" s="555"/>
    </row>
    <row r="3352" spans="1:1">
      <c r="A3352" s="555"/>
    </row>
    <row r="3353" spans="1:1">
      <c r="A3353" s="555"/>
    </row>
    <row r="3354" spans="1:1">
      <c r="A3354" s="555"/>
    </row>
    <row r="3355" spans="1:1">
      <c r="A3355" s="555"/>
    </row>
    <row r="3356" spans="1:1">
      <c r="A3356" s="555"/>
    </row>
    <row r="3357" spans="1:1">
      <c r="A3357" s="555"/>
    </row>
    <row r="3358" spans="1:1">
      <c r="A3358" s="555"/>
    </row>
    <row r="3359" spans="1:1">
      <c r="A3359" s="555"/>
    </row>
    <row r="3360" spans="1:1">
      <c r="A3360" s="555"/>
    </row>
    <row r="3361" spans="1:1">
      <c r="A3361" s="555"/>
    </row>
    <row r="3362" spans="1:1">
      <c r="A3362" s="555"/>
    </row>
    <row r="3363" spans="1:1">
      <c r="A3363" s="555"/>
    </row>
    <row r="3364" spans="1:1">
      <c r="A3364" s="555"/>
    </row>
    <row r="3365" spans="1:1">
      <c r="A3365" s="555"/>
    </row>
    <row r="3366" spans="1:1">
      <c r="A3366" s="555"/>
    </row>
    <row r="3367" spans="1:1">
      <c r="A3367" s="555"/>
    </row>
    <row r="3368" spans="1:1">
      <c r="A3368" s="555"/>
    </row>
    <row r="3369" spans="1:1">
      <c r="A3369" s="555"/>
    </row>
    <row r="3370" spans="1:1">
      <c r="A3370" s="555"/>
    </row>
    <row r="3371" spans="1:1">
      <c r="A3371" s="555"/>
    </row>
    <row r="3372" spans="1:1">
      <c r="A3372" s="555"/>
    </row>
    <row r="3373" spans="1:1">
      <c r="A3373" s="555"/>
    </row>
    <row r="3374" spans="1:1">
      <c r="A3374" s="555"/>
    </row>
    <row r="3375" spans="1:1">
      <c r="A3375" s="555"/>
    </row>
    <row r="3376" spans="1:1">
      <c r="A3376" s="555"/>
    </row>
    <row r="3377" spans="1:1">
      <c r="A3377" s="555"/>
    </row>
    <row r="3378" spans="1:1">
      <c r="A3378" s="555"/>
    </row>
    <row r="3379" spans="1:1">
      <c r="A3379" s="555"/>
    </row>
    <row r="3380" spans="1:1">
      <c r="A3380" s="555"/>
    </row>
    <row r="3381" spans="1:1">
      <c r="A3381" s="555"/>
    </row>
    <row r="3382" spans="1:1">
      <c r="A3382" s="555"/>
    </row>
    <row r="3383" spans="1:1">
      <c r="A3383" s="555"/>
    </row>
    <row r="3384" spans="1:1">
      <c r="A3384" s="555"/>
    </row>
    <row r="3385" spans="1:1">
      <c r="A3385" s="555"/>
    </row>
    <row r="3386" spans="1:1">
      <c r="A3386" s="555"/>
    </row>
    <row r="3387" spans="1:1">
      <c r="A3387" s="555"/>
    </row>
    <row r="3388" spans="1:1">
      <c r="A3388" s="555"/>
    </row>
    <row r="3389" spans="1:1">
      <c r="A3389" s="555"/>
    </row>
    <row r="3390" spans="1:1">
      <c r="A3390" s="555"/>
    </row>
    <row r="3391" spans="1:1">
      <c r="A3391" s="555"/>
    </row>
    <row r="3392" spans="1:1">
      <c r="A3392" s="555"/>
    </row>
    <row r="3393" spans="1:1">
      <c r="A3393" s="555"/>
    </row>
    <row r="3394" spans="1:1">
      <c r="A3394" s="555"/>
    </row>
    <row r="3395" spans="1:1">
      <c r="A3395" s="555"/>
    </row>
    <row r="3396" spans="1:1">
      <c r="A3396" s="555"/>
    </row>
    <row r="3397" spans="1:1">
      <c r="A3397" s="555"/>
    </row>
    <row r="3398" spans="1:1">
      <c r="A3398" s="555"/>
    </row>
    <row r="3399" spans="1:1">
      <c r="A3399" s="555"/>
    </row>
    <row r="3400" spans="1:1">
      <c r="A3400" s="555"/>
    </row>
    <row r="3401" spans="1:1">
      <c r="A3401" s="555"/>
    </row>
    <row r="3402" spans="1:1">
      <c r="A3402" s="555"/>
    </row>
    <row r="3403" spans="1:1">
      <c r="A3403" s="555"/>
    </row>
    <row r="3404" spans="1:1">
      <c r="A3404" s="555"/>
    </row>
    <row r="3405" spans="1:1">
      <c r="A3405" s="555"/>
    </row>
    <row r="3406" spans="1:1">
      <c r="A3406" s="555"/>
    </row>
    <row r="3407" spans="1:1">
      <c r="A3407" s="555"/>
    </row>
    <row r="3408" spans="1:1">
      <c r="A3408" s="555"/>
    </row>
    <row r="3409" spans="1:1">
      <c r="A3409" s="555"/>
    </row>
    <row r="3410" spans="1:1">
      <c r="A3410" s="555"/>
    </row>
    <row r="3411" spans="1:1">
      <c r="A3411" s="555"/>
    </row>
    <row r="3412" spans="1:1">
      <c r="A3412" s="555"/>
    </row>
    <row r="3413" spans="1:1">
      <c r="A3413" s="555"/>
    </row>
    <row r="3414" spans="1:1">
      <c r="A3414" s="555"/>
    </row>
    <row r="3415" spans="1:1">
      <c r="A3415" s="555"/>
    </row>
    <row r="3416" spans="1:1">
      <c r="A3416" s="555"/>
    </row>
    <row r="3417" spans="1:1">
      <c r="A3417" s="555"/>
    </row>
    <row r="3418" spans="1:1">
      <c r="A3418" s="555"/>
    </row>
    <row r="3419" spans="1:1">
      <c r="A3419" s="555"/>
    </row>
    <row r="3420" spans="1:1">
      <c r="A3420" s="555"/>
    </row>
    <row r="3421" spans="1:1">
      <c r="A3421" s="555"/>
    </row>
    <row r="3422" spans="1:1">
      <c r="A3422" s="555"/>
    </row>
    <row r="3423" spans="1:1">
      <c r="A3423" s="555"/>
    </row>
    <row r="3424" spans="1:1">
      <c r="A3424" s="555"/>
    </row>
    <row r="3425" spans="1:1">
      <c r="A3425" s="555"/>
    </row>
    <row r="3426" spans="1:1">
      <c r="A3426" s="555"/>
    </row>
    <row r="3427" spans="1:1">
      <c r="A3427" s="555"/>
    </row>
    <row r="3428" spans="1:1">
      <c r="A3428" s="555"/>
    </row>
    <row r="3429" spans="1:1">
      <c r="A3429" s="555"/>
    </row>
    <row r="3430" spans="1:1">
      <c r="A3430" s="555"/>
    </row>
    <row r="3431" spans="1:1">
      <c r="A3431" s="555"/>
    </row>
    <row r="3432" spans="1:1">
      <c r="A3432" s="555"/>
    </row>
    <row r="3433" spans="1:1">
      <c r="A3433" s="555"/>
    </row>
    <row r="3434" spans="1:1">
      <c r="A3434" s="555"/>
    </row>
    <row r="3435" spans="1:1">
      <c r="A3435" s="555"/>
    </row>
    <row r="3436" spans="1:1">
      <c r="A3436" s="555"/>
    </row>
    <row r="3437" spans="1:1">
      <c r="A3437" s="555"/>
    </row>
    <row r="3438" spans="1:1">
      <c r="A3438" s="555"/>
    </row>
    <row r="3439" spans="1:1">
      <c r="A3439" s="555"/>
    </row>
    <row r="3440" spans="1:1">
      <c r="A3440" s="555"/>
    </row>
    <row r="3441" spans="1:1">
      <c r="A3441" s="555"/>
    </row>
    <row r="3442" spans="1:1">
      <c r="A3442" s="555"/>
    </row>
    <row r="3443" spans="1:1">
      <c r="A3443" s="555"/>
    </row>
    <row r="3444" spans="1:1">
      <c r="A3444" s="555"/>
    </row>
    <row r="3445" spans="1:1">
      <c r="A3445" s="555"/>
    </row>
    <row r="3446" spans="1:1">
      <c r="A3446" s="555"/>
    </row>
    <row r="3447" spans="1:1">
      <c r="A3447" s="555"/>
    </row>
    <row r="3448" spans="1:1">
      <c r="A3448" s="555"/>
    </row>
    <row r="3449" spans="1:1">
      <c r="A3449" s="555"/>
    </row>
    <row r="3450" spans="1:1">
      <c r="A3450" s="555"/>
    </row>
    <row r="3451" spans="1:1">
      <c r="A3451" s="555"/>
    </row>
    <row r="3452" spans="1:1">
      <c r="A3452" s="555"/>
    </row>
    <row r="3453" spans="1:1">
      <c r="A3453" s="555"/>
    </row>
    <row r="3454" spans="1:1">
      <c r="A3454" s="555"/>
    </row>
    <row r="3455" spans="1:1">
      <c r="A3455" s="555"/>
    </row>
    <row r="3456" spans="1:1">
      <c r="A3456" s="555"/>
    </row>
    <row r="3457" spans="1:1">
      <c r="A3457" s="555"/>
    </row>
    <row r="3458" spans="1:1">
      <c r="A3458" s="555"/>
    </row>
    <row r="3459" spans="1:1">
      <c r="A3459" s="555"/>
    </row>
    <row r="3460" spans="1:1">
      <c r="A3460" s="555"/>
    </row>
    <row r="3461" spans="1:1">
      <c r="A3461" s="555"/>
    </row>
    <row r="3462" spans="1:1">
      <c r="A3462" s="555"/>
    </row>
    <row r="3463" spans="1:1">
      <c r="A3463" s="555"/>
    </row>
    <row r="3464" spans="1:1">
      <c r="A3464" s="555"/>
    </row>
    <row r="3465" spans="1:1">
      <c r="A3465" s="555"/>
    </row>
    <row r="3466" spans="1:1">
      <c r="A3466" s="555"/>
    </row>
    <row r="3467" spans="1:1">
      <c r="A3467" s="555"/>
    </row>
    <row r="3468" spans="1:1">
      <c r="A3468" s="555"/>
    </row>
    <row r="3469" spans="1:1">
      <c r="A3469" s="555"/>
    </row>
    <row r="3470" spans="1:1">
      <c r="A3470" s="555"/>
    </row>
    <row r="3471" spans="1:1">
      <c r="A3471" s="555"/>
    </row>
    <row r="3472" spans="1:1">
      <c r="A3472" s="555"/>
    </row>
    <row r="3473" spans="1:1">
      <c r="A3473" s="555"/>
    </row>
    <row r="3474" spans="1:1">
      <c r="A3474" s="555"/>
    </row>
    <row r="3475" spans="1:1">
      <c r="A3475" s="555"/>
    </row>
    <row r="3476" spans="1:1">
      <c r="A3476" s="555"/>
    </row>
    <row r="3477" spans="1:1">
      <c r="A3477" s="555"/>
    </row>
    <row r="3478" spans="1:1">
      <c r="A3478" s="555"/>
    </row>
    <row r="3479" spans="1:1">
      <c r="A3479" s="555"/>
    </row>
    <row r="3480" spans="1:1">
      <c r="A3480" s="555"/>
    </row>
    <row r="3481" spans="1:1">
      <c r="A3481" s="555"/>
    </row>
    <row r="3482" spans="1:1">
      <c r="A3482" s="555"/>
    </row>
    <row r="3483" spans="1:1">
      <c r="A3483" s="555"/>
    </row>
    <row r="3484" spans="1:1">
      <c r="A3484" s="555"/>
    </row>
    <row r="3485" spans="1:1">
      <c r="A3485" s="555"/>
    </row>
    <row r="3486" spans="1:1">
      <c r="A3486" s="555"/>
    </row>
    <row r="3487" spans="1:1">
      <c r="A3487" s="555"/>
    </row>
    <row r="3488" spans="1:1">
      <c r="A3488" s="555"/>
    </row>
    <row r="3489" spans="1:1">
      <c r="A3489" s="555"/>
    </row>
    <row r="3490" spans="1:1">
      <c r="A3490" s="555"/>
    </row>
    <row r="3491" spans="1:1">
      <c r="A3491" s="555"/>
    </row>
    <row r="3492" spans="1:1">
      <c r="A3492" s="555"/>
    </row>
    <row r="3493" spans="1:1">
      <c r="A3493" s="555"/>
    </row>
    <row r="3494" spans="1:1">
      <c r="A3494" s="555"/>
    </row>
    <row r="3495" spans="1:1">
      <c r="A3495" s="555"/>
    </row>
    <row r="3496" spans="1:1">
      <c r="A3496" s="555"/>
    </row>
    <row r="3497" spans="1:1">
      <c r="A3497" s="555"/>
    </row>
    <row r="3498" spans="1:1">
      <c r="A3498" s="555"/>
    </row>
    <row r="3499" spans="1:1">
      <c r="A3499" s="555"/>
    </row>
    <row r="3500" spans="1:1">
      <c r="A3500" s="555"/>
    </row>
    <row r="3501" spans="1:1">
      <c r="A3501" s="555"/>
    </row>
    <row r="3502" spans="1:1">
      <c r="A3502" s="555"/>
    </row>
    <row r="3503" spans="1:1">
      <c r="A3503" s="555"/>
    </row>
    <row r="3504" spans="1:1">
      <c r="A3504" s="555"/>
    </row>
    <row r="3505" spans="1:1">
      <c r="A3505" s="555"/>
    </row>
    <row r="3506" spans="1:1">
      <c r="A3506" s="555"/>
    </row>
    <row r="3507" spans="1:1">
      <c r="A3507" s="555"/>
    </row>
    <row r="3508" spans="1:1">
      <c r="A3508" s="555"/>
    </row>
    <row r="3509" spans="1:1">
      <c r="A3509" s="555"/>
    </row>
    <row r="3510" spans="1:1">
      <c r="A3510" s="555"/>
    </row>
    <row r="3511" spans="1:1">
      <c r="A3511" s="555"/>
    </row>
    <row r="3512" spans="1:1">
      <c r="A3512" s="555"/>
    </row>
    <row r="3513" spans="1:1">
      <c r="A3513" s="555"/>
    </row>
    <row r="3514" spans="1:1">
      <c r="A3514" s="555"/>
    </row>
    <row r="3515" spans="1:1">
      <c r="A3515" s="555"/>
    </row>
    <row r="3516" spans="1:1">
      <c r="A3516" s="555"/>
    </row>
    <row r="3517" spans="1:1">
      <c r="A3517" s="555"/>
    </row>
    <row r="3518" spans="1:1">
      <c r="A3518" s="555"/>
    </row>
    <row r="3519" spans="1:1">
      <c r="A3519" s="555"/>
    </row>
    <row r="3520" spans="1:1">
      <c r="A3520" s="555"/>
    </row>
    <row r="3521" spans="1:1">
      <c r="A3521" s="555"/>
    </row>
    <row r="3522" spans="1:1">
      <c r="A3522" s="555"/>
    </row>
    <row r="3523" spans="1:1">
      <c r="A3523" s="555"/>
    </row>
    <row r="3524" spans="1:1">
      <c r="A3524" s="555"/>
    </row>
    <row r="3525" spans="1:1">
      <c r="A3525" s="555"/>
    </row>
    <row r="3526" spans="1:1">
      <c r="A3526" s="555"/>
    </row>
    <row r="3527" spans="1:1">
      <c r="A3527" s="555"/>
    </row>
    <row r="3528" spans="1:1">
      <c r="A3528" s="555"/>
    </row>
    <row r="3529" spans="1:1">
      <c r="A3529" s="555"/>
    </row>
    <row r="3530" spans="1:1">
      <c r="A3530" s="555"/>
    </row>
    <row r="3531" spans="1:1">
      <c r="A3531" s="555"/>
    </row>
    <row r="3532" spans="1:1">
      <c r="A3532" s="555"/>
    </row>
    <row r="3533" spans="1:1">
      <c r="A3533" s="555"/>
    </row>
    <row r="3534" spans="1:1">
      <c r="A3534" s="555"/>
    </row>
    <row r="3535" spans="1:1">
      <c r="A3535" s="555"/>
    </row>
    <row r="3536" spans="1:1">
      <c r="A3536" s="555"/>
    </row>
    <row r="3537" spans="1:1">
      <c r="A3537" s="555"/>
    </row>
    <row r="3538" spans="1:1">
      <c r="A3538" s="555"/>
    </row>
    <row r="3539" spans="1:1">
      <c r="A3539" s="555"/>
    </row>
    <row r="3540" spans="1:1">
      <c r="A3540" s="555"/>
    </row>
    <row r="3541" spans="1:1">
      <c r="A3541" s="555"/>
    </row>
    <row r="3542" spans="1:1">
      <c r="A3542" s="555"/>
    </row>
    <row r="3543" spans="1:1">
      <c r="A3543" s="555"/>
    </row>
    <row r="3544" spans="1:1">
      <c r="A3544" s="555"/>
    </row>
    <row r="3545" spans="1:1">
      <c r="A3545" s="555"/>
    </row>
    <row r="3546" spans="1:1">
      <c r="A3546" s="555"/>
    </row>
    <row r="3547" spans="1:1">
      <c r="A3547" s="555"/>
    </row>
    <row r="3548" spans="1:1">
      <c r="A3548" s="555"/>
    </row>
    <row r="3549" spans="1:1">
      <c r="A3549" s="555"/>
    </row>
    <row r="3550" spans="1:1">
      <c r="A3550" s="555"/>
    </row>
    <row r="3551" spans="1:1">
      <c r="A3551" s="555"/>
    </row>
    <row r="3552" spans="1:1">
      <c r="A3552" s="555"/>
    </row>
    <row r="3553" spans="1:1">
      <c r="A3553" s="555"/>
    </row>
    <row r="3554" spans="1:1">
      <c r="A3554" s="555"/>
    </row>
    <row r="3555" spans="1:1">
      <c r="A3555" s="555"/>
    </row>
    <row r="3556" spans="1:1">
      <c r="A3556" s="555"/>
    </row>
    <row r="3557" spans="1:1">
      <c r="A3557" s="555"/>
    </row>
    <row r="3558" spans="1:1">
      <c r="A3558" s="555"/>
    </row>
    <row r="3559" spans="1:1">
      <c r="A3559" s="555"/>
    </row>
    <row r="3560" spans="1:1">
      <c r="A3560" s="555"/>
    </row>
    <row r="3561" spans="1:1">
      <c r="A3561" s="555"/>
    </row>
    <row r="3562" spans="1:1">
      <c r="A3562" s="555"/>
    </row>
    <row r="3563" spans="1:1">
      <c r="A3563" s="555"/>
    </row>
    <row r="3564" spans="1:1">
      <c r="A3564" s="555"/>
    </row>
    <row r="3565" spans="1:1">
      <c r="A3565" s="555"/>
    </row>
    <row r="3566" spans="1:1">
      <c r="A3566" s="555"/>
    </row>
    <row r="3567" spans="1:1">
      <c r="A3567" s="555"/>
    </row>
    <row r="3568" spans="1:1">
      <c r="A3568" s="555"/>
    </row>
    <row r="3569" spans="1:1">
      <c r="A3569" s="555"/>
    </row>
    <row r="3570" spans="1:1">
      <c r="A3570" s="555"/>
    </row>
    <row r="3571" spans="1:1">
      <c r="A3571" s="555"/>
    </row>
    <row r="3572" spans="1:1">
      <c r="A3572" s="555"/>
    </row>
    <row r="3573" spans="1:1">
      <c r="A3573" s="555"/>
    </row>
    <row r="3574" spans="1:1">
      <c r="A3574" s="555"/>
    </row>
    <row r="3575" spans="1:1">
      <c r="A3575" s="555"/>
    </row>
    <row r="3576" spans="1:1">
      <c r="A3576" s="555"/>
    </row>
    <row r="3577" spans="1:1">
      <c r="A3577" s="555"/>
    </row>
    <row r="3578" spans="1:1">
      <c r="A3578" s="555"/>
    </row>
    <row r="3579" spans="1:1">
      <c r="A3579" s="555"/>
    </row>
    <row r="3580" spans="1:1">
      <c r="A3580" s="555"/>
    </row>
    <row r="3581" spans="1:1">
      <c r="A3581" s="555"/>
    </row>
    <row r="3582" spans="1:1">
      <c r="A3582" s="555"/>
    </row>
    <row r="3583" spans="1:1">
      <c r="A3583" s="555"/>
    </row>
    <row r="3584" spans="1:1">
      <c r="A3584" s="555"/>
    </row>
    <row r="3585" spans="1:1">
      <c r="A3585" s="555"/>
    </row>
    <row r="3586" spans="1:1">
      <c r="A3586" s="555"/>
    </row>
    <row r="3587" spans="1:1">
      <c r="A3587" s="555"/>
    </row>
    <row r="3588" spans="1:1">
      <c r="A3588" s="555"/>
    </row>
    <row r="3589" spans="1:1">
      <c r="A3589" s="555"/>
    </row>
    <row r="3590" spans="1:1">
      <c r="A3590" s="555"/>
    </row>
    <row r="3591" spans="1:1">
      <c r="A3591" s="555"/>
    </row>
    <row r="3592" spans="1:1">
      <c r="A3592" s="555"/>
    </row>
    <row r="3593" spans="1:1">
      <c r="A3593" s="555"/>
    </row>
    <row r="3594" spans="1:1">
      <c r="A3594" s="555"/>
    </row>
    <row r="3595" spans="1:1">
      <c r="A3595" s="555"/>
    </row>
    <row r="3596" spans="1:1">
      <c r="A3596" s="555"/>
    </row>
    <row r="3597" spans="1:1">
      <c r="A3597" s="555"/>
    </row>
    <row r="3598" spans="1:1">
      <c r="A3598" s="555"/>
    </row>
    <row r="3599" spans="1:1">
      <c r="A3599" s="555"/>
    </row>
    <row r="3600" spans="1:1">
      <c r="A3600" s="555"/>
    </row>
    <row r="3601" spans="1:1">
      <c r="A3601" s="555"/>
    </row>
    <row r="3602" spans="1:1">
      <c r="A3602" s="555"/>
    </row>
    <row r="3603" spans="1:1">
      <c r="A3603" s="555"/>
    </row>
    <row r="3604" spans="1:1">
      <c r="A3604" s="555"/>
    </row>
    <row r="3605" spans="1:1">
      <c r="A3605" s="555"/>
    </row>
    <row r="3606" spans="1:1">
      <c r="A3606" s="555"/>
    </row>
    <row r="3607" spans="1:1">
      <c r="A3607" s="555"/>
    </row>
    <row r="3608" spans="1:1">
      <c r="A3608" s="555"/>
    </row>
    <row r="3609" spans="1:1">
      <c r="A3609" s="555"/>
    </row>
    <row r="3610" spans="1:1">
      <c r="A3610" s="555"/>
    </row>
    <row r="3611" spans="1:1">
      <c r="A3611" s="555"/>
    </row>
    <row r="3612" spans="1:1">
      <c r="A3612" s="555"/>
    </row>
    <row r="3613" spans="1:1">
      <c r="A3613" s="555"/>
    </row>
    <row r="3614" spans="1:1">
      <c r="A3614" s="555"/>
    </row>
    <row r="3615" spans="1:1">
      <c r="A3615" s="555"/>
    </row>
    <row r="3616" spans="1:1">
      <c r="A3616" s="555"/>
    </row>
    <row r="3617" spans="1:1">
      <c r="A3617" s="555"/>
    </row>
    <row r="3618" spans="1:1">
      <c r="A3618" s="555"/>
    </row>
    <row r="3619" spans="1:1">
      <c r="A3619" s="555"/>
    </row>
    <row r="3620" spans="1:1">
      <c r="A3620" s="555"/>
    </row>
    <row r="3621" spans="1:1">
      <c r="A3621" s="555"/>
    </row>
    <row r="3622" spans="1:1">
      <c r="A3622" s="555"/>
    </row>
    <row r="3623" spans="1:1">
      <c r="A3623" s="555"/>
    </row>
    <row r="3624" spans="1:1">
      <c r="A3624" s="555"/>
    </row>
    <row r="3625" spans="1:1">
      <c r="A3625" s="555"/>
    </row>
    <row r="3626" spans="1:1">
      <c r="A3626" s="555"/>
    </row>
    <row r="3627" spans="1:1">
      <c r="A3627" s="555"/>
    </row>
    <row r="3628" spans="1:1">
      <c r="A3628" s="555"/>
    </row>
    <row r="3629" spans="1:1">
      <c r="A3629" s="555"/>
    </row>
    <row r="3630" spans="1:1">
      <c r="A3630" s="555"/>
    </row>
    <row r="3631" spans="1:1">
      <c r="A3631" s="555"/>
    </row>
    <row r="3632" spans="1:1">
      <c r="A3632" s="555"/>
    </row>
    <row r="3633" spans="1:1">
      <c r="A3633" s="555"/>
    </row>
    <row r="3634" spans="1:1">
      <c r="A3634" s="555"/>
    </row>
    <row r="3635" spans="1:1">
      <c r="A3635" s="555"/>
    </row>
    <row r="3636" spans="1:1">
      <c r="A3636" s="555"/>
    </row>
    <row r="3637" spans="1:1">
      <c r="A3637" s="555"/>
    </row>
    <row r="3638" spans="1:1">
      <c r="A3638" s="555"/>
    </row>
    <row r="3639" spans="1:1">
      <c r="A3639" s="555"/>
    </row>
    <row r="3640" spans="1:1">
      <c r="A3640" s="555"/>
    </row>
    <row r="3641" spans="1:1">
      <c r="A3641" s="555"/>
    </row>
    <row r="3642" spans="1:1">
      <c r="A3642" s="555"/>
    </row>
    <row r="3643" spans="1:1">
      <c r="A3643" s="555"/>
    </row>
    <row r="3644" spans="1:1">
      <c r="A3644" s="555"/>
    </row>
    <row r="3645" spans="1:1">
      <c r="A3645" s="555"/>
    </row>
    <row r="3646" spans="1:1">
      <c r="A3646" s="555"/>
    </row>
    <row r="3647" spans="1:1">
      <c r="A3647" s="555"/>
    </row>
    <row r="3648" spans="1:1">
      <c r="A3648" s="555"/>
    </row>
    <row r="3649" spans="1:1">
      <c r="A3649" s="555"/>
    </row>
    <row r="3650" spans="1:1">
      <c r="A3650" s="555"/>
    </row>
    <row r="3651" spans="1:1">
      <c r="A3651" s="555"/>
    </row>
    <row r="3652" spans="1:1">
      <c r="A3652" s="555"/>
    </row>
    <row r="3653" spans="1:1">
      <c r="A3653" s="555"/>
    </row>
    <row r="3654" spans="1:1">
      <c r="A3654" s="555"/>
    </row>
    <row r="3655" spans="1:1">
      <c r="A3655" s="555"/>
    </row>
    <row r="3656" spans="1:1">
      <c r="A3656" s="555"/>
    </row>
    <row r="3657" spans="1:1">
      <c r="A3657" s="555"/>
    </row>
    <row r="3658" spans="1:1">
      <c r="A3658" s="555"/>
    </row>
    <row r="3659" spans="1:1">
      <c r="A3659" s="555"/>
    </row>
    <row r="3660" spans="1:1">
      <c r="A3660" s="555"/>
    </row>
    <row r="3661" spans="1:1">
      <c r="A3661" s="555"/>
    </row>
    <row r="3662" spans="1:1">
      <c r="A3662" s="555"/>
    </row>
    <row r="3663" spans="1:1">
      <c r="A3663" s="555"/>
    </row>
    <row r="3664" spans="1:1">
      <c r="A3664" s="555"/>
    </row>
    <row r="3665" spans="1:1">
      <c r="A3665" s="555"/>
    </row>
    <row r="3666" spans="1:1">
      <c r="A3666" s="555"/>
    </row>
    <row r="3667" spans="1:1">
      <c r="A3667" s="555"/>
    </row>
    <row r="3668" spans="1:1">
      <c r="A3668" s="555"/>
    </row>
    <row r="3669" spans="1:1">
      <c r="A3669" s="555"/>
    </row>
    <row r="3670" spans="1:1">
      <c r="A3670" s="555"/>
    </row>
    <row r="3671" spans="1:1">
      <c r="A3671" s="555"/>
    </row>
    <row r="3672" spans="1:1">
      <c r="A3672" s="555"/>
    </row>
    <row r="3673" spans="1:1">
      <c r="A3673" s="555"/>
    </row>
    <row r="3674" spans="1:1">
      <c r="A3674" s="555"/>
    </row>
    <row r="3675" spans="1:1">
      <c r="A3675" s="555"/>
    </row>
    <row r="3676" spans="1:1">
      <c r="A3676" s="555"/>
    </row>
    <row r="3677" spans="1:1">
      <c r="A3677" s="555"/>
    </row>
    <row r="3678" spans="1:1">
      <c r="A3678" s="555"/>
    </row>
    <row r="3679" spans="1:1">
      <c r="A3679" s="555"/>
    </row>
    <row r="3680" spans="1:1">
      <c r="A3680" s="555"/>
    </row>
    <row r="3681" spans="1:1">
      <c r="A3681" s="555"/>
    </row>
    <row r="3682" spans="1:1">
      <c r="A3682" s="555"/>
    </row>
    <row r="3683" spans="1:1">
      <c r="A3683" s="555"/>
    </row>
    <row r="3684" spans="1:1">
      <c r="A3684" s="555"/>
    </row>
    <row r="3685" spans="1:1">
      <c r="A3685" s="555"/>
    </row>
    <row r="3686" spans="1:1">
      <c r="A3686" s="555"/>
    </row>
    <row r="3687" spans="1:1">
      <c r="A3687" s="555"/>
    </row>
    <row r="3688" spans="1:1">
      <c r="A3688" s="555"/>
    </row>
    <row r="3689" spans="1:1">
      <c r="A3689" s="555"/>
    </row>
    <row r="3690" spans="1:1">
      <c r="A3690" s="555"/>
    </row>
    <row r="3691" spans="1:1">
      <c r="A3691" s="555"/>
    </row>
    <row r="3692" spans="1:1">
      <c r="A3692" s="555"/>
    </row>
    <row r="3693" spans="1:1">
      <c r="A3693" s="555"/>
    </row>
    <row r="3694" spans="1:1">
      <c r="A3694" s="555"/>
    </row>
    <row r="3695" spans="1:1">
      <c r="A3695" s="555"/>
    </row>
    <row r="3696" spans="1:1">
      <c r="A3696" s="555"/>
    </row>
    <row r="3697" spans="1:1">
      <c r="A3697" s="555"/>
    </row>
    <row r="3698" spans="1:1">
      <c r="A3698" s="555"/>
    </row>
    <row r="3699" spans="1:1">
      <c r="A3699" s="555"/>
    </row>
    <row r="3700" spans="1:1">
      <c r="A3700" s="555"/>
    </row>
    <row r="3701" spans="1:1">
      <c r="A3701" s="555"/>
    </row>
    <row r="3702" spans="1:1">
      <c r="A3702" s="555"/>
    </row>
    <row r="3703" spans="1:1">
      <c r="A3703" s="555"/>
    </row>
    <row r="3704" spans="1:1">
      <c r="A3704" s="555"/>
    </row>
    <row r="3705" spans="1:1">
      <c r="A3705" s="555"/>
    </row>
    <row r="3706" spans="1:1">
      <c r="A3706" s="555"/>
    </row>
    <row r="3707" spans="1:1">
      <c r="A3707" s="555"/>
    </row>
    <row r="3708" spans="1:1">
      <c r="A3708" s="555"/>
    </row>
    <row r="3709" spans="1:1">
      <c r="A3709" s="555"/>
    </row>
    <row r="3710" spans="1:1">
      <c r="A3710" s="555"/>
    </row>
    <row r="3711" spans="1:1">
      <c r="A3711" s="555"/>
    </row>
    <row r="3712" spans="1:1">
      <c r="A3712" s="555"/>
    </row>
    <row r="3713" spans="1:1">
      <c r="A3713" s="555"/>
    </row>
    <row r="3714" spans="1:1">
      <c r="A3714" s="555"/>
    </row>
    <row r="3715" spans="1:1">
      <c r="A3715" s="555"/>
    </row>
    <row r="3716" spans="1:1">
      <c r="A3716" s="555"/>
    </row>
    <row r="3717" spans="1:1">
      <c r="A3717" s="555"/>
    </row>
    <row r="3718" spans="1:1">
      <c r="A3718" s="555"/>
    </row>
    <row r="3719" spans="1:1">
      <c r="A3719" s="555"/>
    </row>
    <row r="3720" spans="1:1">
      <c r="A3720" s="555"/>
    </row>
    <row r="3721" spans="1:1">
      <c r="A3721" s="555"/>
    </row>
    <row r="3722" spans="1:1">
      <c r="A3722" s="555"/>
    </row>
    <row r="3723" spans="1:1">
      <c r="A3723" s="555"/>
    </row>
    <row r="3724" spans="1:1">
      <c r="A3724" s="555"/>
    </row>
    <row r="3725" spans="1:1">
      <c r="A3725" s="555"/>
    </row>
    <row r="3726" spans="1:1">
      <c r="A3726" s="555"/>
    </row>
    <row r="3727" spans="1:1">
      <c r="A3727" s="555"/>
    </row>
    <row r="3728" spans="1:1">
      <c r="A3728" s="555"/>
    </row>
    <row r="3729" spans="1:1">
      <c r="A3729" s="555"/>
    </row>
    <row r="3730" spans="1:1">
      <c r="A3730" s="555"/>
    </row>
    <row r="3731" spans="1:1">
      <c r="A3731" s="555"/>
    </row>
    <row r="3732" spans="1:1">
      <c r="A3732" s="555"/>
    </row>
    <row r="3733" spans="1:1">
      <c r="A3733" s="555"/>
    </row>
    <row r="3734" spans="1:1">
      <c r="A3734" s="555"/>
    </row>
    <row r="3735" spans="1:1">
      <c r="A3735" s="555"/>
    </row>
    <row r="3736" spans="1:1">
      <c r="A3736" s="555"/>
    </row>
    <row r="3737" spans="1:1">
      <c r="A3737" s="555"/>
    </row>
    <row r="3738" spans="1:1">
      <c r="A3738" s="555"/>
    </row>
    <row r="3739" spans="1:1">
      <c r="A3739" s="555"/>
    </row>
    <row r="3740" spans="1:1">
      <c r="A3740" s="555"/>
    </row>
    <row r="3741" spans="1:1">
      <c r="A3741" s="555"/>
    </row>
    <row r="3742" spans="1:1">
      <c r="A3742" s="555"/>
    </row>
    <row r="3743" spans="1:1">
      <c r="A3743" s="555"/>
    </row>
    <row r="3744" spans="1:1">
      <c r="A3744" s="555"/>
    </row>
    <row r="3745" spans="1:1">
      <c r="A3745" s="555"/>
    </row>
    <row r="3746" spans="1:1">
      <c r="A3746" s="555"/>
    </row>
    <row r="3747" spans="1:1">
      <c r="A3747" s="555"/>
    </row>
    <row r="3748" spans="1:1">
      <c r="A3748" s="555"/>
    </row>
    <row r="3749" spans="1:1">
      <c r="A3749" s="555"/>
    </row>
    <row r="3750" spans="1:1">
      <c r="A3750" s="555"/>
    </row>
    <row r="3751" spans="1:1">
      <c r="A3751" s="555"/>
    </row>
    <row r="3752" spans="1:1">
      <c r="A3752" s="555"/>
    </row>
    <row r="3753" spans="1:1">
      <c r="A3753" s="555"/>
    </row>
    <row r="3754" spans="1:1">
      <c r="A3754" s="555"/>
    </row>
    <row r="3755" spans="1:1">
      <c r="A3755" s="555"/>
    </row>
    <row r="3756" spans="1:1">
      <c r="A3756" s="555"/>
    </row>
    <row r="3757" spans="1:1">
      <c r="A3757" s="555"/>
    </row>
    <row r="3758" spans="1:1">
      <c r="A3758" s="555"/>
    </row>
    <row r="3759" spans="1:1">
      <c r="A3759" s="555"/>
    </row>
    <row r="3760" spans="1:1">
      <c r="A3760" s="555"/>
    </row>
    <row r="3761" spans="1:1">
      <c r="A3761" s="555"/>
    </row>
    <row r="3762" spans="1:1">
      <c r="A3762" s="555"/>
    </row>
    <row r="3763" spans="1:1">
      <c r="A3763" s="555"/>
    </row>
    <row r="3764" spans="1:1">
      <c r="A3764" s="555"/>
    </row>
    <row r="3765" spans="1:1">
      <c r="A3765" s="555"/>
    </row>
    <row r="3766" spans="1:1">
      <c r="A3766" s="555"/>
    </row>
    <row r="3767" spans="1:1">
      <c r="A3767" s="555"/>
    </row>
    <row r="3768" spans="1:1">
      <c r="A3768" s="555"/>
    </row>
    <row r="3769" spans="1:1">
      <c r="A3769" s="555"/>
    </row>
    <row r="3770" spans="1:1">
      <c r="A3770" s="555"/>
    </row>
    <row r="3771" spans="1:1">
      <c r="A3771" s="555"/>
    </row>
    <row r="3772" spans="1:1">
      <c r="A3772" s="555"/>
    </row>
    <row r="3773" spans="1:1">
      <c r="A3773" s="555"/>
    </row>
    <row r="3774" spans="1:1">
      <c r="A3774" s="555"/>
    </row>
    <row r="3775" spans="1:1">
      <c r="A3775" s="555"/>
    </row>
    <row r="3776" spans="1:1">
      <c r="A3776" s="555"/>
    </row>
    <row r="3777" spans="1:1">
      <c r="A3777" s="555"/>
    </row>
    <row r="3778" spans="1:1">
      <c r="A3778" s="555"/>
    </row>
    <row r="3779" spans="1:1">
      <c r="A3779" s="555"/>
    </row>
    <row r="3780" spans="1:1">
      <c r="A3780" s="555"/>
    </row>
    <row r="3781" spans="1:1">
      <c r="A3781" s="555"/>
    </row>
    <row r="3782" spans="1:1">
      <c r="A3782" s="555"/>
    </row>
    <row r="3783" spans="1:1">
      <c r="A3783" s="555"/>
    </row>
    <row r="3784" spans="1:1">
      <c r="A3784" s="555"/>
    </row>
    <row r="3785" spans="1:1">
      <c r="A3785" s="555"/>
    </row>
    <row r="3786" spans="1:1">
      <c r="A3786" s="555"/>
    </row>
    <row r="3787" spans="1:1">
      <c r="A3787" s="555"/>
    </row>
    <row r="3788" spans="1:1">
      <c r="A3788" s="555"/>
    </row>
    <row r="3789" spans="1:1">
      <c r="A3789" s="555"/>
    </row>
    <row r="3790" spans="1:1">
      <c r="A3790" s="555"/>
    </row>
    <row r="3791" spans="1:1">
      <c r="A3791" s="555"/>
    </row>
    <row r="3792" spans="1:1">
      <c r="A3792" s="555"/>
    </row>
    <row r="3793" spans="1:1">
      <c r="A3793" s="555"/>
    </row>
    <row r="3794" spans="1:1">
      <c r="A3794" s="555"/>
    </row>
    <row r="3795" spans="1:1">
      <c r="A3795" s="555"/>
    </row>
    <row r="3796" spans="1:1">
      <c r="A3796" s="555"/>
    </row>
    <row r="3797" spans="1:1">
      <c r="A3797" s="555"/>
    </row>
    <row r="3798" spans="1:1">
      <c r="A3798" s="555"/>
    </row>
    <row r="3799" spans="1:1">
      <c r="A3799" s="555"/>
    </row>
    <row r="3800" spans="1:1">
      <c r="A3800" s="555"/>
    </row>
    <row r="3801" spans="1:1">
      <c r="A3801" s="555"/>
    </row>
    <row r="3802" spans="1:1">
      <c r="A3802" s="555"/>
    </row>
    <row r="3803" spans="1:1">
      <c r="A3803" s="555"/>
    </row>
    <row r="3804" spans="1:1">
      <c r="A3804" s="555"/>
    </row>
    <row r="3805" spans="1:1">
      <c r="A3805" s="555"/>
    </row>
    <row r="3806" spans="1:1">
      <c r="A3806" s="555"/>
    </row>
    <row r="3807" spans="1:1">
      <c r="A3807" s="555"/>
    </row>
    <row r="3808" spans="1:1">
      <c r="A3808" s="555"/>
    </row>
    <row r="3809" spans="1:1">
      <c r="A3809" s="555"/>
    </row>
    <row r="3810" spans="1:1">
      <c r="A3810" s="555"/>
    </row>
    <row r="3811" spans="1:1">
      <c r="A3811" s="555"/>
    </row>
    <row r="3812" spans="1:1">
      <c r="A3812" s="555"/>
    </row>
    <row r="3813" spans="1:1">
      <c r="A3813" s="555"/>
    </row>
    <row r="3814" spans="1:1">
      <c r="A3814" s="555"/>
    </row>
    <row r="3815" spans="1:1">
      <c r="A3815" s="555"/>
    </row>
    <row r="3816" spans="1:1">
      <c r="A3816" s="555"/>
    </row>
    <row r="3817" spans="1:1">
      <c r="A3817" s="555"/>
    </row>
    <row r="3818" spans="1:1">
      <c r="A3818" s="555"/>
    </row>
    <row r="3819" spans="1:1">
      <c r="A3819" s="555"/>
    </row>
    <row r="3820" spans="1:1">
      <c r="A3820" s="555"/>
    </row>
    <row r="3821" spans="1:1">
      <c r="A3821" s="555"/>
    </row>
    <row r="3822" spans="1:1">
      <c r="A3822" s="555"/>
    </row>
    <row r="3823" spans="1:1">
      <c r="A3823" s="555"/>
    </row>
    <row r="3824" spans="1:1">
      <c r="A3824" s="555"/>
    </row>
    <row r="3825" spans="1:1">
      <c r="A3825" s="555"/>
    </row>
    <row r="3826" spans="1:1">
      <c r="A3826" s="555"/>
    </row>
    <row r="3827" spans="1:1">
      <c r="A3827" s="555"/>
    </row>
    <row r="3828" spans="1:1">
      <c r="A3828" s="555"/>
    </row>
    <row r="3829" spans="1:1">
      <c r="A3829" s="555"/>
    </row>
    <row r="3830" spans="1:1">
      <c r="A3830" s="555"/>
    </row>
    <row r="3831" spans="1:1">
      <c r="A3831" s="555"/>
    </row>
    <row r="3832" spans="1:1">
      <c r="A3832" s="555"/>
    </row>
    <row r="3833" spans="1:1">
      <c r="A3833" s="555"/>
    </row>
    <row r="3834" spans="1:1">
      <c r="A3834" s="555"/>
    </row>
    <row r="3835" spans="1:1">
      <c r="A3835" s="555"/>
    </row>
    <row r="3836" spans="1:1">
      <c r="A3836" s="555"/>
    </row>
    <row r="3837" spans="1:1">
      <c r="A3837" s="555"/>
    </row>
    <row r="3838" spans="1:1">
      <c r="A3838" s="555"/>
    </row>
    <row r="3839" spans="1:1">
      <c r="A3839" s="555"/>
    </row>
    <row r="3840" spans="1:1">
      <c r="A3840" s="555"/>
    </row>
    <row r="3841" spans="1:1">
      <c r="A3841" s="555"/>
    </row>
    <row r="3842" spans="1:1">
      <c r="A3842" s="555"/>
    </row>
    <row r="3843" spans="1:1">
      <c r="A3843" s="555"/>
    </row>
    <row r="3844" spans="1:1">
      <c r="A3844" s="555"/>
    </row>
    <row r="3845" spans="1:1">
      <c r="A3845" s="555"/>
    </row>
    <row r="3846" spans="1:1">
      <c r="A3846" s="555"/>
    </row>
    <row r="3847" spans="1:1">
      <c r="A3847" s="555"/>
    </row>
    <row r="3848" spans="1:1">
      <c r="A3848" s="555"/>
    </row>
    <row r="3849" spans="1:1">
      <c r="A3849" s="555"/>
    </row>
    <row r="3850" spans="1:1">
      <c r="A3850" s="555"/>
    </row>
    <row r="3851" spans="1:1">
      <c r="A3851" s="555"/>
    </row>
    <row r="3852" spans="1:1">
      <c r="A3852" s="555"/>
    </row>
    <row r="3853" spans="1:1">
      <c r="A3853" s="555"/>
    </row>
    <row r="3854" spans="1:1">
      <c r="A3854" s="555"/>
    </row>
    <row r="3855" spans="1:1">
      <c r="A3855" s="555"/>
    </row>
    <row r="3856" spans="1:1">
      <c r="A3856" s="555"/>
    </row>
    <row r="3857" spans="1:1">
      <c r="A3857" s="555"/>
    </row>
    <row r="3858" spans="1:1">
      <c r="A3858" s="555"/>
    </row>
    <row r="3859" spans="1:1">
      <c r="A3859" s="555"/>
    </row>
    <row r="3860" spans="1:1">
      <c r="A3860" s="555"/>
    </row>
    <row r="3861" spans="1:1">
      <c r="A3861" s="555"/>
    </row>
    <row r="3862" spans="1:1">
      <c r="A3862" s="555"/>
    </row>
    <row r="3863" spans="1:1">
      <c r="A3863" s="555"/>
    </row>
    <row r="3864" spans="1:1">
      <c r="A3864" s="555"/>
    </row>
    <row r="3865" spans="1:1">
      <c r="A3865" s="555"/>
    </row>
    <row r="3866" spans="1:1">
      <c r="A3866" s="555"/>
    </row>
    <row r="3867" spans="1:1">
      <c r="A3867" s="555"/>
    </row>
    <row r="3868" spans="1:1">
      <c r="A3868" s="555"/>
    </row>
    <row r="3869" spans="1:1">
      <c r="A3869" s="555"/>
    </row>
    <row r="3870" spans="1:1">
      <c r="A3870" s="555"/>
    </row>
    <row r="3871" spans="1:1">
      <c r="A3871" s="555"/>
    </row>
    <row r="3872" spans="1:1">
      <c r="A3872" s="555"/>
    </row>
    <row r="3873" spans="1:1">
      <c r="A3873" s="555"/>
    </row>
    <row r="3874" spans="1:1">
      <c r="A3874" s="555"/>
    </row>
    <row r="3875" spans="1:1">
      <c r="A3875" s="555"/>
    </row>
    <row r="3876" spans="1:1">
      <c r="A3876" s="555"/>
    </row>
    <row r="3877" spans="1:1">
      <c r="A3877" s="555"/>
    </row>
    <row r="3878" spans="1:1">
      <c r="A3878" s="555"/>
    </row>
    <row r="3879" spans="1:1">
      <c r="A3879" s="555"/>
    </row>
    <row r="3880" spans="1:1">
      <c r="A3880" s="555"/>
    </row>
    <row r="3881" spans="1:1">
      <c r="A3881" s="555"/>
    </row>
    <row r="3882" spans="1:1">
      <c r="A3882" s="555"/>
    </row>
    <row r="3883" spans="1:1">
      <c r="A3883" s="555"/>
    </row>
    <row r="3884" spans="1:1">
      <c r="A3884" s="555"/>
    </row>
    <row r="3885" spans="1:1">
      <c r="A3885" s="555"/>
    </row>
    <row r="3886" spans="1:1">
      <c r="A3886" s="555"/>
    </row>
    <row r="3887" spans="1:1">
      <c r="A3887" s="555"/>
    </row>
    <row r="3888" spans="1:1">
      <c r="A3888" s="555"/>
    </row>
    <row r="3889" spans="1:1">
      <c r="A3889" s="555"/>
    </row>
    <row r="3890" spans="1:1">
      <c r="A3890" s="555"/>
    </row>
    <row r="3891" spans="1:1">
      <c r="A3891" s="555"/>
    </row>
    <row r="3892" spans="1:1">
      <c r="A3892" s="555"/>
    </row>
    <row r="3893" spans="1:1">
      <c r="A3893" s="555"/>
    </row>
    <row r="3894" spans="1:1">
      <c r="A3894" s="555"/>
    </row>
    <row r="3895" spans="1:1">
      <c r="A3895" s="555"/>
    </row>
    <row r="3896" spans="1:1">
      <c r="A3896" s="555"/>
    </row>
    <row r="3897" spans="1:1">
      <c r="A3897" s="555"/>
    </row>
    <row r="3898" spans="1:1">
      <c r="A3898" s="555"/>
    </row>
    <row r="3899" spans="1:1">
      <c r="A3899" s="555"/>
    </row>
    <row r="3900" spans="1:1">
      <c r="A3900" s="555"/>
    </row>
    <row r="3901" spans="1:1">
      <c r="A3901" s="555"/>
    </row>
    <row r="3902" spans="1:1">
      <c r="A3902" s="555"/>
    </row>
    <row r="3903" spans="1:1">
      <c r="A3903" s="555"/>
    </row>
    <row r="3904" spans="1:1">
      <c r="A3904" s="555"/>
    </row>
    <row r="3905" spans="1:1">
      <c r="A3905" s="555"/>
    </row>
    <row r="3906" spans="1:1">
      <c r="A3906" s="555"/>
    </row>
    <row r="3907" spans="1:1">
      <c r="A3907" s="555"/>
    </row>
    <row r="3908" spans="1:1">
      <c r="A3908" s="555"/>
    </row>
    <row r="3909" spans="1:1">
      <c r="A3909" s="555"/>
    </row>
    <row r="3910" spans="1:1">
      <c r="A3910" s="555"/>
    </row>
    <row r="3911" spans="1:1">
      <c r="A3911" s="555"/>
    </row>
    <row r="3912" spans="1:1">
      <c r="A3912" s="555"/>
    </row>
    <row r="3913" spans="1:1">
      <c r="A3913" s="555"/>
    </row>
    <row r="3914" spans="1:1">
      <c r="A3914" s="555"/>
    </row>
    <row r="3915" spans="1:1">
      <c r="A3915" s="555"/>
    </row>
    <row r="3916" spans="1:1">
      <c r="A3916" s="555"/>
    </row>
    <row r="3917" spans="1:1">
      <c r="A3917" s="555"/>
    </row>
    <row r="3918" spans="1:1">
      <c r="A3918" s="555"/>
    </row>
    <row r="3919" spans="1:1">
      <c r="A3919" s="555"/>
    </row>
    <row r="3920" spans="1:1">
      <c r="A3920" s="555"/>
    </row>
    <row r="3921" spans="1:1">
      <c r="A3921" s="555"/>
    </row>
    <row r="3922" spans="1:1">
      <c r="A3922" s="555"/>
    </row>
    <row r="3923" spans="1:1">
      <c r="A3923" s="555"/>
    </row>
    <row r="3924" spans="1:1">
      <c r="A3924" s="555"/>
    </row>
    <row r="3925" spans="1:1">
      <c r="A3925" s="555"/>
    </row>
    <row r="3926" spans="1:1">
      <c r="A3926" s="555"/>
    </row>
    <row r="3927" spans="1:1">
      <c r="A3927" s="555"/>
    </row>
    <row r="3928" spans="1:1">
      <c r="A3928" s="555"/>
    </row>
    <row r="3929" spans="1:1">
      <c r="A3929" s="555"/>
    </row>
    <row r="3930" spans="1:1">
      <c r="A3930" s="555"/>
    </row>
    <row r="3931" spans="1:1">
      <c r="A3931" s="555"/>
    </row>
    <row r="3932" spans="1:1">
      <c r="A3932" s="555"/>
    </row>
    <row r="3933" spans="1:1">
      <c r="A3933" s="555"/>
    </row>
    <row r="3934" spans="1:1">
      <c r="A3934" s="555"/>
    </row>
    <row r="3935" spans="1:1">
      <c r="A3935" s="555"/>
    </row>
    <row r="3936" spans="1:1">
      <c r="A3936" s="555"/>
    </row>
    <row r="3937" spans="1:1">
      <c r="A3937" s="555"/>
    </row>
    <row r="3938" spans="1:1">
      <c r="A3938" s="555"/>
    </row>
    <row r="3939" spans="1:1">
      <c r="A3939" s="555"/>
    </row>
    <row r="3940" spans="1:1">
      <c r="A3940" s="555"/>
    </row>
    <row r="3941" spans="1:1">
      <c r="A3941" s="555"/>
    </row>
    <row r="3942" spans="1:1">
      <c r="A3942" s="555"/>
    </row>
    <row r="3943" spans="1:1">
      <c r="A3943" s="555"/>
    </row>
    <row r="3944" spans="1:1">
      <c r="A3944" s="555"/>
    </row>
    <row r="3945" spans="1:1">
      <c r="A3945" s="555"/>
    </row>
    <row r="3946" spans="1:1">
      <c r="A3946" s="555"/>
    </row>
  </sheetData>
  <mergeCells count="1">
    <mergeCell ref="B44:H44"/>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activeCell="H16" sqref="H16"/>
      <selection pane="topRight" activeCell="H16" sqref="H16"/>
      <selection pane="bottomLeft" activeCell="H16" sqref="H16"/>
      <selection pane="bottomRight" activeCell="J66" sqref="J6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hidden="1"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69"/>
      <c r="I6" s="369"/>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52" t="s">
        <v>404</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52" t="s">
        <v>446</v>
      </c>
      <c r="D8" s="452">
        <v>547</v>
      </c>
      <c r="F8" s="369">
        <f t="shared" si="0"/>
        <v>124839938</v>
      </c>
      <c r="G8" s="371">
        <v>5026392</v>
      </c>
      <c r="H8" s="372">
        <v>7894662</v>
      </c>
      <c r="I8" s="372">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452" t="s">
        <v>447</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52" t="s">
        <v>448</v>
      </c>
      <c r="D10" s="368" t="s">
        <v>117</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52" t="s">
        <v>148</v>
      </c>
      <c r="D11" s="453">
        <v>447</v>
      </c>
      <c r="F11" s="369">
        <f t="shared" si="0"/>
        <v>-10697144</v>
      </c>
      <c r="G11" s="371">
        <v>-2689153</v>
      </c>
      <c r="H11" s="371">
        <v>-3954384</v>
      </c>
      <c r="I11" s="371">
        <v>-4383362</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52" t="s">
        <v>93</v>
      </c>
      <c r="D12" s="453">
        <v>565</v>
      </c>
      <c r="F12" s="369">
        <f t="shared" si="0"/>
        <v>-49355021</v>
      </c>
      <c r="G12" s="371">
        <v>9742317</v>
      </c>
      <c r="H12" s="371">
        <v>9668270</v>
      </c>
      <c r="I12" s="371">
        <v>9531005</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52" t="s">
        <v>95</v>
      </c>
      <c r="D13" s="453">
        <v>55700003</v>
      </c>
      <c r="E13" s="453"/>
      <c r="F13" s="369">
        <f t="shared" si="0"/>
        <v>86983095</v>
      </c>
      <c r="G13" s="371">
        <v>31295</v>
      </c>
      <c r="H13" s="371">
        <v>61045</v>
      </c>
      <c r="I13" s="371">
        <v>24569</v>
      </c>
      <c r="J13" s="371">
        <v>9472832</v>
      </c>
      <c r="K13" s="371">
        <v>9156560</v>
      </c>
      <c r="L13" s="371">
        <v>9392381</v>
      </c>
      <c r="M13" s="371">
        <v>9285812</v>
      </c>
      <c r="N13" s="371">
        <v>10038659</v>
      </c>
      <c r="O13" s="371">
        <v>9766167</v>
      </c>
      <c r="P13" s="371">
        <v>9970355</v>
      </c>
      <c r="Q13" s="371">
        <v>9839390</v>
      </c>
      <c r="R13" s="371">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52"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1">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t="e">
        <f>+F7+F8+F10+F9+F11+F12+#REF!+SUM(F13:F14)</f>
        <v>#REF!</v>
      </c>
      <c r="G15" s="377">
        <f t="shared" ref="G15:R15" si="1">SUM(G7:G14)</f>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52" t="s">
        <v>404</v>
      </c>
      <c r="D18" s="452">
        <v>501</v>
      </c>
      <c r="E18" s="388"/>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52" t="s">
        <v>446</v>
      </c>
      <c r="D19" s="452">
        <v>547</v>
      </c>
      <c r="E19" s="388" t="s">
        <v>118</v>
      </c>
      <c r="F19" s="382">
        <f t="shared" si="2"/>
        <v>1063362</v>
      </c>
      <c r="G19" s="371">
        <v>1063362</v>
      </c>
      <c r="H19" s="371"/>
      <c r="I19" s="371"/>
      <c r="J19" s="371"/>
      <c r="K19" s="371"/>
      <c r="L19" s="371"/>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452" t="s">
        <v>447</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52" t="s">
        <v>448</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52" t="s">
        <v>148</v>
      </c>
      <c r="D22" s="452">
        <v>447</v>
      </c>
      <c r="E22" s="390"/>
      <c r="F22" s="382">
        <f t="shared" si="2"/>
        <v>0</v>
      </c>
      <c r="G22" s="382"/>
      <c r="H22" s="369"/>
      <c r="I22" s="369"/>
      <c r="J22" s="369"/>
      <c r="K22" s="369"/>
      <c r="L22" s="369"/>
      <c r="M22" s="369"/>
      <c r="N22" s="370"/>
      <c r="O22" s="371"/>
      <c r="P22" s="370"/>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52" t="s">
        <v>93</v>
      </c>
      <c r="D23" s="452">
        <v>565</v>
      </c>
      <c r="E23" s="390"/>
      <c r="F23" s="382">
        <f t="shared" si="2"/>
        <v>0</v>
      </c>
      <c r="G23" s="382"/>
      <c r="H23" s="369"/>
      <c r="I23" s="369"/>
      <c r="J23" s="369"/>
      <c r="K23" s="369"/>
      <c r="L23" s="369"/>
      <c r="M23" s="369"/>
      <c r="N23" s="369"/>
      <c r="O23" s="371"/>
      <c r="P23" s="369"/>
      <c r="Q23" s="370"/>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52" t="s">
        <v>95</v>
      </c>
      <c r="D24" s="453">
        <v>55700003</v>
      </c>
      <c r="E24" s="390"/>
      <c r="F24" s="382">
        <f t="shared" si="2"/>
        <v>0</v>
      </c>
      <c r="G24" s="382"/>
      <c r="H24" s="369"/>
      <c r="I24" s="369"/>
      <c r="J24" s="370"/>
      <c r="K24" s="369"/>
      <c r="L24" s="369"/>
      <c r="M24" s="369"/>
      <c r="N24" s="369"/>
      <c r="O24" s="369"/>
      <c r="P24" s="369"/>
      <c r="Q24" s="369"/>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52"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52" t="s">
        <v>404</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52" t="s">
        <v>446</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452" t="s">
        <v>447</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52" t="s">
        <v>448</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52" t="s">
        <v>148</v>
      </c>
      <c r="D33" s="452">
        <v>447</v>
      </c>
      <c r="F33" s="382">
        <f t="shared" si="4"/>
        <v>-10697144</v>
      </c>
      <c r="G33" s="382">
        <f t="shared" ref="G33:R33" si="9">G22+G11</f>
        <v>-2689153</v>
      </c>
      <c r="H33" s="382">
        <f t="shared" si="9"/>
        <v>-3954384</v>
      </c>
      <c r="I33" s="382">
        <f t="shared" si="9"/>
        <v>-4383362</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52" t="s">
        <v>93</v>
      </c>
      <c r="D34" s="452">
        <v>565</v>
      </c>
      <c r="F34" s="382">
        <f t="shared" si="4"/>
        <v>-49355021</v>
      </c>
      <c r="G34" s="382">
        <f t="shared" ref="G34:R34" si="10">G23+G12</f>
        <v>9742317</v>
      </c>
      <c r="H34" s="382">
        <f t="shared" si="10"/>
        <v>9668270</v>
      </c>
      <c r="I34" s="382">
        <f t="shared" si="10"/>
        <v>9531005</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52" t="s">
        <v>95</v>
      </c>
      <c r="D35" s="452">
        <v>55700003</v>
      </c>
      <c r="F35" s="382">
        <f t="shared" si="4"/>
        <v>86983095</v>
      </c>
      <c r="G35" s="382">
        <f t="shared" ref="G35:R35" si="11">G13+G23</f>
        <v>31295</v>
      </c>
      <c r="H35" s="382">
        <f t="shared" si="11"/>
        <v>61045</v>
      </c>
      <c r="I35" s="382">
        <f t="shared" si="11"/>
        <v>24569</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52" t="s">
        <v>92</v>
      </c>
      <c r="D36" s="452">
        <v>40810005</v>
      </c>
      <c r="F36" s="382">
        <f t="shared" si="4"/>
        <v>1346488</v>
      </c>
      <c r="G36" s="382">
        <f t="shared" ref="G36:R36" si="12">+G14+G24</f>
        <v>111694</v>
      </c>
      <c r="H36" s="382">
        <f t="shared" si="12"/>
        <v>127402</v>
      </c>
      <c r="I36" s="382">
        <f t="shared" si="12"/>
        <v>127402</v>
      </c>
      <c r="J36" s="382">
        <f t="shared" si="12"/>
        <v>178554</v>
      </c>
      <c r="K36" s="382">
        <f t="shared" si="12"/>
        <v>127402</v>
      </c>
      <c r="L36" s="382">
        <f t="shared" si="12"/>
        <v>127402</v>
      </c>
      <c r="M36" s="382">
        <f t="shared" si="12"/>
        <v>-53302</v>
      </c>
      <c r="N36" s="382">
        <f t="shared" si="12"/>
        <v>127402</v>
      </c>
      <c r="O36" s="382">
        <f t="shared" si="12"/>
        <v>127402</v>
      </c>
      <c r="P36" s="382">
        <f t="shared" si="12"/>
        <v>90326</v>
      </c>
      <c r="Q36" s="382">
        <f t="shared" si="12"/>
        <v>127402</v>
      </c>
      <c r="R36" s="382">
        <f t="shared" si="12"/>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571"/>
      <c r="G41" s="571"/>
      <c r="H41" s="571"/>
      <c r="I41" s="571"/>
      <c r="J41" s="571"/>
      <c r="K41" s="571"/>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449</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C44" s="452" t="s">
        <v>450</v>
      </c>
      <c r="F44" s="426"/>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8.75" hidden="1" customHeight="1">
      <c r="C45" s="854" t="s">
        <v>451</v>
      </c>
      <c r="D45" s="854"/>
      <c r="E45" s="854"/>
      <c r="F45" s="854"/>
      <c r="G45" s="854"/>
      <c r="H45" s="854"/>
      <c r="I45" s="854"/>
      <c r="J45" s="854"/>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ht="6.75" hidden="1" customHeight="1">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ht="25.5" hidden="1" customHeight="1">
      <c r="C47" s="854" t="s">
        <v>452</v>
      </c>
      <c r="D47" s="854"/>
      <c r="E47" s="854"/>
      <c r="F47" s="854"/>
      <c r="G47" s="854"/>
      <c r="H47" s="854"/>
      <c r="I47" s="854"/>
      <c r="J47" s="854"/>
      <c r="K47" s="426"/>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ht="39" hidden="1" customHeight="1">
      <c r="B48" s="452">
        <v>75</v>
      </c>
      <c r="C48" s="863" t="s">
        <v>453</v>
      </c>
      <c r="D48" s="863"/>
      <c r="E48" s="863"/>
      <c r="F48" s="863"/>
      <c r="G48" s="863"/>
      <c r="H48" s="863"/>
      <c r="I48" s="863"/>
      <c r="J48" s="863"/>
      <c r="K48" s="863"/>
      <c r="L48" s="863"/>
      <c r="M48" s="863"/>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2:247" ht="10.5" hidden="1" customHeight="1">
      <c r="B49" s="452">
        <v>76</v>
      </c>
      <c r="C49" s="572"/>
      <c r="D49" s="572"/>
      <c r="E49" s="572"/>
      <c r="F49" s="572"/>
      <c r="G49" s="572"/>
      <c r="H49" s="572"/>
      <c r="I49" s="572"/>
      <c r="J49" s="572"/>
      <c r="K49" s="572"/>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2:247" ht="26.25" hidden="1" customHeight="1">
      <c r="B50" s="452">
        <v>77</v>
      </c>
      <c r="C50" s="862" t="s">
        <v>454</v>
      </c>
      <c r="D50" s="862"/>
      <c r="E50" s="862"/>
      <c r="F50" s="862"/>
      <c r="G50" s="862"/>
      <c r="H50" s="862"/>
      <c r="I50" s="862"/>
      <c r="J50" s="862"/>
      <c r="L50" s="426"/>
      <c r="M50" s="426"/>
      <c r="N50" s="426"/>
      <c r="O50" s="426"/>
      <c r="P50" s="426"/>
      <c r="Q50" s="426"/>
      <c r="R50" s="426"/>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2:247" ht="9.75" hidden="1" customHeight="1">
      <c r="B51" s="452">
        <v>78</v>
      </c>
      <c r="C51" s="572"/>
      <c r="D51" s="572"/>
      <c r="E51" s="572"/>
      <c r="F51" s="572"/>
      <c r="G51" s="572"/>
      <c r="H51" s="572"/>
      <c r="I51" s="572"/>
      <c r="J51" s="572"/>
      <c r="L51" s="426"/>
      <c r="M51" s="426"/>
      <c r="N51" s="426"/>
      <c r="O51" s="426"/>
      <c r="P51" s="426"/>
      <c r="Q51" s="426"/>
      <c r="R51" s="426"/>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2:247" ht="27.75" hidden="1" customHeight="1">
      <c r="B52" s="452">
        <v>79</v>
      </c>
      <c r="C52" s="862" t="s">
        <v>455</v>
      </c>
      <c r="D52" s="862"/>
      <c r="E52" s="862"/>
      <c r="F52" s="862"/>
      <c r="G52" s="862"/>
      <c r="H52" s="862"/>
      <c r="I52" s="862"/>
      <c r="J52" s="862"/>
      <c r="K52" s="862"/>
      <c r="L52" s="862"/>
      <c r="M52" s="862"/>
      <c r="N52" s="426"/>
      <c r="O52" s="426"/>
      <c r="P52" s="426"/>
      <c r="Q52" s="426"/>
      <c r="R52" s="426"/>
      <c r="S52" s="382"/>
      <c r="T52" s="447"/>
      <c r="U52" s="447"/>
      <c r="V52" s="447"/>
      <c r="W52" s="447"/>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2:247" ht="11.25" hidden="1" customHeight="1">
      <c r="B53" s="452">
        <v>80</v>
      </c>
      <c r="C53" s="572"/>
      <c r="D53" s="572"/>
      <c r="E53" s="572"/>
      <c r="F53" s="572"/>
      <c r="G53" s="572"/>
      <c r="H53" s="572"/>
      <c r="I53" s="572"/>
      <c r="J53" s="572"/>
      <c r="L53" s="426"/>
      <c r="M53" s="426"/>
      <c r="N53" s="426"/>
      <c r="O53" s="426"/>
      <c r="P53" s="426"/>
      <c r="Q53" s="426"/>
      <c r="R53" s="426"/>
      <c r="S53" s="382"/>
      <c r="T53" s="447"/>
      <c r="U53" s="447"/>
      <c r="V53" s="447"/>
      <c r="W53" s="447"/>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2:247" ht="26.25" hidden="1" customHeight="1">
      <c r="B54" s="452">
        <v>81</v>
      </c>
      <c r="C54" s="862" t="s">
        <v>456</v>
      </c>
      <c r="D54" s="862"/>
      <c r="E54" s="862"/>
      <c r="F54" s="862"/>
      <c r="G54" s="862"/>
      <c r="H54" s="862"/>
      <c r="I54" s="862"/>
      <c r="J54" s="862"/>
      <c r="K54" s="862"/>
      <c r="L54" s="862"/>
      <c r="M54" s="862"/>
      <c r="N54" s="426"/>
      <c r="O54" s="426"/>
      <c r="P54" s="426"/>
      <c r="Q54" s="426"/>
      <c r="R54" s="426"/>
      <c r="S54" s="382"/>
      <c r="T54" s="447"/>
      <c r="U54" s="447"/>
      <c r="V54" s="447"/>
      <c r="W54" s="447"/>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2:247" ht="57" hidden="1" customHeight="1">
      <c r="B55" s="452">
        <v>82</v>
      </c>
      <c r="C55" s="862" t="s">
        <v>457</v>
      </c>
      <c r="D55" s="862"/>
      <c r="E55" s="862"/>
      <c r="F55" s="862"/>
      <c r="G55" s="862"/>
      <c r="H55" s="862"/>
      <c r="K55" s="426"/>
      <c r="L55" s="426"/>
      <c r="M55" s="426"/>
      <c r="N55" s="426"/>
      <c r="O55" s="426"/>
      <c r="P55" s="426"/>
      <c r="Q55" s="426"/>
      <c r="R55" s="426"/>
      <c r="S55" s="382"/>
      <c r="T55" s="447"/>
      <c r="U55" s="447"/>
      <c r="V55" s="447"/>
      <c r="W55" s="447"/>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2:247" ht="10.5" customHeight="1">
      <c r="F56" s="426"/>
      <c r="G56" s="426"/>
      <c r="H56" s="426"/>
      <c r="I56" s="426"/>
      <c r="J56" s="426"/>
      <c r="K56" s="426"/>
      <c r="L56" s="426"/>
      <c r="M56" s="426"/>
      <c r="N56" s="426"/>
      <c r="O56" s="426"/>
      <c r="P56" s="426"/>
      <c r="Q56" s="426"/>
      <c r="R56" s="426"/>
      <c r="S56" s="382"/>
      <c r="T56" s="447"/>
      <c r="U56" s="447"/>
      <c r="V56" s="447"/>
      <c r="W56" s="447"/>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2:247">
      <c r="D57" s="390"/>
      <c r="E57" s="390"/>
      <c r="F57" s="426"/>
      <c r="G57" s="426"/>
      <c r="H57" s="426"/>
      <c r="I57" s="426"/>
      <c r="J57" s="426"/>
      <c r="K57" s="426"/>
      <c r="L57" s="426"/>
      <c r="M57" s="426"/>
      <c r="N57" s="426"/>
      <c r="O57" s="426"/>
      <c r="P57" s="426"/>
      <c r="Q57" s="426"/>
      <c r="R57" s="426"/>
      <c r="S57" s="382"/>
      <c r="T57" s="447"/>
      <c r="U57" s="447"/>
      <c r="V57" s="447"/>
      <c r="W57" s="447"/>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2:247">
      <c r="F58" s="426"/>
      <c r="G58" s="426"/>
      <c r="H58" s="426"/>
      <c r="I58" s="426"/>
      <c r="J58" s="426"/>
      <c r="K58" s="426"/>
      <c r="L58" s="426"/>
      <c r="M58" s="426"/>
      <c r="N58" s="426"/>
      <c r="O58" s="426"/>
      <c r="P58" s="426"/>
      <c r="Q58" s="426"/>
      <c r="R58" s="426"/>
      <c r="S58" s="382"/>
      <c r="T58" s="447"/>
      <c r="U58" s="447"/>
      <c r="V58" s="447"/>
      <c r="W58" s="447"/>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2:247">
      <c r="D59" s="446"/>
      <c r="F59" s="426"/>
      <c r="G59" s="426"/>
      <c r="H59" s="426"/>
      <c r="I59" s="426"/>
      <c r="J59" s="426"/>
      <c r="K59" s="426"/>
      <c r="L59" s="426"/>
      <c r="M59" s="426"/>
      <c r="N59" s="426"/>
      <c r="O59" s="426"/>
      <c r="P59" s="426"/>
      <c r="Q59" s="426"/>
      <c r="R59" s="426"/>
      <c r="S59" s="382"/>
      <c r="T59" s="447"/>
      <c r="U59" s="447"/>
      <c r="V59" s="447"/>
      <c r="W59" s="447"/>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2:247">
      <c r="F60" s="426"/>
      <c r="G60" s="426"/>
      <c r="H60" s="426"/>
      <c r="I60" s="426"/>
      <c r="J60" s="426"/>
      <c r="K60" s="426"/>
      <c r="L60" s="426"/>
      <c r="M60" s="426"/>
      <c r="N60" s="426"/>
      <c r="O60" s="426"/>
      <c r="P60" s="426"/>
      <c r="Q60" s="426"/>
      <c r="R60" s="426"/>
      <c r="S60" s="382"/>
      <c r="T60" s="447"/>
      <c r="U60" s="447"/>
      <c r="V60" s="447"/>
      <c r="W60" s="447"/>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2:247">
      <c r="F61" s="382"/>
      <c r="G61" s="382"/>
      <c r="H61" s="382"/>
      <c r="I61" s="382"/>
      <c r="J61" s="382"/>
      <c r="K61" s="382"/>
      <c r="L61" s="382"/>
      <c r="M61" s="382"/>
      <c r="N61" s="382"/>
      <c r="O61" s="382"/>
      <c r="P61" s="382"/>
      <c r="Q61" s="382"/>
      <c r="R61" s="382"/>
      <c r="S61" s="382"/>
      <c r="T61" s="447"/>
      <c r="U61" s="447"/>
      <c r="V61" s="447"/>
      <c r="W61" s="447"/>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2:247">
      <c r="F62" s="382"/>
      <c r="G62" s="382"/>
      <c r="H62" s="382"/>
      <c r="I62" s="382"/>
      <c r="J62" s="382"/>
      <c r="K62" s="382"/>
      <c r="L62" s="382"/>
      <c r="M62" s="382"/>
      <c r="N62" s="382"/>
      <c r="O62" s="382"/>
      <c r="P62" s="382"/>
      <c r="Q62" s="382"/>
      <c r="R62" s="382"/>
      <c r="S62" s="382"/>
      <c r="T62" s="447"/>
      <c r="U62" s="447"/>
      <c r="V62" s="447"/>
      <c r="W62" s="447"/>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2:247">
      <c r="F63" s="382"/>
      <c r="G63" s="382"/>
      <c r="H63" s="382"/>
      <c r="I63" s="382"/>
      <c r="J63" s="382"/>
      <c r="K63" s="381"/>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2:247">
      <c r="F64" s="382"/>
      <c r="G64" s="382"/>
      <c r="H64" s="382"/>
      <c r="I64" s="382"/>
      <c r="J64" s="382"/>
      <c r="K64" s="381"/>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5: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5: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5: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5: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5:247">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5:247">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5:247">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5:247">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5:247">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5:247">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5:247">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5: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5: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5: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5: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5: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f>1687-1991</f>
        <v>-304</v>
      </c>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f>G94*160</f>
        <v>-48640</v>
      </c>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row r="302" spans="6:247">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82"/>
      <c r="BK302" s="382"/>
      <c r="BL302" s="382"/>
      <c r="BM302" s="382"/>
      <c r="BN302" s="382"/>
      <c r="BO302" s="382"/>
      <c r="BP302" s="382"/>
      <c r="BQ302" s="382"/>
      <c r="BR302" s="382"/>
      <c r="BS302" s="382"/>
      <c r="BT302" s="382"/>
      <c r="BU302" s="382"/>
      <c r="BV302" s="382"/>
      <c r="BW302" s="382"/>
      <c r="BX302" s="382"/>
      <c r="BY302" s="382"/>
      <c r="BZ302" s="382"/>
      <c r="CA302" s="382"/>
      <c r="CB302" s="382"/>
      <c r="CC302" s="382"/>
      <c r="CD302" s="382"/>
      <c r="CE302" s="382"/>
      <c r="CF302" s="382"/>
      <c r="CG302" s="382"/>
      <c r="CH302" s="382"/>
      <c r="CI302" s="382"/>
      <c r="CJ302" s="382"/>
      <c r="CK302" s="382"/>
      <c r="CL302" s="382"/>
      <c r="CM302" s="382"/>
      <c r="CN302" s="382"/>
      <c r="CO302" s="382"/>
      <c r="CP302" s="382"/>
      <c r="CQ302" s="382"/>
      <c r="CR302" s="382"/>
      <c r="CS302" s="382"/>
      <c r="CT302" s="382"/>
      <c r="CU302" s="382"/>
      <c r="CV302" s="382"/>
      <c r="CW302" s="382"/>
      <c r="CX302" s="382"/>
      <c r="CY302" s="382"/>
      <c r="CZ302" s="382"/>
      <c r="DA302" s="382"/>
      <c r="DB302" s="382"/>
      <c r="DC302" s="382"/>
      <c r="DD302" s="382"/>
      <c r="DE302" s="382"/>
      <c r="DF302" s="382"/>
      <c r="DG302" s="382"/>
      <c r="DH302" s="382"/>
      <c r="DI302" s="382"/>
      <c r="DJ302" s="382"/>
      <c r="DK302" s="382"/>
      <c r="DL302" s="382"/>
      <c r="DM302" s="382"/>
      <c r="DN302" s="382"/>
      <c r="DO302" s="382"/>
      <c r="DP302" s="382"/>
      <c r="DQ302" s="382"/>
      <c r="DR302" s="382"/>
      <c r="DS302" s="382"/>
      <c r="DT302" s="382"/>
      <c r="DU302" s="382"/>
      <c r="DV302" s="382"/>
      <c r="DW302" s="382"/>
      <c r="DX302" s="382"/>
      <c r="DY302" s="382"/>
      <c r="DZ302" s="382"/>
      <c r="EA302" s="382"/>
      <c r="EB302" s="382"/>
      <c r="EC302" s="382"/>
      <c r="ED302" s="382"/>
      <c r="EE302" s="382"/>
      <c r="EF302" s="382"/>
      <c r="EG302" s="382"/>
      <c r="EH302" s="382"/>
      <c r="EI302" s="382"/>
      <c r="EJ302" s="382"/>
      <c r="EK302" s="382"/>
      <c r="EL302" s="382"/>
      <c r="EM302" s="382"/>
      <c r="EN302" s="382"/>
      <c r="EO302" s="382"/>
      <c r="EP302" s="382"/>
      <c r="EQ302" s="382"/>
      <c r="ER302" s="382"/>
      <c r="ES302" s="382"/>
      <c r="ET302" s="382"/>
      <c r="EU302" s="382"/>
      <c r="EV302" s="382"/>
      <c r="EW302" s="382"/>
      <c r="EX302" s="382"/>
      <c r="EY302" s="382"/>
      <c r="EZ302" s="382"/>
      <c r="FA302" s="382"/>
      <c r="FB302" s="382"/>
      <c r="FC302" s="382"/>
      <c r="FD302" s="382"/>
      <c r="FE302" s="382"/>
      <c r="FF302" s="382"/>
      <c r="FG302" s="382"/>
      <c r="FH302" s="382"/>
      <c r="FI302" s="382"/>
      <c r="FJ302" s="382"/>
      <c r="FK302" s="382"/>
      <c r="FL302" s="382"/>
      <c r="FM302" s="382"/>
      <c r="FN302" s="382"/>
      <c r="FO302" s="382"/>
      <c r="FP302" s="382"/>
      <c r="FQ302" s="382"/>
      <c r="FR302" s="382"/>
      <c r="FS302" s="382"/>
      <c r="FT302" s="382"/>
      <c r="FU302" s="382"/>
      <c r="FV302" s="382"/>
      <c r="FW302" s="382"/>
      <c r="FX302" s="382"/>
      <c r="FY302" s="382"/>
      <c r="FZ302" s="382"/>
      <c r="GA302" s="382"/>
      <c r="GB302" s="382"/>
      <c r="GC302" s="382"/>
      <c r="GD302" s="382"/>
      <c r="GE302" s="382"/>
      <c r="GF302" s="382"/>
      <c r="GG302" s="382"/>
      <c r="GH302" s="382"/>
      <c r="GI302" s="382"/>
      <c r="GJ302" s="382"/>
      <c r="GK302" s="382"/>
      <c r="GL302" s="382"/>
      <c r="GM302" s="382"/>
      <c r="GN302" s="382"/>
      <c r="GO302" s="382"/>
      <c r="GP302" s="382"/>
      <c r="GQ302" s="382"/>
      <c r="GR302" s="382"/>
      <c r="GS302" s="382"/>
      <c r="GT302" s="382"/>
      <c r="GU302" s="382"/>
      <c r="GV302" s="382"/>
      <c r="GW302" s="382"/>
      <c r="GX302" s="382"/>
      <c r="GY302" s="382"/>
      <c r="GZ302" s="382"/>
      <c r="HA302" s="382"/>
      <c r="HB302" s="382"/>
      <c r="HC302" s="382"/>
      <c r="HD302" s="382"/>
      <c r="HE302" s="382"/>
      <c r="HF302" s="382"/>
      <c r="HG302" s="382"/>
      <c r="HH302" s="382"/>
      <c r="HI302" s="382"/>
      <c r="HJ302" s="382"/>
      <c r="HK302" s="382"/>
      <c r="HL302" s="382"/>
      <c r="HM302" s="382"/>
      <c r="HN302" s="382"/>
      <c r="HO302" s="382"/>
      <c r="HP302" s="382"/>
      <c r="HQ302" s="382"/>
      <c r="HR302" s="382"/>
      <c r="HS302" s="382"/>
      <c r="HT302" s="382"/>
      <c r="HU302" s="382"/>
      <c r="HV302" s="382"/>
      <c r="HW302" s="382"/>
      <c r="HX302" s="382"/>
      <c r="HY302" s="382"/>
      <c r="HZ302" s="382"/>
      <c r="IA302" s="382"/>
      <c r="IB302" s="382"/>
      <c r="IC302" s="382"/>
      <c r="ID302" s="382"/>
      <c r="IE302" s="382"/>
      <c r="IF302" s="382"/>
      <c r="IG302" s="382"/>
      <c r="IH302" s="382"/>
      <c r="II302" s="382"/>
      <c r="IJ302" s="382"/>
      <c r="IK302" s="382"/>
      <c r="IL302" s="382"/>
      <c r="IM302" s="382"/>
    </row>
    <row r="303" spans="6:247">
      <c r="F303" s="382"/>
      <c r="G303" s="382"/>
      <c r="H303" s="382"/>
      <c r="I303" s="382"/>
      <c r="J303" s="382"/>
      <c r="K303" s="382"/>
      <c r="L303" s="382"/>
      <c r="M303" s="382"/>
      <c r="N303" s="382"/>
      <c r="O303" s="382"/>
      <c r="P303" s="382"/>
      <c r="Q303" s="382"/>
      <c r="R303" s="382"/>
      <c r="S303" s="382"/>
      <c r="T303" s="382"/>
      <c r="U303" s="382"/>
      <c r="V303" s="382"/>
      <c r="W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c r="AS303" s="382"/>
      <c r="AT303" s="382"/>
      <c r="AU303" s="382"/>
      <c r="AV303" s="382"/>
      <c r="AW303" s="382"/>
      <c r="AX303" s="382"/>
      <c r="AY303" s="382"/>
      <c r="AZ303" s="382"/>
      <c r="BA303" s="382"/>
      <c r="BB303" s="382"/>
      <c r="BC303" s="382"/>
      <c r="BD303" s="382"/>
      <c r="BE303" s="382"/>
      <c r="BF303" s="382"/>
      <c r="BG303" s="382"/>
      <c r="BH303" s="382"/>
      <c r="BI303" s="382"/>
      <c r="BJ303" s="382"/>
      <c r="BK303" s="382"/>
      <c r="BL303" s="382"/>
      <c r="BM303" s="382"/>
      <c r="BN303" s="382"/>
      <c r="BO303" s="382"/>
      <c r="BP303" s="382"/>
      <c r="BQ303" s="382"/>
      <c r="BR303" s="382"/>
      <c r="BS303" s="382"/>
      <c r="BT303" s="382"/>
      <c r="BU303" s="382"/>
      <c r="BV303" s="382"/>
      <c r="BW303" s="382"/>
      <c r="BX303" s="382"/>
      <c r="BY303" s="382"/>
      <c r="BZ303" s="382"/>
      <c r="CA303" s="382"/>
      <c r="CB303" s="382"/>
      <c r="CC303" s="382"/>
      <c r="CD303" s="382"/>
      <c r="CE303" s="382"/>
      <c r="CF303" s="382"/>
      <c r="CG303" s="382"/>
      <c r="CH303" s="382"/>
      <c r="CI303" s="382"/>
      <c r="CJ303" s="382"/>
      <c r="CK303" s="382"/>
      <c r="CL303" s="382"/>
      <c r="CM303" s="382"/>
      <c r="CN303" s="382"/>
      <c r="CO303" s="382"/>
      <c r="CP303" s="382"/>
      <c r="CQ303" s="382"/>
      <c r="CR303" s="382"/>
      <c r="CS303" s="382"/>
      <c r="CT303" s="382"/>
      <c r="CU303" s="382"/>
      <c r="CV303" s="382"/>
      <c r="CW303" s="382"/>
      <c r="CX303" s="382"/>
      <c r="CY303" s="382"/>
      <c r="CZ303" s="382"/>
      <c r="DA303" s="382"/>
      <c r="DB303" s="382"/>
      <c r="DC303" s="382"/>
      <c r="DD303" s="382"/>
      <c r="DE303" s="382"/>
      <c r="DF303" s="382"/>
      <c r="DG303" s="382"/>
      <c r="DH303" s="382"/>
      <c r="DI303" s="382"/>
      <c r="DJ303" s="382"/>
      <c r="DK303" s="382"/>
      <c r="DL303" s="382"/>
      <c r="DM303" s="382"/>
      <c r="DN303" s="382"/>
      <c r="DO303" s="382"/>
      <c r="DP303" s="382"/>
      <c r="DQ303" s="382"/>
      <c r="DR303" s="382"/>
      <c r="DS303" s="382"/>
      <c r="DT303" s="382"/>
      <c r="DU303" s="382"/>
      <c r="DV303" s="382"/>
      <c r="DW303" s="382"/>
      <c r="DX303" s="382"/>
      <c r="DY303" s="382"/>
      <c r="DZ303" s="382"/>
      <c r="EA303" s="382"/>
      <c r="EB303" s="382"/>
      <c r="EC303" s="382"/>
      <c r="ED303" s="382"/>
      <c r="EE303" s="382"/>
      <c r="EF303" s="382"/>
      <c r="EG303" s="382"/>
      <c r="EH303" s="382"/>
      <c r="EI303" s="382"/>
      <c r="EJ303" s="382"/>
      <c r="EK303" s="382"/>
      <c r="EL303" s="382"/>
      <c r="EM303" s="382"/>
      <c r="EN303" s="382"/>
      <c r="EO303" s="382"/>
      <c r="EP303" s="382"/>
      <c r="EQ303" s="382"/>
      <c r="ER303" s="382"/>
      <c r="ES303" s="382"/>
      <c r="ET303" s="382"/>
      <c r="EU303" s="382"/>
      <c r="EV303" s="382"/>
      <c r="EW303" s="382"/>
      <c r="EX303" s="382"/>
      <c r="EY303" s="382"/>
      <c r="EZ303" s="382"/>
      <c r="FA303" s="382"/>
      <c r="FB303" s="382"/>
      <c r="FC303" s="382"/>
      <c r="FD303" s="382"/>
      <c r="FE303" s="382"/>
      <c r="FF303" s="382"/>
      <c r="FG303" s="382"/>
      <c r="FH303" s="382"/>
      <c r="FI303" s="382"/>
      <c r="FJ303" s="382"/>
      <c r="FK303" s="382"/>
      <c r="FL303" s="382"/>
      <c r="FM303" s="382"/>
      <c r="FN303" s="382"/>
      <c r="FO303" s="382"/>
      <c r="FP303" s="382"/>
      <c r="FQ303" s="382"/>
      <c r="FR303" s="382"/>
      <c r="FS303" s="382"/>
      <c r="FT303" s="382"/>
      <c r="FU303" s="382"/>
      <c r="FV303" s="382"/>
      <c r="FW303" s="382"/>
      <c r="FX303" s="382"/>
      <c r="FY303" s="382"/>
      <c r="FZ303" s="382"/>
      <c r="GA303" s="382"/>
      <c r="GB303" s="382"/>
      <c r="GC303" s="382"/>
      <c r="GD303" s="382"/>
      <c r="GE303" s="382"/>
      <c r="GF303" s="382"/>
      <c r="GG303" s="382"/>
      <c r="GH303" s="382"/>
      <c r="GI303" s="382"/>
      <c r="GJ303" s="382"/>
      <c r="GK303" s="382"/>
      <c r="GL303" s="382"/>
      <c r="GM303" s="382"/>
      <c r="GN303" s="382"/>
      <c r="GO303" s="382"/>
      <c r="GP303" s="382"/>
      <c r="GQ303" s="382"/>
      <c r="GR303" s="382"/>
      <c r="GS303" s="382"/>
      <c r="GT303" s="382"/>
      <c r="GU303" s="382"/>
      <c r="GV303" s="382"/>
      <c r="GW303" s="382"/>
      <c r="GX303" s="382"/>
      <c r="GY303" s="382"/>
      <c r="GZ303" s="382"/>
      <c r="HA303" s="382"/>
      <c r="HB303" s="382"/>
      <c r="HC303" s="382"/>
      <c r="HD303" s="382"/>
      <c r="HE303" s="382"/>
      <c r="HF303" s="382"/>
      <c r="HG303" s="382"/>
      <c r="HH303" s="382"/>
      <c r="HI303" s="382"/>
      <c r="HJ303" s="382"/>
      <c r="HK303" s="382"/>
      <c r="HL303" s="382"/>
      <c r="HM303" s="382"/>
      <c r="HN303" s="382"/>
      <c r="HO303" s="382"/>
      <c r="HP303" s="382"/>
      <c r="HQ303" s="382"/>
      <c r="HR303" s="382"/>
      <c r="HS303" s="382"/>
      <c r="HT303" s="382"/>
      <c r="HU303" s="382"/>
      <c r="HV303" s="382"/>
      <c r="HW303" s="382"/>
      <c r="HX303" s="382"/>
      <c r="HY303" s="382"/>
      <c r="HZ303" s="382"/>
      <c r="IA303" s="382"/>
      <c r="IB303" s="382"/>
      <c r="IC303" s="382"/>
      <c r="ID303" s="382"/>
      <c r="IE303" s="382"/>
      <c r="IF303" s="382"/>
      <c r="IG303" s="382"/>
      <c r="IH303" s="382"/>
      <c r="II303" s="382"/>
      <c r="IJ303" s="382"/>
      <c r="IK303" s="382"/>
      <c r="IL303" s="382"/>
      <c r="IM303" s="382"/>
    </row>
    <row r="304" spans="6:247">
      <c r="F304" s="382"/>
      <c r="G304" s="382"/>
      <c r="H304" s="382"/>
      <c r="I304" s="382"/>
      <c r="J304" s="382"/>
      <c r="K304" s="382"/>
      <c r="L304" s="382"/>
      <c r="M304" s="382"/>
      <c r="N304" s="382"/>
      <c r="O304" s="382"/>
      <c r="P304" s="382"/>
      <c r="Q304" s="382"/>
      <c r="R304" s="382"/>
      <c r="S304" s="382"/>
      <c r="T304" s="382"/>
      <c r="U304" s="382"/>
      <c r="V304" s="382"/>
      <c r="W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c r="AS304" s="382"/>
      <c r="AT304" s="382"/>
      <c r="AU304" s="382"/>
      <c r="AV304" s="382"/>
      <c r="AW304" s="382"/>
      <c r="AX304" s="382"/>
      <c r="AY304" s="382"/>
      <c r="AZ304" s="382"/>
      <c r="BA304" s="382"/>
      <c r="BB304" s="382"/>
      <c r="BC304" s="382"/>
      <c r="BD304" s="382"/>
      <c r="BE304" s="382"/>
      <c r="BF304" s="382"/>
      <c r="BG304" s="382"/>
      <c r="BH304" s="382"/>
      <c r="BI304" s="382"/>
      <c r="BJ304" s="382"/>
      <c r="BK304" s="382"/>
      <c r="BL304" s="382"/>
      <c r="BM304" s="382"/>
      <c r="BN304" s="382"/>
      <c r="BO304" s="382"/>
      <c r="BP304" s="382"/>
      <c r="BQ304" s="382"/>
      <c r="BR304" s="382"/>
      <c r="BS304" s="382"/>
      <c r="BT304" s="382"/>
      <c r="BU304" s="382"/>
      <c r="BV304" s="382"/>
      <c r="BW304" s="382"/>
      <c r="BX304" s="382"/>
      <c r="BY304" s="382"/>
      <c r="BZ304" s="382"/>
      <c r="CA304" s="382"/>
      <c r="CB304" s="382"/>
      <c r="CC304" s="382"/>
      <c r="CD304" s="382"/>
      <c r="CE304" s="382"/>
      <c r="CF304" s="382"/>
      <c r="CG304" s="382"/>
      <c r="CH304" s="382"/>
      <c r="CI304" s="382"/>
      <c r="CJ304" s="382"/>
      <c r="CK304" s="382"/>
      <c r="CL304" s="382"/>
      <c r="CM304" s="382"/>
      <c r="CN304" s="382"/>
      <c r="CO304" s="382"/>
      <c r="CP304" s="382"/>
      <c r="CQ304" s="382"/>
      <c r="CR304" s="382"/>
      <c r="CS304" s="382"/>
      <c r="CT304" s="382"/>
      <c r="CU304" s="382"/>
      <c r="CV304" s="382"/>
      <c r="CW304" s="382"/>
      <c r="CX304" s="382"/>
      <c r="CY304" s="382"/>
      <c r="CZ304" s="382"/>
      <c r="DA304" s="382"/>
      <c r="DB304" s="382"/>
      <c r="DC304" s="382"/>
      <c r="DD304" s="382"/>
      <c r="DE304" s="382"/>
      <c r="DF304" s="382"/>
      <c r="DG304" s="382"/>
      <c r="DH304" s="382"/>
      <c r="DI304" s="382"/>
      <c r="DJ304" s="382"/>
      <c r="DK304" s="382"/>
      <c r="DL304" s="382"/>
      <c r="DM304" s="382"/>
      <c r="DN304" s="382"/>
      <c r="DO304" s="382"/>
      <c r="DP304" s="382"/>
      <c r="DQ304" s="382"/>
      <c r="DR304" s="382"/>
      <c r="DS304" s="382"/>
      <c r="DT304" s="382"/>
      <c r="DU304" s="382"/>
      <c r="DV304" s="382"/>
      <c r="DW304" s="382"/>
      <c r="DX304" s="382"/>
      <c r="DY304" s="382"/>
      <c r="DZ304" s="382"/>
      <c r="EA304" s="382"/>
      <c r="EB304" s="382"/>
      <c r="EC304" s="382"/>
      <c r="ED304" s="382"/>
      <c r="EE304" s="382"/>
      <c r="EF304" s="382"/>
      <c r="EG304" s="382"/>
      <c r="EH304" s="382"/>
      <c r="EI304" s="382"/>
      <c r="EJ304" s="382"/>
      <c r="EK304" s="382"/>
      <c r="EL304" s="382"/>
      <c r="EM304" s="382"/>
      <c r="EN304" s="382"/>
      <c r="EO304" s="382"/>
      <c r="EP304" s="382"/>
      <c r="EQ304" s="382"/>
      <c r="ER304" s="382"/>
      <c r="ES304" s="382"/>
      <c r="ET304" s="382"/>
      <c r="EU304" s="382"/>
      <c r="EV304" s="382"/>
      <c r="EW304" s="382"/>
      <c r="EX304" s="382"/>
      <c r="EY304" s="382"/>
      <c r="EZ304" s="382"/>
      <c r="FA304" s="382"/>
      <c r="FB304" s="382"/>
      <c r="FC304" s="382"/>
      <c r="FD304" s="382"/>
      <c r="FE304" s="382"/>
      <c r="FF304" s="382"/>
      <c r="FG304" s="382"/>
      <c r="FH304" s="382"/>
      <c r="FI304" s="382"/>
      <c r="FJ304" s="382"/>
      <c r="FK304" s="382"/>
      <c r="FL304" s="382"/>
      <c r="FM304" s="382"/>
      <c r="FN304" s="382"/>
      <c r="FO304" s="382"/>
      <c r="FP304" s="382"/>
      <c r="FQ304" s="382"/>
      <c r="FR304" s="382"/>
      <c r="FS304" s="382"/>
      <c r="FT304" s="382"/>
      <c r="FU304" s="382"/>
      <c r="FV304" s="382"/>
      <c r="FW304" s="382"/>
      <c r="FX304" s="382"/>
      <c r="FY304" s="382"/>
      <c r="FZ304" s="382"/>
      <c r="GA304" s="382"/>
      <c r="GB304" s="382"/>
      <c r="GC304" s="382"/>
      <c r="GD304" s="382"/>
      <c r="GE304" s="382"/>
      <c r="GF304" s="382"/>
      <c r="GG304" s="382"/>
      <c r="GH304" s="382"/>
      <c r="GI304" s="382"/>
      <c r="GJ304" s="382"/>
      <c r="GK304" s="382"/>
      <c r="GL304" s="382"/>
      <c r="GM304" s="382"/>
      <c r="GN304" s="382"/>
      <c r="GO304" s="382"/>
      <c r="GP304" s="382"/>
      <c r="GQ304" s="382"/>
      <c r="GR304" s="382"/>
      <c r="GS304" s="382"/>
      <c r="GT304" s="382"/>
      <c r="GU304" s="382"/>
      <c r="GV304" s="382"/>
      <c r="GW304" s="382"/>
      <c r="GX304" s="382"/>
      <c r="GY304" s="382"/>
      <c r="GZ304" s="382"/>
      <c r="HA304" s="382"/>
      <c r="HB304" s="382"/>
      <c r="HC304" s="382"/>
      <c r="HD304" s="382"/>
      <c r="HE304" s="382"/>
      <c r="HF304" s="382"/>
      <c r="HG304" s="382"/>
      <c r="HH304" s="382"/>
      <c r="HI304" s="382"/>
      <c r="HJ304" s="382"/>
      <c r="HK304" s="382"/>
      <c r="HL304" s="382"/>
      <c r="HM304" s="382"/>
      <c r="HN304" s="382"/>
      <c r="HO304" s="382"/>
      <c r="HP304" s="382"/>
      <c r="HQ304" s="382"/>
      <c r="HR304" s="382"/>
      <c r="HS304" s="382"/>
      <c r="HT304" s="382"/>
      <c r="HU304" s="382"/>
      <c r="HV304" s="382"/>
      <c r="HW304" s="382"/>
      <c r="HX304" s="382"/>
      <c r="HY304" s="382"/>
      <c r="HZ304" s="382"/>
      <c r="IA304" s="382"/>
      <c r="IB304" s="382"/>
      <c r="IC304" s="382"/>
      <c r="ID304" s="382"/>
      <c r="IE304" s="382"/>
      <c r="IF304" s="382"/>
      <c r="IG304" s="382"/>
      <c r="IH304" s="382"/>
      <c r="II304" s="382"/>
      <c r="IJ304" s="382"/>
      <c r="IK304" s="382"/>
      <c r="IL304" s="382"/>
      <c r="IM304" s="382"/>
    </row>
    <row r="305" spans="6:247">
      <c r="F305" s="382"/>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c r="AS305" s="382"/>
      <c r="AT305" s="382"/>
      <c r="AU305" s="382"/>
      <c r="AV305" s="382"/>
      <c r="AW305" s="382"/>
      <c r="AX305" s="382"/>
      <c r="AY305" s="382"/>
      <c r="AZ305" s="382"/>
      <c r="BA305" s="382"/>
      <c r="BB305" s="382"/>
      <c r="BC305" s="382"/>
      <c r="BD305" s="382"/>
      <c r="BE305" s="382"/>
      <c r="BF305" s="382"/>
      <c r="BG305" s="382"/>
      <c r="BH305" s="382"/>
      <c r="BI305" s="382"/>
      <c r="BJ305" s="382"/>
      <c r="BK305" s="382"/>
      <c r="BL305" s="382"/>
      <c r="BM305" s="382"/>
      <c r="BN305" s="382"/>
      <c r="BO305" s="382"/>
      <c r="BP305" s="382"/>
      <c r="BQ305" s="382"/>
      <c r="BR305" s="382"/>
      <c r="BS305" s="382"/>
      <c r="BT305" s="382"/>
      <c r="BU305" s="382"/>
      <c r="BV305" s="382"/>
      <c r="BW305" s="382"/>
      <c r="BX305" s="382"/>
      <c r="BY305" s="382"/>
      <c r="BZ305" s="382"/>
      <c r="CA305" s="382"/>
      <c r="CB305" s="382"/>
      <c r="CC305" s="382"/>
      <c r="CD305" s="382"/>
      <c r="CE305" s="382"/>
      <c r="CF305" s="382"/>
      <c r="CG305" s="382"/>
      <c r="CH305" s="382"/>
      <c r="CI305" s="382"/>
      <c r="CJ305" s="382"/>
      <c r="CK305" s="382"/>
      <c r="CL305" s="382"/>
      <c r="CM305" s="382"/>
      <c r="CN305" s="382"/>
      <c r="CO305" s="382"/>
      <c r="CP305" s="382"/>
      <c r="CQ305" s="382"/>
      <c r="CR305" s="382"/>
      <c r="CS305" s="382"/>
      <c r="CT305" s="382"/>
      <c r="CU305" s="382"/>
      <c r="CV305" s="382"/>
      <c r="CW305" s="382"/>
      <c r="CX305" s="382"/>
      <c r="CY305" s="382"/>
      <c r="CZ305" s="382"/>
      <c r="DA305" s="382"/>
      <c r="DB305" s="382"/>
      <c r="DC305" s="382"/>
      <c r="DD305" s="382"/>
      <c r="DE305" s="382"/>
      <c r="DF305" s="382"/>
      <c r="DG305" s="382"/>
      <c r="DH305" s="382"/>
      <c r="DI305" s="382"/>
      <c r="DJ305" s="382"/>
      <c r="DK305" s="382"/>
      <c r="DL305" s="382"/>
      <c r="DM305" s="382"/>
      <c r="DN305" s="382"/>
      <c r="DO305" s="382"/>
      <c r="DP305" s="382"/>
      <c r="DQ305" s="382"/>
      <c r="DR305" s="382"/>
      <c r="DS305" s="382"/>
      <c r="DT305" s="382"/>
      <c r="DU305" s="382"/>
      <c r="DV305" s="382"/>
      <c r="DW305" s="382"/>
      <c r="DX305" s="382"/>
      <c r="DY305" s="382"/>
      <c r="DZ305" s="382"/>
      <c r="EA305" s="382"/>
      <c r="EB305" s="382"/>
      <c r="EC305" s="382"/>
      <c r="ED305" s="382"/>
      <c r="EE305" s="382"/>
      <c r="EF305" s="382"/>
      <c r="EG305" s="382"/>
      <c r="EH305" s="382"/>
      <c r="EI305" s="382"/>
      <c r="EJ305" s="382"/>
      <c r="EK305" s="382"/>
      <c r="EL305" s="382"/>
      <c r="EM305" s="382"/>
      <c r="EN305" s="382"/>
      <c r="EO305" s="382"/>
      <c r="EP305" s="382"/>
      <c r="EQ305" s="382"/>
      <c r="ER305" s="382"/>
      <c r="ES305" s="382"/>
      <c r="ET305" s="382"/>
      <c r="EU305" s="382"/>
      <c r="EV305" s="382"/>
      <c r="EW305" s="382"/>
      <c r="EX305" s="382"/>
      <c r="EY305" s="382"/>
      <c r="EZ305" s="382"/>
      <c r="FA305" s="382"/>
      <c r="FB305" s="382"/>
      <c r="FC305" s="382"/>
      <c r="FD305" s="382"/>
      <c r="FE305" s="382"/>
      <c r="FF305" s="382"/>
      <c r="FG305" s="382"/>
      <c r="FH305" s="382"/>
      <c r="FI305" s="382"/>
      <c r="FJ305" s="382"/>
      <c r="FK305" s="382"/>
      <c r="FL305" s="382"/>
      <c r="FM305" s="382"/>
      <c r="FN305" s="382"/>
      <c r="FO305" s="382"/>
      <c r="FP305" s="382"/>
      <c r="FQ305" s="382"/>
      <c r="FR305" s="382"/>
      <c r="FS305" s="382"/>
      <c r="FT305" s="382"/>
      <c r="FU305" s="382"/>
      <c r="FV305" s="382"/>
      <c r="FW305" s="382"/>
      <c r="FX305" s="382"/>
      <c r="FY305" s="382"/>
      <c r="FZ305" s="382"/>
      <c r="GA305" s="382"/>
      <c r="GB305" s="382"/>
      <c r="GC305" s="382"/>
      <c r="GD305" s="382"/>
      <c r="GE305" s="382"/>
      <c r="GF305" s="382"/>
      <c r="GG305" s="382"/>
      <c r="GH305" s="382"/>
      <c r="GI305" s="382"/>
      <c r="GJ305" s="382"/>
      <c r="GK305" s="382"/>
      <c r="GL305" s="382"/>
      <c r="GM305" s="382"/>
      <c r="GN305" s="382"/>
      <c r="GO305" s="382"/>
      <c r="GP305" s="382"/>
      <c r="GQ305" s="382"/>
      <c r="GR305" s="382"/>
      <c r="GS305" s="382"/>
      <c r="GT305" s="382"/>
      <c r="GU305" s="382"/>
      <c r="GV305" s="382"/>
      <c r="GW305" s="382"/>
      <c r="GX305" s="382"/>
      <c r="GY305" s="382"/>
      <c r="GZ305" s="382"/>
      <c r="HA305" s="382"/>
      <c r="HB305" s="382"/>
      <c r="HC305" s="382"/>
      <c r="HD305" s="382"/>
      <c r="HE305" s="382"/>
      <c r="HF305" s="382"/>
      <c r="HG305" s="382"/>
      <c r="HH305" s="382"/>
      <c r="HI305" s="382"/>
      <c r="HJ305" s="382"/>
      <c r="HK305" s="382"/>
      <c r="HL305" s="382"/>
      <c r="HM305" s="382"/>
      <c r="HN305" s="382"/>
      <c r="HO305" s="382"/>
      <c r="HP305" s="382"/>
      <c r="HQ305" s="382"/>
      <c r="HR305" s="382"/>
      <c r="HS305" s="382"/>
      <c r="HT305" s="382"/>
      <c r="HU305" s="382"/>
      <c r="HV305" s="382"/>
      <c r="HW305" s="382"/>
      <c r="HX305" s="382"/>
      <c r="HY305" s="382"/>
      <c r="HZ305" s="382"/>
      <c r="IA305" s="382"/>
      <c r="IB305" s="382"/>
      <c r="IC305" s="382"/>
      <c r="ID305" s="382"/>
      <c r="IE305" s="382"/>
      <c r="IF305" s="382"/>
      <c r="IG305" s="382"/>
      <c r="IH305" s="382"/>
      <c r="II305" s="382"/>
      <c r="IJ305" s="382"/>
      <c r="IK305" s="382"/>
      <c r="IL305" s="382"/>
      <c r="IM305" s="382"/>
    </row>
    <row r="306" spans="6:247">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2"/>
      <c r="AY306" s="382"/>
      <c r="AZ306" s="382"/>
      <c r="BA306" s="382"/>
      <c r="BB306" s="382"/>
      <c r="BC306" s="382"/>
      <c r="BD306" s="382"/>
      <c r="BE306" s="382"/>
      <c r="BF306" s="382"/>
      <c r="BG306" s="382"/>
      <c r="BH306" s="382"/>
      <c r="BI306" s="382"/>
      <c r="BJ306" s="382"/>
      <c r="BK306" s="382"/>
      <c r="BL306" s="382"/>
      <c r="BM306" s="382"/>
      <c r="BN306" s="382"/>
      <c r="BO306" s="382"/>
      <c r="BP306" s="382"/>
      <c r="BQ306" s="382"/>
      <c r="BR306" s="382"/>
      <c r="BS306" s="382"/>
      <c r="BT306" s="382"/>
      <c r="BU306" s="382"/>
      <c r="BV306" s="382"/>
      <c r="BW306" s="382"/>
      <c r="BX306" s="382"/>
      <c r="BY306" s="382"/>
      <c r="BZ306" s="382"/>
      <c r="CA306" s="382"/>
      <c r="CB306" s="382"/>
      <c r="CC306" s="382"/>
      <c r="CD306" s="382"/>
      <c r="CE306" s="382"/>
      <c r="CF306" s="382"/>
      <c r="CG306" s="382"/>
      <c r="CH306" s="382"/>
      <c r="CI306" s="382"/>
      <c r="CJ306" s="382"/>
      <c r="CK306" s="382"/>
      <c r="CL306" s="382"/>
      <c r="CM306" s="382"/>
      <c r="CN306" s="382"/>
      <c r="CO306" s="382"/>
      <c r="CP306" s="382"/>
      <c r="CQ306" s="382"/>
      <c r="CR306" s="382"/>
      <c r="CS306" s="382"/>
      <c r="CT306" s="382"/>
      <c r="CU306" s="382"/>
      <c r="CV306" s="382"/>
      <c r="CW306" s="382"/>
      <c r="CX306" s="382"/>
      <c r="CY306" s="382"/>
      <c r="CZ306" s="382"/>
      <c r="DA306" s="382"/>
      <c r="DB306" s="382"/>
      <c r="DC306" s="382"/>
      <c r="DD306" s="382"/>
      <c r="DE306" s="382"/>
      <c r="DF306" s="382"/>
      <c r="DG306" s="382"/>
      <c r="DH306" s="382"/>
      <c r="DI306" s="382"/>
      <c r="DJ306" s="382"/>
      <c r="DK306" s="382"/>
      <c r="DL306" s="382"/>
      <c r="DM306" s="382"/>
      <c r="DN306" s="382"/>
      <c r="DO306" s="382"/>
      <c r="DP306" s="382"/>
      <c r="DQ306" s="382"/>
      <c r="DR306" s="382"/>
      <c r="DS306" s="382"/>
      <c r="DT306" s="382"/>
      <c r="DU306" s="382"/>
      <c r="DV306" s="382"/>
      <c r="DW306" s="382"/>
      <c r="DX306" s="382"/>
      <c r="DY306" s="382"/>
      <c r="DZ306" s="382"/>
      <c r="EA306" s="382"/>
      <c r="EB306" s="382"/>
      <c r="EC306" s="382"/>
      <c r="ED306" s="382"/>
      <c r="EE306" s="382"/>
      <c r="EF306" s="382"/>
      <c r="EG306" s="382"/>
      <c r="EH306" s="382"/>
      <c r="EI306" s="382"/>
      <c r="EJ306" s="382"/>
      <c r="EK306" s="382"/>
      <c r="EL306" s="382"/>
      <c r="EM306" s="382"/>
      <c r="EN306" s="382"/>
      <c r="EO306" s="382"/>
      <c r="EP306" s="382"/>
      <c r="EQ306" s="382"/>
      <c r="ER306" s="382"/>
      <c r="ES306" s="382"/>
      <c r="ET306" s="382"/>
      <c r="EU306" s="382"/>
      <c r="EV306" s="382"/>
      <c r="EW306" s="382"/>
      <c r="EX306" s="382"/>
      <c r="EY306" s="382"/>
      <c r="EZ306" s="382"/>
      <c r="FA306" s="382"/>
      <c r="FB306" s="382"/>
      <c r="FC306" s="382"/>
      <c r="FD306" s="382"/>
      <c r="FE306" s="382"/>
      <c r="FF306" s="382"/>
      <c r="FG306" s="382"/>
      <c r="FH306" s="382"/>
      <c r="FI306" s="382"/>
      <c r="FJ306" s="382"/>
      <c r="FK306" s="382"/>
      <c r="FL306" s="382"/>
      <c r="FM306" s="382"/>
      <c r="FN306" s="382"/>
      <c r="FO306" s="382"/>
      <c r="FP306" s="382"/>
      <c r="FQ306" s="382"/>
      <c r="FR306" s="382"/>
      <c r="FS306" s="382"/>
      <c r="FT306" s="382"/>
      <c r="FU306" s="382"/>
      <c r="FV306" s="382"/>
      <c r="FW306" s="382"/>
      <c r="FX306" s="382"/>
      <c r="FY306" s="382"/>
      <c r="FZ306" s="382"/>
      <c r="GA306" s="382"/>
      <c r="GB306" s="382"/>
      <c r="GC306" s="382"/>
      <c r="GD306" s="382"/>
      <c r="GE306" s="382"/>
      <c r="GF306" s="382"/>
      <c r="GG306" s="382"/>
      <c r="GH306" s="382"/>
      <c r="GI306" s="382"/>
      <c r="GJ306" s="382"/>
      <c r="GK306" s="382"/>
      <c r="GL306" s="382"/>
      <c r="GM306" s="382"/>
      <c r="GN306" s="382"/>
      <c r="GO306" s="382"/>
      <c r="GP306" s="382"/>
      <c r="GQ306" s="382"/>
      <c r="GR306" s="382"/>
      <c r="GS306" s="382"/>
      <c r="GT306" s="382"/>
      <c r="GU306" s="382"/>
      <c r="GV306" s="382"/>
      <c r="GW306" s="382"/>
      <c r="GX306" s="382"/>
      <c r="GY306" s="382"/>
      <c r="GZ306" s="382"/>
      <c r="HA306" s="382"/>
      <c r="HB306" s="382"/>
      <c r="HC306" s="382"/>
      <c r="HD306" s="382"/>
      <c r="HE306" s="382"/>
      <c r="HF306" s="382"/>
      <c r="HG306" s="382"/>
      <c r="HH306" s="382"/>
      <c r="HI306" s="382"/>
      <c r="HJ306" s="382"/>
      <c r="HK306" s="382"/>
      <c r="HL306" s="382"/>
      <c r="HM306" s="382"/>
      <c r="HN306" s="382"/>
      <c r="HO306" s="382"/>
      <c r="HP306" s="382"/>
      <c r="HQ306" s="382"/>
      <c r="HR306" s="382"/>
      <c r="HS306" s="382"/>
      <c r="HT306" s="382"/>
      <c r="HU306" s="382"/>
      <c r="HV306" s="382"/>
      <c r="HW306" s="382"/>
      <c r="HX306" s="382"/>
      <c r="HY306" s="382"/>
      <c r="HZ306" s="382"/>
      <c r="IA306" s="382"/>
      <c r="IB306" s="382"/>
      <c r="IC306" s="382"/>
      <c r="ID306" s="382"/>
      <c r="IE306" s="382"/>
      <c r="IF306" s="382"/>
      <c r="IG306" s="382"/>
      <c r="IH306" s="382"/>
      <c r="II306" s="382"/>
      <c r="IJ306" s="382"/>
      <c r="IK306" s="382"/>
      <c r="IL306" s="382"/>
      <c r="IM306" s="382"/>
    </row>
    <row r="307" spans="6:247">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2"/>
      <c r="AY307" s="382"/>
      <c r="AZ307" s="382"/>
      <c r="BA307" s="382"/>
      <c r="BB307" s="382"/>
      <c r="BC307" s="382"/>
      <c r="BD307" s="382"/>
      <c r="BE307" s="382"/>
      <c r="BF307" s="382"/>
      <c r="BG307" s="382"/>
      <c r="BH307" s="382"/>
      <c r="BI307" s="382"/>
      <c r="BJ307" s="382"/>
      <c r="BK307" s="382"/>
      <c r="BL307" s="382"/>
      <c r="BM307" s="382"/>
      <c r="BN307" s="382"/>
      <c r="BO307" s="382"/>
      <c r="BP307" s="382"/>
      <c r="BQ307" s="382"/>
      <c r="BR307" s="382"/>
      <c r="BS307" s="382"/>
      <c r="BT307" s="382"/>
      <c r="BU307" s="382"/>
      <c r="BV307" s="382"/>
      <c r="BW307" s="382"/>
      <c r="BX307" s="382"/>
      <c r="BY307" s="382"/>
      <c r="BZ307" s="382"/>
      <c r="CA307" s="382"/>
      <c r="CB307" s="382"/>
      <c r="CC307" s="382"/>
      <c r="CD307" s="382"/>
      <c r="CE307" s="382"/>
      <c r="CF307" s="382"/>
      <c r="CG307" s="382"/>
      <c r="CH307" s="382"/>
      <c r="CI307" s="382"/>
      <c r="CJ307" s="382"/>
      <c r="CK307" s="382"/>
      <c r="CL307" s="382"/>
      <c r="CM307" s="382"/>
      <c r="CN307" s="382"/>
      <c r="CO307" s="382"/>
      <c r="CP307" s="382"/>
      <c r="CQ307" s="382"/>
      <c r="CR307" s="382"/>
      <c r="CS307" s="382"/>
      <c r="CT307" s="382"/>
      <c r="CU307" s="382"/>
      <c r="CV307" s="382"/>
      <c r="CW307" s="382"/>
      <c r="CX307" s="382"/>
      <c r="CY307" s="382"/>
      <c r="CZ307" s="382"/>
      <c r="DA307" s="382"/>
      <c r="DB307" s="382"/>
      <c r="DC307" s="382"/>
      <c r="DD307" s="382"/>
      <c r="DE307" s="382"/>
      <c r="DF307" s="382"/>
      <c r="DG307" s="382"/>
      <c r="DH307" s="382"/>
      <c r="DI307" s="382"/>
      <c r="DJ307" s="382"/>
      <c r="DK307" s="382"/>
      <c r="DL307" s="382"/>
      <c r="DM307" s="382"/>
      <c r="DN307" s="382"/>
      <c r="DO307" s="382"/>
      <c r="DP307" s="382"/>
      <c r="DQ307" s="382"/>
      <c r="DR307" s="382"/>
      <c r="DS307" s="382"/>
      <c r="DT307" s="382"/>
      <c r="DU307" s="382"/>
      <c r="DV307" s="382"/>
      <c r="DW307" s="382"/>
      <c r="DX307" s="382"/>
      <c r="DY307" s="382"/>
      <c r="DZ307" s="382"/>
      <c r="EA307" s="382"/>
      <c r="EB307" s="382"/>
      <c r="EC307" s="382"/>
      <c r="ED307" s="382"/>
      <c r="EE307" s="382"/>
      <c r="EF307" s="382"/>
      <c r="EG307" s="382"/>
      <c r="EH307" s="382"/>
      <c r="EI307" s="382"/>
      <c r="EJ307" s="382"/>
      <c r="EK307" s="382"/>
      <c r="EL307" s="382"/>
      <c r="EM307" s="382"/>
      <c r="EN307" s="382"/>
      <c r="EO307" s="382"/>
      <c r="EP307" s="382"/>
      <c r="EQ307" s="382"/>
      <c r="ER307" s="382"/>
      <c r="ES307" s="382"/>
      <c r="ET307" s="382"/>
      <c r="EU307" s="382"/>
      <c r="EV307" s="382"/>
      <c r="EW307" s="382"/>
      <c r="EX307" s="382"/>
      <c r="EY307" s="382"/>
      <c r="EZ307" s="382"/>
      <c r="FA307" s="382"/>
      <c r="FB307" s="382"/>
      <c r="FC307" s="382"/>
      <c r="FD307" s="382"/>
      <c r="FE307" s="382"/>
      <c r="FF307" s="382"/>
      <c r="FG307" s="382"/>
      <c r="FH307" s="382"/>
      <c r="FI307" s="382"/>
      <c r="FJ307" s="382"/>
      <c r="FK307" s="382"/>
      <c r="FL307" s="382"/>
      <c r="FM307" s="382"/>
      <c r="FN307" s="382"/>
      <c r="FO307" s="382"/>
      <c r="FP307" s="382"/>
      <c r="FQ307" s="382"/>
      <c r="FR307" s="382"/>
      <c r="FS307" s="382"/>
      <c r="FT307" s="382"/>
      <c r="FU307" s="382"/>
      <c r="FV307" s="382"/>
      <c r="FW307" s="382"/>
      <c r="FX307" s="382"/>
      <c r="FY307" s="382"/>
      <c r="FZ307" s="382"/>
      <c r="GA307" s="382"/>
      <c r="GB307" s="382"/>
      <c r="GC307" s="382"/>
      <c r="GD307" s="382"/>
      <c r="GE307" s="382"/>
      <c r="GF307" s="382"/>
      <c r="GG307" s="382"/>
      <c r="GH307" s="382"/>
      <c r="GI307" s="382"/>
      <c r="GJ307" s="382"/>
      <c r="GK307" s="382"/>
      <c r="GL307" s="382"/>
      <c r="GM307" s="382"/>
      <c r="GN307" s="382"/>
      <c r="GO307" s="382"/>
      <c r="GP307" s="382"/>
      <c r="GQ307" s="382"/>
      <c r="GR307" s="382"/>
      <c r="GS307" s="382"/>
      <c r="GT307" s="382"/>
      <c r="GU307" s="382"/>
      <c r="GV307" s="382"/>
      <c r="GW307" s="382"/>
      <c r="GX307" s="382"/>
      <c r="GY307" s="382"/>
      <c r="GZ307" s="382"/>
      <c r="HA307" s="382"/>
      <c r="HB307" s="382"/>
      <c r="HC307" s="382"/>
      <c r="HD307" s="382"/>
      <c r="HE307" s="382"/>
      <c r="HF307" s="382"/>
      <c r="HG307" s="382"/>
      <c r="HH307" s="382"/>
      <c r="HI307" s="382"/>
      <c r="HJ307" s="382"/>
      <c r="HK307" s="382"/>
      <c r="HL307" s="382"/>
      <c r="HM307" s="382"/>
      <c r="HN307" s="382"/>
      <c r="HO307" s="382"/>
      <c r="HP307" s="382"/>
      <c r="HQ307" s="382"/>
      <c r="HR307" s="382"/>
      <c r="HS307" s="382"/>
      <c r="HT307" s="382"/>
      <c r="HU307" s="382"/>
      <c r="HV307" s="382"/>
      <c r="HW307" s="382"/>
      <c r="HX307" s="382"/>
      <c r="HY307" s="382"/>
      <c r="HZ307" s="382"/>
      <c r="IA307" s="382"/>
      <c r="IB307" s="382"/>
      <c r="IC307" s="382"/>
      <c r="ID307" s="382"/>
      <c r="IE307" s="382"/>
      <c r="IF307" s="382"/>
      <c r="IG307" s="382"/>
      <c r="IH307" s="382"/>
      <c r="II307" s="382"/>
      <c r="IJ307" s="382"/>
      <c r="IK307" s="382"/>
      <c r="IL307" s="382"/>
      <c r="IM307" s="382"/>
    </row>
    <row r="308" spans="6:247">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c r="AS308" s="382"/>
      <c r="AT308" s="382"/>
      <c r="AU308" s="382"/>
      <c r="AV308" s="382"/>
      <c r="AW308" s="382"/>
      <c r="AX308" s="382"/>
      <c r="AY308" s="382"/>
      <c r="AZ308" s="382"/>
      <c r="BA308" s="382"/>
      <c r="BB308" s="382"/>
      <c r="BC308" s="382"/>
      <c r="BD308" s="382"/>
      <c r="BE308" s="382"/>
      <c r="BF308" s="382"/>
      <c r="BG308" s="382"/>
      <c r="BH308" s="382"/>
      <c r="BI308" s="382"/>
      <c r="BJ308" s="382"/>
      <c r="BK308" s="382"/>
      <c r="BL308" s="382"/>
      <c r="BM308" s="382"/>
      <c r="BN308" s="382"/>
      <c r="BO308" s="382"/>
      <c r="BP308" s="382"/>
      <c r="BQ308" s="382"/>
      <c r="BR308" s="382"/>
      <c r="BS308" s="382"/>
      <c r="BT308" s="382"/>
      <c r="BU308" s="382"/>
      <c r="BV308" s="382"/>
      <c r="BW308" s="382"/>
      <c r="BX308" s="382"/>
      <c r="BY308" s="382"/>
      <c r="BZ308" s="382"/>
      <c r="CA308" s="382"/>
      <c r="CB308" s="382"/>
      <c r="CC308" s="382"/>
      <c r="CD308" s="382"/>
      <c r="CE308" s="382"/>
      <c r="CF308" s="382"/>
      <c r="CG308" s="382"/>
      <c r="CH308" s="382"/>
      <c r="CI308" s="382"/>
      <c r="CJ308" s="382"/>
      <c r="CK308" s="382"/>
      <c r="CL308" s="382"/>
      <c r="CM308" s="382"/>
      <c r="CN308" s="382"/>
      <c r="CO308" s="382"/>
      <c r="CP308" s="382"/>
      <c r="CQ308" s="382"/>
      <c r="CR308" s="382"/>
      <c r="CS308" s="382"/>
      <c r="CT308" s="382"/>
      <c r="CU308" s="382"/>
      <c r="CV308" s="382"/>
      <c r="CW308" s="382"/>
      <c r="CX308" s="382"/>
      <c r="CY308" s="382"/>
      <c r="CZ308" s="382"/>
      <c r="DA308" s="382"/>
      <c r="DB308" s="382"/>
      <c r="DC308" s="382"/>
      <c r="DD308" s="382"/>
      <c r="DE308" s="382"/>
      <c r="DF308" s="382"/>
      <c r="DG308" s="382"/>
      <c r="DH308" s="382"/>
      <c r="DI308" s="382"/>
      <c r="DJ308" s="382"/>
      <c r="DK308" s="382"/>
      <c r="DL308" s="382"/>
      <c r="DM308" s="382"/>
      <c r="DN308" s="382"/>
      <c r="DO308" s="382"/>
      <c r="DP308" s="382"/>
      <c r="DQ308" s="382"/>
      <c r="DR308" s="382"/>
      <c r="DS308" s="382"/>
      <c r="DT308" s="382"/>
      <c r="DU308" s="382"/>
      <c r="DV308" s="382"/>
      <c r="DW308" s="382"/>
      <c r="DX308" s="382"/>
      <c r="DY308" s="382"/>
      <c r="DZ308" s="382"/>
      <c r="EA308" s="382"/>
      <c r="EB308" s="382"/>
      <c r="EC308" s="382"/>
      <c r="ED308" s="382"/>
      <c r="EE308" s="382"/>
      <c r="EF308" s="382"/>
      <c r="EG308" s="382"/>
      <c r="EH308" s="382"/>
      <c r="EI308" s="382"/>
      <c r="EJ308" s="382"/>
      <c r="EK308" s="382"/>
      <c r="EL308" s="382"/>
      <c r="EM308" s="382"/>
      <c r="EN308" s="382"/>
      <c r="EO308" s="382"/>
      <c r="EP308" s="382"/>
      <c r="EQ308" s="382"/>
      <c r="ER308" s="382"/>
      <c r="ES308" s="382"/>
      <c r="ET308" s="382"/>
      <c r="EU308" s="382"/>
      <c r="EV308" s="382"/>
      <c r="EW308" s="382"/>
      <c r="EX308" s="382"/>
      <c r="EY308" s="382"/>
      <c r="EZ308" s="382"/>
      <c r="FA308" s="382"/>
      <c r="FB308" s="382"/>
      <c r="FC308" s="382"/>
      <c r="FD308" s="382"/>
      <c r="FE308" s="382"/>
      <c r="FF308" s="382"/>
      <c r="FG308" s="382"/>
      <c r="FH308" s="382"/>
      <c r="FI308" s="382"/>
      <c r="FJ308" s="382"/>
      <c r="FK308" s="382"/>
      <c r="FL308" s="382"/>
      <c r="FM308" s="382"/>
      <c r="FN308" s="382"/>
      <c r="FO308" s="382"/>
      <c r="FP308" s="382"/>
      <c r="FQ308" s="382"/>
      <c r="FR308" s="382"/>
      <c r="FS308" s="382"/>
      <c r="FT308" s="382"/>
      <c r="FU308" s="382"/>
      <c r="FV308" s="382"/>
      <c r="FW308" s="382"/>
      <c r="FX308" s="382"/>
      <c r="FY308" s="382"/>
      <c r="FZ308" s="382"/>
      <c r="GA308" s="382"/>
      <c r="GB308" s="382"/>
      <c r="GC308" s="382"/>
      <c r="GD308" s="382"/>
      <c r="GE308" s="382"/>
      <c r="GF308" s="382"/>
      <c r="GG308" s="382"/>
      <c r="GH308" s="382"/>
      <c r="GI308" s="382"/>
      <c r="GJ308" s="382"/>
      <c r="GK308" s="382"/>
      <c r="GL308" s="382"/>
      <c r="GM308" s="382"/>
      <c r="GN308" s="382"/>
      <c r="GO308" s="382"/>
      <c r="GP308" s="382"/>
      <c r="GQ308" s="382"/>
      <c r="GR308" s="382"/>
      <c r="GS308" s="382"/>
      <c r="GT308" s="382"/>
      <c r="GU308" s="382"/>
      <c r="GV308" s="382"/>
      <c r="GW308" s="382"/>
      <c r="GX308" s="382"/>
      <c r="GY308" s="382"/>
      <c r="GZ308" s="382"/>
      <c r="HA308" s="382"/>
      <c r="HB308" s="382"/>
      <c r="HC308" s="382"/>
      <c r="HD308" s="382"/>
      <c r="HE308" s="382"/>
      <c r="HF308" s="382"/>
      <c r="HG308" s="382"/>
      <c r="HH308" s="382"/>
      <c r="HI308" s="382"/>
      <c r="HJ308" s="382"/>
      <c r="HK308" s="382"/>
      <c r="HL308" s="382"/>
      <c r="HM308" s="382"/>
      <c r="HN308" s="382"/>
      <c r="HO308" s="382"/>
      <c r="HP308" s="382"/>
      <c r="HQ308" s="382"/>
      <c r="HR308" s="382"/>
      <c r="HS308" s="382"/>
      <c r="HT308" s="382"/>
      <c r="HU308" s="382"/>
      <c r="HV308" s="382"/>
      <c r="HW308" s="382"/>
      <c r="HX308" s="382"/>
      <c r="HY308" s="382"/>
      <c r="HZ308" s="382"/>
      <c r="IA308" s="382"/>
      <c r="IB308" s="382"/>
      <c r="IC308" s="382"/>
      <c r="ID308" s="382"/>
      <c r="IE308" s="382"/>
      <c r="IF308" s="382"/>
      <c r="IG308" s="382"/>
      <c r="IH308" s="382"/>
      <c r="II308" s="382"/>
      <c r="IJ308" s="382"/>
      <c r="IK308" s="382"/>
      <c r="IL308" s="382"/>
      <c r="IM308" s="382"/>
    </row>
    <row r="309" spans="6:247">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c r="AS309" s="382"/>
      <c r="AT309" s="382"/>
      <c r="AU309" s="382"/>
      <c r="AV309" s="382"/>
      <c r="AW309" s="382"/>
      <c r="AX309" s="382"/>
      <c r="AY309" s="382"/>
      <c r="AZ309" s="382"/>
      <c r="BA309" s="382"/>
      <c r="BB309" s="382"/>
      <c r="BC309" s="382"/>
      <c r="BD309" s="382"/>
      <c r="BE309" s="382"/>
      <c r="BF309" s="382"/>
      <c r="BG309" s="382"/>
      <c r="BH309" s="382"/>
      <c r="BI309" s="382"/>
      <c r="BJ309" s="382"/>
      <c r="BK309" s="382"/>
      <c r="BL309" s="382"/>
      <c r="BM309" s="382"/>
      <c r="BN309" s="382"/>
      <c r="BO309" s="382"/>
      <c r="BP309" s="382"/>
      <c r="BQ309" s="382"/>
      <c r="BR309" s="382"/>
      <c r="BS309" s="382"/>
      <c r="BT309" s="382"/>
      <c r="BU309" s="382"/>
      <c r="BV309" s="382"/>
      <c r="BW309" s="382"/>
      <c r="BX309" s="382"/>
      <c r="BY309" s="382"/>
      <c r="BZ309" s="382"/>
      <c r="CA309" s="382"/>
      <c r="CB309" s="382"/>
      <c r="CC309" s="382"/>
      <c r="CD309" s="382"/>
      <c r="CE309" s="382"/>
      <c r="CF309" s="382"/>
      <c r="CG309" s="382"/>
      <c r="CH309" s="382"/>
      <c r="CI309" s="382"/>
      <c r="CJ309" s="382"/>
      <c r="CK309" s="382"/>
      <c r="CL309" s="382"/>
      <c r="CM309" s="382"/>
      <c r="CN309" s="382"/>
      <c r="CO309" s="382"/>
      <c r="CP309" s="382"/>
      <c r="CQ309" s="382"/>
      <c r="CR309" s="382"/>
      <c r="CS309" s="382"/>
      <c r="CT309" s="382"/>
      <c r="CU309" s="382"/>
      <c r="CV309" s="382"/>
      <c r="CW309" s="382"/>
      <c r="CX309" s="382"/>
      <c r="CY309" s="382"/>
      <c r="CZ309" s="382"/>
      <c r="DA309" s="382"/>
      <c r="DB309" s="382"/>
      <c r="DC309" s="382"/>
      <c r="DD309" s="382"/>
      <c r="DE309" s="382"/>
      <c r="DF309" s="382"/>
      <c r="DG309" s="382"/>
      <c r="DH309" s="382"/>
      <c r="DI309" s="382"/>
      <c r="DJ309" s="382"/>
      <c r="DK309" s="382"/>
      <c r="DL309" s="382"/>
      <c r="DM309" s="382"/>
      <c r="DN309" s="382"/>
      <c r="DO309" s="382"/>
      <c r="DP309" s="382"/>
      <c r="DQ309" s="382"/>
      <c r="DR309" s="382"/>
      <c r="DS309" s="382"/>
      <c r="DT309" s="382"/>
      <c r="DU309" s="382"/>
      <c r="DV309" s="382"/>
      <c r="DW309" s="382"/>
      <c r="DX309" s="382"/>
      <c r="DY309" s="382"/>
      <c r="DZ309" s="382"/>
      <c r="EA309" s="382"/>
      <c r="EB309" s="382"/>
      <c r="EC309" s="382"/>
      <c r="ED309" s="382"/>
      <c r="EE309" s="382"/>
      <c r="EF309" s="382"/>
      <c r="EG309" s="382"/>
      <c r="EH309" s="382"/>
      <c r="EI309" s="382"/>
      <c r="EJ309" s="382"/>
      <c r="EK309" s="382"/>
      <c r="EL309" s="382"/>
      <c r="EM309" s="382"/>
      <c r="EN309" s="382"/>
      <c r="EO309" s="382"/>
      <c r="EP309" s="382"/>
      <c r="EQ309" s="382"/>
      <c r="ER309" s="382"/>
      <c r="ES309" s="382"/>
      <c r="ET309" s="382"/>
      <c r="EU309" s="382"/>
      <c r="EV309" s="382"/>
      <c r="EW309" s="382"/>
      <c r="EX309" s="382"/>
      <c r="EY309" s="382"/>
      <c r="EZ309" s="382"/>
      <c r="FA309" s="382"/>
      <c r="FB309" s="382"/>
      <c r="FC309" s="382"/>
      <c r="FD309" s="382"/>
      <c r="FE309" s="382"/>
      <c r="FF309" s="382"/>
      <c r="FG309" s="382"/>
      <c r="FH309" s="382"/>
      <c r="FI309" s="382"/>
      <c r="FJ309" s="382"/>
      <c r="FK309" s="382"/>
      <c r="FL309" s="382"/>
      <c r="FM309" s="382"/>
      <c r="FN309" s="382"/>
      <c r="FO309" s="382"/>
      <c r="FP309" s="382"/>
      <c r="FQ309" s="382"/>
      <c r="FR309" s="382"/>
      <c r="FS309" s="382"/>
      <c r="FT309" s="382"/>
      <c r="FU309" s="382"/>
      <c r="FV309" s="382"/>
      <c r="FW309" s="382"/>
      <c r="FX309" s="382"/>
      <c r="FY309" s="382"/>
      <c r="FZ309" s="382"/>
      <c r="GA309" s="382"/>
      <c r="GB309" s="382"/>
      <c r="GC309" s="382"/>
      <c r="GD309" s="382"/>
      <c r="GE309" s="382"/>
      <c r="GF309" s="382"/>
      <c r="GG309" s="382"/>
      <c r="GH309" s="382"/>
      <c r="GI309" s="382"/>
      <c r="GJ309" s="382"/>
      <c r="GK309" s="382"/>
      <c r="GL309" s="382"/>
      <c r="GM309" s="382"/>
      <c r="GN309" s="382"/>
      <c r="GO309" s="382"/>
      <c r="GP309" s="382"/>
      <c r="GQ309" s="382"/>
      <c r="GR309" s="382"/>
      <c r="GS309" s="382"/>
      <c r="GT309" s="382"/>
      <c r="GU309" s="382"/>
      <c r="GV309" s="382"/>
      <c r="GW309" s="382"/>
      <c r="GX309" s="382"/>
      <c r="GY309" s="382"/>
      <c r="GZ309" s="382"/>
      <c r="HA309" s="382"/>
      <c r="HB309" s="382"/>
      <c r="HC309" s="382"/>
      <c r="HD309" s="382"/>
      <c r="HE309" s="382"/>
      <c r="HF309" s="382"/>
      <c r="HG309" s="382"/>
      <c r="HH309" s="382"/>
      <c r="HI309" s="382"/>
      <c r="HJ309" s="382"/>
      <c r="HK309" s="382"/>
      <c r="HL309" s="382"/>
      <c r="HM309" s="382"/>
      <c r="HN309" s="382"/>
      <c r="HO309" s="382"/>
      <c r="HP309" s="382"/>
      <c r="HQ309" s="382"/>
      <c r="HR309" s="382"/>
      <c r="HS309" s="382"/>
      <c r="HT309" s="382"/>
      <c r="HU309" s="382"/>
      <c r="HV309" s="382"/>
      <c r="HW309" s="382"/>
      <c r="HX309" s="382"/>
      <c r="HY309" s="382"/>
      <c r="HZ309" s="382"/>
      <c r="IA309" s="382"/>
      <c r="IB309" s="382"/>
      <c r="IC309" s="382"/>
      <c r="ID309" s="382"/>
      <c r="IE309" s="382"/>
      <c r="IF309" s="382"/>
      <c r="IG309" s="382"/>
      <c r="IH309" s="382"/>
      <c r="II309" s="382"/>
      <c r="IJ309" s="382"/>
      <c r="IK309" s="382"/>
      <c r="IL309" s="382"/>
      <c r="IM309" s="382"/>
    </row>
    <row r="310" spans="6:247">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382"/>
      <c r="BM310" s="382"/>
      <c r="BN310" s="382"/>
      <c r="BO310" s="382"/>
      <c r="BP310" s="382"/>
      <c r="BQ310" s="382"/>
      <c r="BR310" s="382"/>
      <c r="BS310" s="382"/>
      <c r="BT310" s="382"/>
      <c r="BU310" s="382"/>
      <c r="BV310" s="382"/>
      <c r="BW310" s="382"/>
      <c r="BX310" s="382"/>
      <c r="BY310" s="382"/>
      <c r="BZ310" s="382"/>
      <c r="CA310" s="382"/>
      <c r="CB310" s="382"/>
      <c r="CC310" s="382"/>
      <c r="CD310" s="382"/>
      <c r="CE310" s="382"/>
      <c r="CF310" s="382"/>
      <c r="CG310" s="382"/>
      <c r="CH310" s="382"/>
      <c r="CI310" s="382"/>
      <c r="CJ310" s="382"/>
      <c r="CK310" s="382"/>
      <c r="CL310" s="382"/>
      <c r="CM310" s="382"/>
      <c r="CN310" s="382"/>
      <c r="CO310" s="382"/>
      <c r="CP310" s="382"/>
      <c r="CQ310" s="382"/>
      <c r="CR310" s="382"/>
      <c r="CS310" s="382"/>
      <c r="CT310" s="382"/>
      <c r="CU310" s="382"/>
      <c r="CV310" s="382"/>
      <c r="CW310" s="382"/>
      <c r="CX310" s="382"/>
      <c r="CY310" s="382"/>
      <c r="CZ310" s="382"/>
      <c r="DA310" s="382"/>
      <c r="DB310" s="382"/>
      <c r="DC310" s="382"/>
      <c r="DD310" s="382"/>
      <c r="DE310" s="382"/>
      <c r="DF310" s="382"/>
      <c r="DG310" s="382"/>
      <c r="DH310" s="382"/>
      <c r="DI310" s="382"/>
      <c r="DJ310" s="382"/>
      <c r="DK310" s="382"/>
      <c r="DL310" s="382"/>
      <c r="DM310" s="382"/>
      <c r="DN310" s="382"/>
      <c r="DO310" s="382"/>
      <c r="DP310" s="382"/>
      <c r="DQ310" s="382"/>
      <c r="DR310" s="382"/>
      <c r="DS310" s="382"/>
      <c r="DT310" s="382"/>
      <c r="DU310" s="382"/>
      <c r="DV310" s="382"/>
      <c r="DW310" s="382"/>
      <c r="DX310" s="382"/>
      <c r="DY310" s="382"/>
      <c r="DZ310" s="382"/>
      <c r="EA310" s="382"/>
      <c r="EB310" s="382"/>
      <c r="EC310" s="382"/>
      <c r="ED310" s="382"/>
      <c r="EE310" s="382"/>
      <c r="EF310" s="382"/>
      <c r="EG310" s="382"/>
      <c r="EH310" s="382"/>
      <c r="EI310" s="382"/>
      <c r="EJ310" s="382"/>
      <c r="EK310" s="382"/>
      <c r="EL310" s="382"/>
      <c r="EM310" s="382"/>
      <c r="EN310" s="382"/>
      <c r="EO310" s="382"/>
      <c r="EP310" s="382"/>
      <c r="EQ310" s="382"/>
      <c r="ER310" s="382"/>
      <c r="ES310" s="382"/>
      <c r="ET310" s="382"/>
      <c r="EU310" s="382"/>
      <c r="EV310" s="382"/>
      <c r="EW310" s="382"/>
      <c r="EX310" s="382"/>
      <c r="EY310" s="382"/>
      <c r="EZ310" s="382"/>
      <c r="FA310" s="382"/>
      <c r="FB310" s="382"/>
      <c r="FC310" s="382"/>
      <c r="FD310" s="382"/>
      <c r="FE310" s="382"/>
      <c r="FF310" s="382"/>
      <c r="FG310" s="382"/>
      <c r="FH310" s="382"/>
      <c r="FI310" s="382"/>
      <c r="FJ310" s="382"/>
      <c r="FK310" s="382"/>
      <c r="FL310" s="382"/>
      <c r="FM310" s="382"/>
      <c r="FN310" s="382"/>
      <c r="FO310" s="382"/>
      <c r="FP310" s="382"/>
      <c r="FQ310" s="382"/>
      <c r="FR310" s="382"/>
      <c r="FS310" s="382"/>
      <c r="FT310" s="382"/>
      <c r="FU310" s="382"/>
      <c r="FV310" s="382"/>
      <c r="FW310" s="382"/>
      <c r="FX310" s="382"/>
      <c r="FY310" s="382"/>
      <c r="FZ310" s="382"/>
      <c r="GA310" s="382"/>
      <c r="GB310" s="382"/>
      <c r="GC310" s="382"/>
      <c r="GD310" s="382"/>
      <c r="GE310" s="382"/>
      <c r="GF310" s="382"/>
      <c r="GG310" s="382"/>
      <c r="GH310" s="382"/>
      <c r="GI310" s="382"/>
      <c r="GJ310" s="382"/>
      <c r="GK310" s="382"/>
      <c r="GL310" s="382"/>
      <c r="GM310" s="382"/>
      <c r="GN310" s="382"/>
      <c r="GO310" s="382"/>
      <c r="GP310" s="382"/>
      <c r="GQ310" s="382"/>
      <c r="GR310" s="382"/>
      <c r="GS310" s="382"/>
      <c r="GT310" s="382"/>
      <c r="GU310" s="382"/>
      <c r="GV310" s="382"/>
      <c r="GW310" s="382"/>
      <c r="GX310" s="382"/>
      <c r="GY310" s="382"/>
      <c r="GZ310" s="382"/>
      <c r="HA310" s="382"/>
      <c r="HB310" s="382"/>
      <c r="HC310" s="382"/>
      <c r="HD310" s="382"/>
      <c r="HE310" s="382"/>
      <c r="HF310" s="382"/>
      <c r="HG310" s="382"/>
      <c r="HH310" s="382"/>
      <c r="HI310" s="382"/>
      <c r="HJ310" s="382"/>
      <c r="HK310" s="382"/>
      <c r="HL310" s="382"/>
      <c r="HM310" s="382"/>
      <c r="HN310" s="382"/>
      <c r="HO310" s="382"/>
      <c r="HP310" s="382"/>
      <c r="HQ310" s="382"/>
      <c r="HR310" s="382"/>
      <c r="HS310" s="382"/>
      <c r="HT310" s="382"/>
      <c r="HU310" s="382"/>
      <c r="HV310" s="382"/>
      <c r="HW310" s="382"/>
      <c r="HX310" s="382"/>
      <c r="HY310" s="382"/>
      <c r="HZ310" s="382"/>
      <c r="IA310" s="382"/>
      <c r="IB310" s="382"/>
      <c r="IC310" s="382"/>
      <c r="ID310" s="382"/>
      <c r="IE310" s="382"/>
      <c r="IF310" s="382"/>
      <c r="IG310" s="382"/>
      <c r="IH310" s="382"/>
      <c r="II310" s="382"/>
      <c r="IJ310" s="382"/>
      <c r="IK310" s="382"/>
      <c r="IL310" s="382"/>
      <c r="IM310" s="382"/>
    </row>
    <row r="311" spans="6:247">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2"/>
      <c r="AY311" s="382"/>
      <c r="AZ311" s="382"/>
      <c r="BA311" s="382"/>
      <c r="BB311" s="382"/>
      <c r="BC311" s="382"/>
      <c r="BD311" s="382"/>
      <c r="BE311" s="382"/>
      <c r="BF311" s="382"/>
      <c r="BG311" s="382"/>
      <c r="BH311" s="382"/>
      <c r="BI311" s="382"/>
      <c r="BJ311" s="382"/>
      <c r="BK311" s="382"/>
      <c r="BL311" s="382"/>
      <c r="BM311" s="382"/>
      <c r="BN311" s="382"/>
      <c r="BO311" s="382"/>
      <c r="BP311" s="382"/>
      <c r="BQ311" s="382"/>
      <c r="BR311" s="382"/>
      <c r="BS311" s="382"/>
      <c r="BT311" s="382"/>
      <c r="BU311" s="382"/>
      <c r="BV311" s="382"/>
      <c r="BW311" s="382"/>
      <c r="BX311" s="382"/>
      <c r="BY311" s="382"/>
      <c r="BZ311" s="382"/>
      <c r="CA311" s="382"/>
      <c r="CB311" s="382"/>
      <c r="CC311" s="382"/>
      <c r="CD311" s="382"/>
      <c r="CE311" s="382"/>
      <c r="CF311" s="382"/>
      <c r="CG311" s="382"/>
      <c r="CH311" s="382"/>
      <c r="CI311" s="382"/>
      <c r="CJ311" s="382"/>
      <c r="CK311" s="382"/>
      <c r="CL311" s="382"/>
      <c r="CM311" s="382"/>
      <c r="CN311" s="382"/>
      <c r="CO311" s="382"/>
      <c r="CP311" s="382"/>
      <c r="CQ311" s="382"/>
      <c r="CR311" s="382"/>
      <c r="CS311" s="382"/>
      <c r="CT311" s="382"/>
      <c r="CU311" s="382"/>
      <c r="CV311" s="382"/>
      <c r="CW311" s="382"/>
      <c r="CX311" s="382"/>
      <c r="CY311" s="382"/>
      <c r="CZ311" s="382"/>
      <c r="DA311" s="382"/>
      <c r="DB311" s="382"/>
      <c r="DC311" s="382"/>
      <c r="DD311" s="382"/>
      <c r="DE311" s="382"/>
      <c r="DF311" s="382"/>
      <c r="DG311" s="382"/>
      <c r="DH311" s="382"/>
      <c r="DI311" s="382"/>
      <c r="DJ311" s="382"/>
      <c r="DK311" s="382"/>
      <c r="DL311" s="382"/>
      <c r="DM311" s="382"/>
      <c r="DN311" s="382"/>
      <c r="DO311" s="382"/>
      <c r="DP311" s="382"/>
      <c r="DQ311" s="382"/>
      <c r="DR311" s="382"/>
      <c r="DS311" s="382"/>
      <c r="DT311" s="382"/>
      <c r="DU311" s="382"/>
      <c r="DV311" s="382"/>
      <c r="DW311" s="382"/>
      <c r="DX311" s="382"/>
      <c r="DY311" s="382"/>
      <c r="DZ311" s="382"/>
      <c r="EA311" s="382"/>
      <c r="EB311" s="382"/>
      <c r="EC311" s="382"/>
      <c r="ED311" s="382"/>
      <c r="EE311" s="382"/>
      <c r="EF311" s="382"/>
      <c r="EG311" s="382"/>
      <c r="EH311" s="382"/>
      <c r="EI311" s="382"/>
      <c r="EJ311" s="382"/>
      <c r="EK311" s="382"/>
      <c r="EL311" s="382"/>
      <c r="EM311" s="382"/>
      <c r="EN311" s="382"/>
      <c r="EO311" s="382"/>
      <c r="EP311" s="382"/>
      <c r="EQ311" s="382"/>
      <c r="ER311" s="382"/>
      <c r="ES311" s="382"/>
      <c r="ET311" s="382"/>
      <c r="EU311" s="382"/>
      <c r="EV311" s="382"/>
      <c r="EW311" s="382"/>
      <c r="EX311" s="382"/>
      <c r="EY311" s="382"/>
      <c r="EZ311" s="382"/>
      <c r="FA311" s="382"/>
      <c r="FB311" s="382"/>
      <c r="FC311" s="382"/>
      <c r="FD311" s="382"/>
      <c r="FE311" s="382"/>
      <c r="FF311" s="382"/>
      <c r="FG311" s="382"/>
      <c r="FH311" s="382"/>
      <c r="FI311" s="382"/>
      <c r="FJ311" s="382"/>
      <c r="FK311" s="382"/>
      <c r="FL311" s="382"/>
      <c r="FM311" s="382"/>
      <c r="FN311" s="382"/>
      <c r="FO311" s="382"/>
      <c r="FP311" s="382"/>
      <c r="FQ311" s="382"/>
      <c r="FR311" s="382"/>
      <c r="FS311" s="382"/>
      <c r="FT311" s="382"/>
      <c r="FU311" s="382"/>
      <c r="FV311" s="382"/>
      <c r="FW311" s="382"/>
      <c r="FX311" s="382"/>
      <c r="FY311" s="382"/>
      <c r="FZ311" s="382"/>
      <c r="GA311" s="382"/>
      <c r="GB311" s="382"/>
      <c r="GC311" s="382"/>
      <c r="GD311" s="382"/>
      <c r="GE311" s="382"/>
      <c r="GF311" s="382"/>
      <c r="GG311" s="382"/>
      <c r="GH311" s="382"/>
      <c r="GI311" s="382"/>
      <c r="GJ311" s="382"/>
      <c r="GK311" s="382"/>
      <c r="GL311" s="382"/>
      <c r="GM311" s="382"/>
      <c r="GN311" s="382"/>
      <c r="GO311" s="382"/>
      <c r="GP311" s="382"/>
      <c r="GQ311" s="382"/>
      <c r="GR311" s="382"/>
      <c r="GS311" s="382"/>
      <c r="GT311" s="382"/>
      <c r="GU311" s="382"/>
      <c r="GV311" s="382"/>
      <c r="GW311" s="382"/>
      <c r="GX311" s="382"/>
      <c r="GY311" s="382"/>
      <c r="GZ311" s="382"/>
      <c r="HA311" s="382"/>
      <c r="HB311" s="382"/>
      <c r="HC311" s="382"/>
      <c r="HD311" s="382"/>
      <c r="HE311" s="382"/>
      <c r="HF311" s="382"/>
      <c r="HG311" s="382"/>
      <c r="HH311" s="382"/>
      <c r="HI311" s="382"/>
      <c r="HJ311" s="382"/>
      <c r="HK311" s="382"/>
      <c r="HL311" s="382"/>
      <c r="HM311" s="382"/>
      <c r="HN311" s="382"/>
      <c r="HO311" s="382"/>
      <c r="HP311" s="382"/>
      <c r="HQ311" s="382"/>
      <c r="HR311" s="382"/>
      <c r="HS311" s="382"/>
      <c r="HT311" s="382"/>
      <c r="HU311" s="382"/>
      <c r="HV311" s="382"/>
      <c r="HW311" s="382"/>
      <c r="HX311" s="382"/>
      <c r="HY311" s="382"/>
      <c r="HZ311" s="382"/>
      <c r="IA311" s="382"/>
      <c r="IB311" s="382"/>
      <c r="IC311" s="382"/>
      <c r="ID311" s="382"/>
      <c r="IE311" s="382"/>
      <c r="IF311" s="382"/>
      <c r="IG311" s="382"/>
      <c r="IH311" s="382"/>
      <c r="II311" s="382"/>
      <c r="IJ311" s="382"/>
      <c r="IK311" s="382"/>
      <c r="IL311" s="382"/>
      <c r="IM311" s="382"/>
    </row>
    <row r="312" spans="6:247">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c r="AS312" s="382"/>
      <c r="AT312" s="382"/>
      <c r="AU312" s="382"/>
      <c r="AV312" s="382"/>
      <c r="AW312" s="382"/>
      <c r="AX312" s="382"/>
      <c r="AY312" s="382"/>
      <c r="AZ312" s="382"/>
      <c r="BA312" s="382"/>
      <c r="BB312" s="382"/>
      <c r="BC312" s="382"/>
      <c r="BD312" s="382"/>
      <c r="BE312" s="382"/>
      <c r="BF312" s="382"/>
      <c r="BG312" s="382"/>
      <c r="BH312" s="382"/>
      <c r="BI312" s="382"/>
      <c r="BJ312" s="382"/>
      <c r="BK312" s="382"/>
      <c r="BL312" s="382"/>
      <c r="BM312" s="382"/>
      <c r="BN312" s="382"/>
      <c r="BO312" s="382"/>
      <c r="BP312" s="382"/>
      <c r="BQ312" s="382"/>
      <c r="BR312" s="382"/>
      <c r="BS312" s="382"/>
      <c r="BT312" s="382"/>
      <c r="BU312" s="382"/>
      <c r="BV312" s="382"/>
      <c r="BW312" s="382"/>
      <c r="BX312" s="382"/>
      <c r="BY312" s="382"/>
      <c r="BZ312" s="382"/>
      <c r="CA312" s="382"/>
      <c r="CB312" s="382"/>
      <c r="CC312" s="382"/>
      <c r="CD312" s="382"/>
      <c r="CE312" s="382"/>
      <c r="CF312" s="382"/>
      <c r="CG312" s="382"/>
      <c r="CH312" s="382"/>
      <c r="CI312" s="382"/>
      <c r="CJ312" s="382"/>
      <c r="CK312" s="382"/>
      <c r="CL312" s="382"/>
      <c r="CM312" s="382"/>
      <c r="CN312" s="382"/>
      <c r="CO312" s="382"/>
      <c r="CP312" s="382"/>
      <c r="CQ312" s="382"/>
      <c r="CR312" s="382"/>
      <c r="CS312" s="382"/>
      <c r="CT312" s="382"/>
      <c r="CU312" s="382"/>
      <c r="CV312" s="382"/>
      <c r="CW312" s="382"/>
      <c r="CX312" s="382"/>
      <c r="CY312" s="382"/>
      <c r="CZ312" s="382"/>
      <c r="DA312" s="382"/>
      <c r="DB312" s="382"/>
      <c r="DC312" s="382"/>
      <c r="DD312" s="382"/>
      <c r="DE312" s="382"/>
      <c r="DF312" s="382"/>
      <c r="DG312" s="382"/>
      <c r="DH312" s="382"/>
      <c r="DI312" s="382"/>
      <c r="DJ312" s="382"/>
      <c r="DK312" s="382"/>
      <c r="DL312" s="382"/>
      <c r="DM312" s="382"/>
      <c r="DN312" s="382"/>
      <c r="DO312" s="382"/>
      <c r="DP312" s="382"/>
      <c r="DQ312" s="382"/>
      <c r="DR312" s="382"/>
      <c r="DS312" s="382"/>
      <c r="DT312" s="382"/>
      <c r="DU312" s="382"/>
      <c r="DV312" s="382"/>
      <c r="DW312" s="382"/>
      <c r="DX312" s="382"/>
      <c r="DY312" s="382"/>
      <c r="DZ312" s="382"/>
      <c r="EA312" s="382"/>
      <c r="EB312" s="382"/>
      <c r="EC312" s="382"/>
      <c r="ED312" s="382"/>
      <c r="EE312" s="382"/>
      <c r="EF312" s="382"/>
      <c r="EG312" s="382"/>
      <c r="EH312" s="382"/>
      <c r="EI312" s="382"/>
      <c r="EJ312" s="382"/>
      <c r="EK312" s="382"/>
      <c r="EL312" s="382"/>
      <c r="EM312" s="382"/>
      <c r="EN312" s="382"/>
      <c r="EO312" s="382"/>
      <c r="EP312" s="382"/>
      <c r="EQ312" s="382"/>
      <c r="ER312" s="382"/>
      <c r="ES312" s="382"/>
      <c r="ET312" s="382"/>
      <c r="EU312" s="382"/>
      <c r="EV312" s="382"/>
      <c r="EW312" s="382"/>
      <c r="EX312" s="382"/>
      <c r="EY312" s="382"/>
      <c r="EZ312" s="382"/>
      <c r="FA312" s="382"/>
      <c r="FB312" s="382"/>
      <c r="FC312" s="382"/>
      <c r="FD312" s="382"/>
      <c r="FE312" s="382"/>
      <c r="FF312" s="382"/>
      <c r="FG312" s="382"/>
      <c r="FH312" s="382"/>
      <c r="FI312" s="382"/>
      <c r="FJ312" s="382"/>
      <c r="FK312" s="382"/>
      <c r="FL312" s="382"/>
      <c r="FM312" s="382"/>
      <c r="FN312" s="382"/>
      <c r="FO312" s="382"/>
      <c r="FP312" s="382"/>
      <c r="FQ312" s="382"/>
      <c r="FR312" s="382"/>
      <c r="FS312" s="382"/>
      <c r="FT312" s="382"/>
      <c r="FU312" s="382"/>
      <c r="FV312" s="382"/>
      <c r="FW312" s="382"/>
      <c r="FX312" s="382"/>
      <c r="FY312" s="382"/>
      <c r="FZ312" s="382"/>
      <c r="GA312" s="382"/>
      <c r="GB312" s="382"/>
      <c r="GC312" s="382"/>
      <c r="GD312" s="382"/>
      <c r="GE312" s="382"/>
      <c r="GF312" s="382"/>
      <c r="GG312" s="382"/>
      <c r="GH312" s="382"/>
      <c r="GI312" s="382"/>
      <c r="GJ312" s="382"/>
      <c r="GK312" s="382"/>
      <c r="GL312" s="382"/>
      <c r="GM312" s="382"/>
      <c r="GN312" s="382"/>
      <c r="GO312" s="382"/>
      <c r="GP312" s="382"/>
      <c r="GQ312" s="382"/>
      <c r="GR312" s="382"/>
      <c r="GS312" s="382"/>
      <c r="GT312" s="382"/>
      <c r="GU312" s="382"/>
      <c r="GV312" s="382"/>
      <c r="GW312" s="382"/>
      <c r="GX312" s="382"/>
      <c r="GY312" s="382"/>
      <c r="GZ312" s="382"/>
      <c r="HA312" s="382"/>
      <c r="HB312" s="382"/>
      <c r="HC312" s="382"/>
      <c r="HD312" s="382"/>
      <c r="HE312" s="382"/>
      <c r="HF312" s="382"/>
      <c r="HG312" s="382"/>
      <c r="HH312" s="382"/>
      <c r="HI312" s="382"/>
      <c r="HJ312" s="382"/>
      <c r="HK312" s="382"/>
      <c r="HL312" s="382"/>
      <c r="HM312" s="382"/>
      <c r="HN312" s="382"/>
      <c r="HO312" s="382"/>
      <c r="HP312" s="382"/>
      <c r="HQ312" s="382"/>
      <c r="HR312" s="382"/>
      <c r="HS312" s="382"/>
      <c r="HT312" s="382"/>
      <c r="HU312" s="382"/>
      <c r="HV312" s="382"/>
      <c r="HW312" s="382"/>
      <c r="HX312" s="382"/>
      <c r="HY312" s="382"/>
      <c r="HZ312" s="382"/>
      <c r="IA312" s="382"/>
      <c r="IB312" s="382"/>
      <c r="IC312" s="382"/>
      <c r="ID312" s="382"/>
      <c r="IE312" s="382"/>
      <c r="IF312" s="382"/>
      <c r="IG312" s="382"/>
      <c r="IH312" s="382"/>
      <c r="II312" s="382"/>
      <c r="IJ312" s="382"/>
      <c r="IK312" s="382"/>
      <c r="IL312" s="382"/>
      <c r="IM312" s="382"/>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D5AD89F4-90FE-4D32-B03C-839E654B5D1F}"/>
</file>

<file path=customXml/itemProps2.xml><?xml version="1.0" encoding="utf-8"?>
<ds:datastoreItem xmlns:ds="http://schemas.openxmlformats.org/officeDocument/2006/customXml" ds:itemID="{CBE9A065-289F-4AD3-9250-0CAD831C81EF}"/>
</file>

<file path=customXml/itemProps3.xml><?xml version="1.0" encoding="utf-8"?>
<ds:datastoreItem xmlns:ds="http://schemas.openxmlformats.org/officeDocument/2006/customXml" ds:itemID="{214CEF1B-0EB2-4185-B982-5198EB078AE2}"/>
</file>

<file path=customXml/itemProps4.xml><?xml version="1.0" encoding="utf-8"?>
<ds:datastoreItem xmlns:ds="http://schemas.openxmlformats.org/officeDocument/2006/customXml" ds:itemID="{8863755F-88BE-426B-850F-DE514E5E8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Lead E</vt:lpstr>
      <vt:lpstr>Verify Power Costs</vt:lpstr>
      <vt:lpstr>Power Cost Bridge to A-1</vt:lpstr>
      <vt:lpstr>Production Factor</vt:lpstr>
      <vt:lpstr>B&amp;T 557</vt:lpstr>
      <vt:lpstr>B&amp;T O&amp;M</vt:lpstr>
      <vt:lpstr>Centralia Equity Kicker</vt:lpstr>
      <vt:lpstr>Estimate OATT Trans Rev</vt:lpstr>
      <vt:lpstr>PWX Microsoft</vt:lpstr>
      <vt:lpstr>Act OATT Rev 45610005</vt:lpstr>
      <vt:lpstr>RJR</vt:lpstr>
      <vt:lpstr>500KV</vt:lpstr>
      <vt:lpstr>PKW RY PC1</vt:lpstr>
      <vt:lpstr>Power Costs</vt:lpstr>
      <vt:lpstr>Schedule_B</vt:lpstr>
      <vt:lpstr>Actuals</vt:lpstr>
      <vt:lpstr>CT Oil Valuation</vt:lpstr>
      <vt:lpstr>Centrailia</vt:lpstr>
      <vt:lpstr>Restating=&gt;</vt:lpstr>
      <vt:lpstr>PKW24C FERC 557 costs</vt:lpstr>
      <vt:lpstr>F2018 Sch Level Delivered Load</vt:lpstr>
      <vt:lpstr>Electric - Load</vt:lpstr>
      <vt:lpstr>Temp Norm Adj=&gt;</vt:lpstr>
      <vt:lpstr>PKW 557</vt:lpstr>
      <vt:lpstr>Load Impact to Cost &amp; Rev</vt:lpstr>
      <vt:lpstr>Load Temp Adj</vt:lpstr>
      <vt:lpstr>2018 Hydro</vt:lpstr>
      <vt:lpstr>2018 Wind</vt:lpstr>
      <vt:lpstr>EA Database</vt:lpstr>
      <vt:lpstr>BAGE &amp; SAGE</vt:lpstr>
      <vt:lpstr>PKW-WP ENERG</vt:lpstr>
      <vt:lpstr>Wind Integration Costs</vt:lpstr>
      <vt:lpstr>Price</vt:lpstr>
      <vt:lpstr>PCA Calc=&gt;</vt:lpstr>
      <vt:lpstr>Sched B 2018</vt:lpstr>
      <vt:lpstr>Actuals 2018</vt:lpstr>
      <vt:lpstr>'Actuals 2018'!Print_Area</vt:lpstr>
      <vt:lpstr>'PKW24C FERC 557 costs'!Print_Area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2019-06-12T16:07:31Z</cp:lastPrinted>
  <dcterms:created xsi:type="dcterms:W3CDTF">2017-08-15T16:09:44Z</dcterms:created>
  <dcterms:modified xsi:type="dcterms:W3CDTF">2019-07-31T15:19:19Z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