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WATER/WA/UW-240151_Cascadia_Water_Rate_Case_2024/8_Direct Testimony/"/>
    </mc:Choice>
  </mc:AlternateContent>
  <xr:revisionPtr revIDLastSave="0" documentId="13_ncr:1_{05282FD8-1379-4B2A-BB47-CA8A827B2E5E}" xr6:coauthVersionLast="47" xr6:coauthVersionMax="47" xr10:uidLastSave="{00000000-0000-0000-0000-000000000000}"/>
  <bookViews>
    <workbookView xWindow="33195" yWindow="1515" windowWidth="20505" windowHeight="10395" xr2:uid="{3E3F4DE7-7503-4FB9-82EB-3C17A91765B7}"/>
  </bookViews>
  <sheets>
    <sheet name="Sh 1 WACC" sheetId="26" r:id="rId1"/>
    <sheet name="Sh 2 ROE" sheetId="25" r:id="rId2"/>
    <sheet name="Sh 3 COMPE" sheetId="2" r:id="rId3"/>
    <sheet name="Sh 4 DYield" sheetId="9" r:id="rId4"/>
    <sheet name="Sh 5 Growth" sheetId="10" r:id="rId5"/>
    <sheet name="Sh 6 DCF" sheetId="12" r:id="rId6"/>
    <sheet name="Sh 7 RP" sheetId="20" r:id="rId7"/>
    <sheet name="Sh 8 CAPM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I" localSheetId="4">#REF!</definedName>
    <definedName name="\I">#REF!</definedName>
    <definedName name="\P" localSheetId="4">#REF!</definedName>
    <definedName name="\P">#REF!</definedName>
    <definedName name="\S" localSheetId="4">#REF!</definedName>
    <definedName name="\S">#REF!</definedName>
    <definedName name="__pg1" localSheetId="4">#REF!</definedName>
    <definedName name="__pg1">#REF!</definedName>
    <definedName name="__pg2" localSheetId="4">#REF!</definedName>
    <definedName name="__pg2">#REF!</definedName>
    <definedName name="_1ISSUANCE_EXPENS" localSheetId="4">#REF!</definedName>
    <definedName name="_1ISSUANCE_EXPENS">#REF!</definedName>
    <definedName name="_2LTD_EFFECTIVE">[1]A!$B$1:$T$36</definedName>
    <definedName name="_3SERIES_R" localSheetId="4">#REF!</definedName>
    <definedName name="_3SERIES_R">#REF!</definedName>
    <definedName name="_4SERIES_T" localSheetId="4">#REF!</definedName>
    <definedName name="_4SERIES_T">#REF!</definedName>
    <definedName name="_div1" localSheetId="4">#REF!</definedName>
    <definedName name="_div1">#REF!</definedName>
    <definedName name="_div2" localSheetId="4">#REF!</definedName>
    <definedName name="_div2">#REF!</definedName>
    <definedName name="_div3" localSheetId="4">#REF!</definedName>
    <definedName name="_div3">#REF!</definedName>
    <definedName name="_div4" localSheetId="4">#REF!</definedName>
    <definedName name="_div4">#REF!</definedName>
    <definedName name="_num1" localSheetId="4">#REF!</definedName>
    <definedName name="_num1">#REF!</definedName>
    <definedName name="_num10" localSheetId="4">#REF!</definedName>
    <definedName name="_num10">#REF!</definedName>
    <definedName name="_num11" localSheetId="4">#REF!</definedName>
    <definedName name="_num11">#REF!</definedName>
    <definedName name="_num12" localSheetId="4">#REF!</definedName>
    <definedName name="_num12">#REF!</definedName>
    <definedName name="_num13" localSheetId="4">#REF!</definedName>
    <definedName name="_num13">#REF!</definedName>
    <definedName name="_num14" localSheetId="4">#REF!</definedName>
    <definedName name="_num14">#REF!</definedName>
    <definedName name="_num15" localSheetId="4">#REF!</definedName>
    <definedName name="_num15">#REF!</definedName>
    <definedName name="_num16" localSheetId="4">#REF!</definedName>
    <definedName name="_num16">#REF!</definedName>
    <definedName name="_num17" localSheetId="4">#REF!</definedName>
    <definedName name="_num17">#REF!</definedName>
    <definedName name="_num18" localSheetId="4">#REF!</definedName>
    <definedName name="_num18">#REF!</definedName>
    <definedName name="_num19" localSheetId="4">#REF!</definedName>
    <definedName name="_num19">#REF!</definedName>
    <definedName name="_num2" localSheetId="4">#REF!</definedName>
    <definedName name="_num2">#REF!</definedName>
    <definedName name="_num20" localSheetId="4">#REF!</definedName>
    <definedName name="_num20">#REF!</definedName>
    <definedName name="_num21" localSheetId="4">#REF!</definedName>
    <definedName name="_num21">#REF!</definedName>
    <definedName name="_num22" localSheetId="4">#REF!</definedName>
    <definedName name="_num22">#REF!</definedName>
    <definedName name="_num23" localSheetId="4">#REF!</definedName>
    <definedName name="_num23">#REF!</definedName>
    <definedName name="_num24" localSheetId="4">#REF!</definedName>
    <definedName name="_num24">#REF!</definedName>
    <definedName name="_num25" localSheetId="4">#REF!</definedName>
    <definedName name="_num25">#REF!</definedName>
    <definedName name="_num26" localSheetId="4">#REF!</definedName>
    <definedName name="_num26">#REF!</definedName>
    <definedName name="_num27" localSheetId="4">#REF!</definedName>
    <definedName name="_num27">#REF!</definedName>
    <definedName name="_num28" localSheetId="4">#REF!</definedName>
    <definedName name="_num28">#REF!</definedName>
    <definedName name="_num29" localSheetId="4">#REF!</definedName>
    <definedName name="_num29">#REF!</definedName>
    <definedName name="_num3" localSheetId="4">#REF!</definedName>
    <definedName name="_num3">#REF!</definedName>
    <definedName name="_num30" localSheetId="4">#REF!</definedName>
    <definedName name="_num30">#REF!</definedName>
    <definedName name="_num31" localSheetId="4">#REF!</definedName>
    <definedName name="_num31">#REF!</definedName>
    <definedName name="_num32" localSheetId="4">#REF!</definedName>
    <definedName name="_num32">#REF!</definedName>
    <definedName name="_num33" localSheetId="4">#REF!</definedName>
    <definedName name="_num33">#REF!</definedName>
    <definedName name="_num4" localSheetId="4">#REF!</definedName>
    <definedName name="_num4">#REF!</definedName>
    <definedName name="_num5" localSheetId="4">#REF!</definedName>
    <definedName name="_num5">#REF!</definedName>
    <definedName name="_num6" localSheetId="4">#REF!</definedName>
    <definedName name="_num6">#REF!</definedName>
    <definedName name="_num7" localSheetId="4">#REF!</definedName>
    <definedName name="_num7">#REF!</definedName>
    <definedName name="_num8" localSheetId="4">#REF!</definedName>
    <definedName name="_num8">#REF!</definedName>
    <definedName name="_num9" localSheetId="4">#REF!</definedName>
    <definedName name="_num9">#REF!</definedName>
    <definedName name="_pg1" localSheetId="4">#REF!</definedName>
    <definedName name="_pg1">#REF!</definedName>
    <definedName name="_pg2" localSheetId="4">#REF!</definedName>
    <definedName name="_pg2">#REF!</definedName>
    <definedName name="_R" localSheetId="4">'[2]Schedule RAM-2'!#REF!</definedName>
    <definedName name="_R">'[2]Schedule RAM-2'!#REF!</definedName>
    <definedName name="_RMA1" localSheetId="4">#REF!</definedName>
    <definedName name="_RMA1">#REF!</definedName>
    <definedName name="_RMA2" localSheetId="4">#REF!</definedName>
    <definedName name="_RMA2">#REF!</definedName>
    <definedName name="ALL">[3]A!$P$10:$Q$117</definedName>
    <definedName name="AMORT" localSheetId="4">#REF!</definedName>
    <definedName name="AMORT">#REF!</definedName>
    <definedName name="BACKUP">'[4]CAPM Backup (Sc 12 - p. 2)'!$A$18:$K$79</definedName>
    <definedName name="bb_MDMyNTU0NDRBODY1NDVEQz" localSheetId="4" hidden="1">#REF!</definedName>
    <definedName name="bb_MDMyNTU0NDRBODY1NDVEQz" hidden="1">#REF!</definedName>
    <definedName name="Beg_Bal" localSheetId="4">#REF!</definedName>
    <definedName name="Beg_Bal">#REF!</definedName>
    <definedName name="BETA" localSheetId="4">#REF!</definedName>
    <definedName name="BETA">#REF!</definedName>
    <definedName name="BETA_CURR_SELECTED">[5]Data!$K$8</definedName>
    <definedName name="BETA_OVERRIDE_FIELDS">[5]Data!$J$4:$J$7</definedName>
    <definedName name="BETA_OVERRIDE_VALUES">[5]Data!$K$4:$K$7</definedName>
    <definedName name="betaadj" localSheetId="4">#REF!</definedName>
    <definedName name="betaadj">#REF!</definedName>
    <definedName name="company1" localSheetId="4">#REF!</definedName>
    <definedName name="company1">#REF!</definedName>
    <definedName name="company10" localSheetId="4">#REF!</definedName>
    <definedName name="company10">#REF!</definedName>
    <definedName name="company11" localSheetId="4">#REF!</definedName>
    <definedName name="company11">#REF!</definedName>
    <definedName name="company12" localSheetId="4">#REF!</definedName>
    <definedName name="company12">#REF!</definedName>
    <definedName name="company13" localSheetId="4">#REF!</definedName>
    <definedName name="company13">#REF!</definedName>
    <definedName name="company14" localSheetId="4">#REF!</definedName>
    <definedName name="company14">#REF!</definedName>
    <definedName name="company15" localSheetId="4">#REF!</definedName>
    <definedName name="company15">#REF!</definedName>
    <definedName name="company16" localSheetId="4">#REF!</definedName>
    <definedName name="company16">#REF!</definedName>
    <definedName name="company17" localSheetId="4">#REF!</definedName>
    <definedName name="company17">#REF!</definedName>
    <definedName name="company18" localSheetId="4">#REF!</definedName>
    <definedName name="company18">#REF!</definedName>
    <definedName name="company19" localSheetId="4">#REF!</definedName>
    <definedName name="company19">#REF!</definedName>
    <definedName name="company2" localSheetId="4">#REF!</definedName>
    <definedName name="company2">#REF!</definedName>
    <definedName name="company20" localSheetId="4">#REF!</definedName>
    <definedName name="company20">#REF!</definedName>
    <definedName name="company21" localSheetId="4">#REF!</definedName>
    <definedName name="company21">#REF!</definedName>
    <definedName name="company22" localSheetId="4">#REF!</definedName>
    <definedName name="company22">#REF!</definedName>
    <definedName name="company23" localSheetId="4">#REF!</definedName>
    <definedName name="company23">#REF!</definedName>
    <definedName name="company24" localSheetId="4">#REF!</definedName>
    <definedName name="company24">#REF!</definedName>
    <definedName name="company25" localSheetId="4">#REF!</definedName>
    <definedName name="company25">#REF!</definedName>
    <definedName name="company26" localSheetId="4">#REF!</definedName>
    <definedName name="company26">#REF!</definedName>
    <definedName name="company27" localSheetId="4">#REF!</definedName>
    <definedName name="company27">#REF!</definedName>
    <definedName name="company28" localSheetId="4">#REF!</definedName>
    <definedName name="company28">#REF!</definedName>
    <definedName name="company29" localSheetId="4">#REF!</definedName>
    <definedName name="company29">#REF!</definedName>
    <definedName name="company3" localSheetId="4">#REF!</definedName>
    <definedName name="company3">#REF!</definedName>
    <definedName name="company30" localSheetId="4">#REF!</definedName>
    <definedName name="company30">#REF!</definedName>
    <definedName name="company31" localSheetId="4">#REF!</definedName>
    <definedName name="company31">#REF!</definedName>
    <definedName name="company32" localSheetId="4">#REF!</definedName>
    <definedName name="company32">#REF!</definedName>
    <definedName name="company33" localSheetId="4">#REF!</definedName>
    <definedName name="company33">#REF!</definedName>
    <definedName name="company4" localSheetId="4">#REF!</definedName>
    <definedName name="company4">#REF!</definedName>
    <definedName name="company5" localSheetId="4">#REF!</definedName>
    <definedName name="company5">#REF!</definedName>
    <definedName name="company6" localSheetId="4">#REF!</definedName>
    <definedName name="company6">#REF!</definedName>
    <definedName name="company7" localSheetId="4">#REF!</definedName>
    <definedName name="company7">#REF!</definedName>
    <definedName name="company8" localSheetId="4">#REF!</definedName>
    <definedName name="company8">#REF!</definedName>
    <definedName name="company9" localSheetId="4">#REF!</definedName>
    <definedName name="company9">#REF!</definedName>
    <definedName name="Composite" localSheetId="4">#REF!</definedName>
    <definedName name="Composite">#REF!</definedName>
    <definedName name="COST" localSheetId="4">#REF!</definedName>
    <definedName name="COST">#REF!</definedName>
    <definedName name="Data" localSheetId="4">#REF!</definedName>
    <definedName name="Data">#REF!</definedName>
    <definedName name="DATE" localSheetId="4">#REF!</definedName>
    <definedName name="DATE">#REF!</definedName>
    <definedName name="DEBT" localSheetId="4">#REF!</definedName>
    <definedName name="DEBT">#REF!</definedName>
    <definedName name="DEBTCOST" localSheetId="4">#REF!</definedName>
    <definedName name="DEBTCOST">#REF!</definedName>
    <definedName name="div1a" localSheetId="4">#REF!</definedName>
    <definedName name="div1a">#REF!</definedName>
    <definedName name="div2a" localSheetId="4">#REF!</definedName>
    <definedName name="div2a">#REF!</definedName>
    <definedName name="DPREPORT" localSheetId="4">'[6]DEPRSch-Using1983StaffRpt'!#REF!</definedName>
    <definedName name="DPREPORT">'[6]DEPRSch-Using1983StaffRpt'!#REF!</definedName>
    <definedName name="DPREPORT1" localSheetId="4">#REF!</definedName>
    <definedName name="DPREPORT1">#REF!</definedName>
    <definedName name="dsfsd">'[7]Credit Ratings-DO Not'!$E$5:$F$23</definedName>
    <definedName name="End_Bal" localSheetId="4">#REF!</definedName>
    <definedName name="End_Bal">#REF!</definedName>
    <definedName name="End_Row" localSheetId="2">IF('Sh 3 COMPE'!Values_Entered,[8]!Header_Row+'Sh 3 COMPE'!Number_of_Payments,[8]!Header_Row)</definedName>
    <definedName name="End_Row" localSheetId="4">IF('Sh 5 Growth'!Values_Entered,'Sh 5 Growth'!Header_Row+'Sh 5 Growth'!Number_of_Payments,'Sh 5 Growth'!Header_Row)</definedName>
    <definedName name="End_Row" localSheetId="5">IF('Sh 6 DCF'!Values_Entered,Header_Row+'Sh 6 DCF'!Number_of_Payments,Header_Row)</definedName>
    <definedName name="End_Row" localSheetId="6">IF('Sh 7 RP'!Values_Entered,Header_Row+'Sh 7 RP'!Number_of_Payments,Header_Row)</definedName>
    <definedName name="End_Row" localSheetId="7">IF('Sh 8 CAPM'!Values_Entered,Header_Row+'Sh 8 CAPM'!Number_of_Payments,Header_Row)</definedName>
    <definedName name="End_Row">IF(Values_Entered,Header_Row+Number_of_Payments,Header_Row)</definedName>
    <definedName name="esdateno.21" localSheetId="4">#REF!</definedName>
    <definedName name="esdateno.21">#REF!</definedName>
    <definedName name="exdate" localSheetId="4">#REF!</definedName>
    <definedName name="exdate">#REF!</definedName>
    <definedName name="EXECCOMP" localSheetId="4">#REF!</definedName>
    <definedName name="EXECCOMP">#REF!</definedName>
    <definedName name="Extra_Pay" localSheetId="4">#REF!</definedName>
    <definedName name="Extra_Pay">#REF!</definedName>
    <definedName name="Full_Print" localSheetId="4">#REF!</definedName>
    <definedName name="Full_Print">#REF!</definedName>
    <definedName name="GROWTH" localSheetId="4">#REF!</definedName>
    <definedName name="GROWTH">#REF!</definedName>
    <definedName name="growthnum21" localSheetId="4">#REF!</definedName>
    <definedName name="growthnum21">#REF!</definedName>
    <definedName name="Header_Row" localSheetId="4">ROW(#REF!)</definedName>
    <definedName name="Header_Row">ROW(#REF!)</definedName>
    <definedName name="hldgpd" localSheetId="4">#REF!</definedName>
    <definedName name="hldgpd">#REF!</definedName>
    <definedName name="INPUT" localSheetId="4">#REF!</definedName>
    <definedName name="INPUT">#REF!</definedName>
    <definedName name="Int" localSheetId="4">#REF!</definedName>
    <definedName name="Int">#REF!</definedName>
    <definedName name="Interest_Rate" localSheetId="4">#REF!</definedName>
    <definedName name="Interest_Rate">#REF!</definedName>
    <definedName name="INTSYNCH">'[9]summary:proforma int'!$A$2:$AB$414</definedName>
    <definedName name="John">#REF!</definedName>
    <definedName name="k.1">[10]Calculate!$C$11</definedName>
    <definedName name="k.10">[10]Calculate!$G$83</definedName>
    <definedName name="k.11">[10]Calculate!$C$101</definedName>
    <definedName name="k.12">[10]Calculate!$G$101</definedName>
    <definedName name="k.13">[10]Calculate!$C$119</definedName>
    <definedName name="k.15">[10]Calculate!$C$137</definedName>
    <definedName name="k.16">[10]Calculate!$G$137</definedName>
    <definedName name="k.17">[10]Calculate!$C$155</definedName>
    <definedName name="k.18">[10]Calculate!$G$155</definedName>
    <definedName name="k.19">[10]Calculate!$C$173</definedName>
    <definedName name="k.2">[10]Calculate!$G$11</definedName>
    <definedName name="k.20">[10]Calculate!$G$173</definedName>
    <definedName name="k.21">[10]Calculate!$C$191</definedName>
    <definedName name="k.22">[10]Calculate!$G$191</definedName>
    <definedName name="k.23">[10]Calculate!$C$209</definedName>
    <definedName name="k.24">[10]Calculate!$G$209</definedName>
    <definedName name="k.25">[10]Calculate!$C$227</definedName>
    <definedName name="k.26">[10]Calculate!$G$227</definedName>
    <definedName name="k.27">[10]Calculate!$C$245</definedName>
    <definedName name="k.28">[10]Calculate!$G$245</definedName>
    <definedName name="k.29">[10]Calculate!$C$263</definedName>
    <definedName name="k.3">[10]Calculate!$C$29</definedName>
    <definedName name="k.30">[10]Calculate!$G$263</definedName>
    <definedName name="k.31">[10]Calculate!$C$281</definedName>
    <definedName name="k.32">[10]Calculate!$G$281</definedName>
    <definedName name="k.33">[10]Calculate!$C$299</definedName>
    <definedName name="k.4">[10]Calculate!$G$29</definedName>
    <definedName name="k.5">[10]Calculate!$C$47</definedName>
    <definedName name="k.6">[10]Calculate!$G$47</definedName>
    <definedName name="k.7">[10]Calculate!$C$65</definedName>
    <definedName name="k.8">[10]Calculate!$G$65</definedName>
    <definedName name="k.9">[10]Calculate!$C$83</definedName>
    <definedName name="Last_Row" localSheetId="2">IF('Sh 3 COMPE'!Values_Entered,[8]!Header_Row+'Sh 3 COMPE'!Number_of_Payments,[8]!Header_Row)</definedName>
    <definedName name="Last_Row" localSheetId="4">IF('Sh 5 Growth'!Values_Entered,'Sh 5 Growth'!Header_Row+'Sh 5 Growth'!Number_of_Payments,'Sh 5 Growth'!Header_Row)</definedName>
    <definedName name="Last_Row" localSheetId="5">IF('Sh 6 DCF'!Values_Entered,Header_Row+'Sh 6 DCF'!Number_of_Payments,Header_Row)</definedName>
    <definedName name="Last_Row" localSheetId="6">IF('Sh 7 RP'!Values_Entered,Header_Row+'Sh 7 RP'!Number_of_Payments,Header_Row)</definedName>
    <definedName name="Last_Row" localSheetId="7">IF('Sh 8 CAPM'!Values_Entered,Header_Row+'Sh 8 CAPM'!Number_of_Payments,Header_Row)</definedName>
    <definedName name="Last_Row">IF(Values_Entered,Header_Row+Number_of_Payments,Header_Row)</definedName>
    <definedName name="LastRow" localSheetId="2">IF('Sh 3 COMPE'!Values_Entered,[8]!Header_Row+'Sh 3 COMPE'!NumberofPayments,[8]!Header_Row)</definedName>
    <definedName name="LastRow" localSheetId="4">IF(Values_Entered,Header_Row+'Sh 5 Growth'!NumberofPayments,Header_Row)</definedName>
    <definedName name="LastRow" localSheetId="5">IF('Sh 6 DCF'!Values_Entered,Header_Row+'Sh 6 DCF'!NumberofPayments,Header_Row)</definedName>
    <definedName name="LastRow" localSheetId="6">IF('Sh 7 RP'!Values_Entered,Header_Row+'Sh 7 RP'!NumberofPayments,Header_Row)</definedName>
    <definedName name="LastRow" localSheetId="7">IF('Sh 8 CAPM'!Values_Entered,Header_Row+'Sh 8 CAPM'!NumberofPayments,Header_Row)</definedName>
    <definedName name="LastRow">IF(Values_Entered,Header_Row+NumberofPayments,Header_Row)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">'[11]Credit Ratings-DO Not'!$E$5:$F$23</definedName>
    <definedName name="MB">[3]A!$I$125:$HH$180</definedName>
    <definedName name="Moodys" localSheetId="4">#REF!</definedName>
    <definedName name="Moodys">#REF!</definedName>
    <definedName name="NEST" localSheetId="4">#REF!</definedName>
    <definedName name="NEST">#REF!</definedName>
    <definedName name="no.1" localSheetId="4">#REF!</definedName>
    <definedName name="no.1">#REF!</definedName>
    <definedName name="no.10" localSheetId="4">#REF!</definedName>
    <definedName name="no.10">#REF!</definedName>
    <definedName name="no.11" localSheetId="4">#REF!</definedName>
    <definedName name="no.11">#REF!</definedName>
    <definedName name="no.12" localSheetId="4">#REF!</definedName>
    <definedName name="no.12">#REF!</definedName>
    <definedName name="no.13" localSheetId="4">#REF!</definedName>
    <definedName name="no.13">#REF!</definedName>
    <definedName name="no.14" localSheetId="4">#REF!</definedName>
    <definedName name="no.14">#REF!</definedName>
    <definedName name="no.15" localSheetId="4">#REF!</definedName>
    <definedName name="no.15">#REF!</definedName>
    <definedName name="no.16" localSheetId="4">#REF!</definedName>
    <definedName name="no.16">#REF!</definedName>
    <definedName name="no.17" localSheetId="4">#REF!</definedName>
    <definedName name="no.17">#REF!</definedName>
    <definedName name="no.18" localSheetId="4">#REF!</definedName>
    <definedName name="no.18">#REF!</definedName>
    <definedName name="no.19" localSheetId="4">#REF!</definedName>
    <definedName name="no.19">#REF!</definedName>
    <definedName name="no.2" localSheetId="4">#REF!</definedName>
    <definedName name="no.2">#REF!</definedName>
    <definedName name="no.20" localSheetId="4">#REF!</definedName>
    <definedName name="no.20">#REF!</definedName>
    <definedName name="no.21" localSheetId="4">#REF!</definedName>
    <definedName name="no.21">#REF!</definedName>
    <definedName name="no.22" localSheetId="4">#REF!</definedName>
    <definedName name="no.22">#REF!</definedName>
    <definedName name="no.23" localSheetId="4">#REF!</definedName>
    <definedName name="no.23">#REF!</definedName>
    <definedName name="no.24" localSheetId="4">#REF!</definedName>
    <definedName name="no.24">#REF!</definedName>
    <definedName name="no.25" localSheetId="4">#REF!</definedName>
    <definedName name="no.25">#REF!</definedName>
    <definedName name="no.26" localSheetId="4">#REF!</definedName>
    <definedName name="no.26">#REF!</definedName>
    <definedName name="no.27" localSheetId="4">#REF!</definedName>
    <definedName name="no.27">#REF!</definedName>
    <definedName name="no.28" localSheetId="4">#REF!</definedName>
    <definedName name="no.28">#REF!</definedName>
    <definedName name="no.29" localSheetId="4">#REF!</definedName>
    <definedName name="no.29">#REF!</definedName>
    <definedName name="no.3" localSheetId="4">#REF!</definedName>
    <definedName name="no.3">#REF!</definedName>
    <definedName name="no.30" localSheetId="4">#REF!</definedName>
    <definedName name="no.30">#REF!</definedName>
    <definedName name="no.31" localSheetId="4">#REF!</definedName>
    <definedName name="no.31">#REF!</definedName>
    <definedName name="no.32" localSheetId="4">#REF!</definedName>
    <definedName name="no.32">#REF!</definedName>
    <definedName name="no.33" localSheetId="4">#REF!</definedName>
    <definedName name="no.33">#REF!</definedName>
    <definedName name="no.4" localSheetId="4">#REF!</definedName>
    <definedName name="no.4">#REF!</definedName>
    <definedName name="no.5" localSheetId="4">#REF!</definedName>
    <definedName name="no.5">#REF!</definedName>
    <definedName name="no.6" localSheetId="4">#REF!</definedName>
    <definedName name="no.6">#REF!</definedName>
    <definedName name="no.7" localSheetId="4">#REF!</definedName>
    <definedName name="no.7">#REF!</definedName>
    <definedName name="no.8" localSheetId="4">#REF!</definedName>
    <definedName name="no.8">#REF!</definedName>
    <definedName name="no.9" localSheetId="4">#REF!</definedName>
    <definedName name="no.9">#REF!</definedName>
    <definedName name="Num_Pmt_Per_Year" localSheetId="4">#REF!</definedName>
    <definedName name="Num_Pmt_Per_Year">#REF!</definedName>
    <definedName name="Number_of_Payments" localSheetId="2">MATCH(0.01,[8]!End_Bal,-1)+1</definedName>
    <definedName name="Number_of_Payments" localSheetId="4">MATCH(0.01,'Sh 5 Growth'!End_Bal,-1)+1</definedName>
    <definedName name="Number_of_Payments" localSheetId="5">MATCH(0.01,End_Bal,-1)+1</definedName>
    <definedName name="Number_of_Payments" localSheetId="6">MATCH(0.01,End_Bal,-1)+1</definedName>
    <definedName name="Number_of_Payments" localSheetId="7">MATCH(0.01,End_Bal,-1)+1</definedName>
    <definedName name="Number_of_Payments">MATCH(0.01,End_Bal,-1)+1</definedName>
    <definedName name="NumberofPayments" localSheetId="2">MATCH(0.01,[8]!End_Bal,-1)+1</definedName>
    <definedName name="NumberofPayments" localSheetId="4">MATCH(0.01,[8]!End_Bal,-1)+1</definedName>
    <definedName name="NumberofPayments" localSheetId="5">MATCH(0.01,[8]!End_Bal,-1)+1</definedName>
    <definedName name="NumberofPayments" localSheetId="6">MATCH(0.01,[8]!End_Bal,-1)+1</definedName>
    <definedName name="NumberofPayments" localSheetId="7">MATCH(0.01,[8]!End_Bal,-1)+1</definedName>
    <definedName name="NumberofPayments">MATCH(0.01,[8]!End_Bal,-1)+1</definedName>
    <definedName name="OUTPUT">[12]A!$C$11:$Z$98</definedName>
    <definedName name="P1_" localSheetId="4">#REF!</definedName>
    <definedName name="P1_">#REF!</definedName>
    <definedName name="P2_" localSheetId="4">#REF!</definedName>
    <definedName name="P2_">#REF!</definedName>
    <definedName name="Pay_Date" localSheetId="4">#REF!</definedName>
    <definedName name="Pay_Date">#REF!</definedName>
    <definedName name="Pay_Num" localSheetId="4">#REF!</definedName>
    <definedName name="Pay_Num">#REF!</definedName>
    <definedName name="paydate" localSheetId="4">#REF!</definedName>
    <definedName name="paydate">#REF!</definedName>
    <definedName name="paydateno.7" localSheetId="4">#REF!</definedName>
    <definedName name="paydateno.7">#REF!</definedName>
    <definedName name="Payment_Date" localSheetId="2">DATE(YEAR([8]!Loan_Start),MONTH([8]!Loan_Start)+Payment_Number,DAY([8]!Loan_Start))</definedName>
    <definedName name="Payment_Date" localSheetId="4">DATE(YEAR('Sh 5 Growth'!Loan_Start),MONTH('Sh 5 Growth'!Loan_Start)+Payment_Number,DAY('Sh 5 Growth'!Loan_Start))</definedName>
    <definedName name="Payment_Date" localSheetId="5">DATE(YEAR(Loan_Start),MONTH(Loan_Start)+Payment_Number,DAY(Loan_Start))</definedName>
    <definedName name="Payment_Date" localSheetId="6">DATE(YEAR(Loan_Start),MONTH(Loan_Start)+Payment_Number,DAY(Loan_Start))</definedName>
    <definedName name="Payment_Date" localSheetId="7">DATE(YEAR(Loan_Start),MONTH(Loan_Start)+Payment_Number,DAY(Loan_Start))</definedName>
    <definedName name="Payment_Date">DATE(YEAR(Loan_Start),MONTH(Loan_Start)+Payment_Number,DAY(Loan_Start))</definedName>
    <definedName name="price" localSheetId="4">#REF!</definedName>
    <definedName name="price">#REF!</definedName>
    <definedName name="Princ" localSheetId="4">#REF!</definedName>
    <definedName name="Princ">#REF!</definedName>
    <definedName name="_xlnm.Print_Area" localSheetId="0">'Sh 1 WACC'!$A$1:$F$12</definedName>
    <definedName name="_xlnm.Print_Area" localSheetId="1">'Sh 2 ROE'!$A$1:$D$13</definedName>
    <definedName name="_xlnm.Print_Area" localSheetId="2">'Sh 3 COMPE'!$A$1:$O$23</definedName>
    <definedName name="_xlnm.Print_Area" localSheetId="3">'Sh 4 DYield'!$A$1:$I$24</definedName>
    <definedName name="_xlnm.Print_Area" localSheetId="4">'Sh 5 Growth'!$A$1:$H$23</definedName>
    <definedName name="_xlnm.Print_Area" localSheetId="5">'Sh 6 DCF'!$A$1:$H$20</definedName>
    <definedName name="_xlnm.Print_Area" localSheetId="6">'Sh 7 RP'!$A$1:$G$74</definedName>
    <definedName name="_xlnm.Print_Area" localSheetId="7">'Sh 8 CAPM'!$A$1:$K$27</definedName>
    <definedName name="_xlnm.Print_Area">[12]A!$A$11:$N$51</definedName>
    <definedName name="Print_Area_MI" localSheetId="4">#REF!</definedName>
    <definedName name="Print_Area_MI">#REF!</definedName>
    <definedName name="Print_Area_Reset" localSheetId="2">OFFSET([8]!Full_Print,0,0,'Sh 3 COMPE'!Last_Row)</definedName>
    <definedName name="Print_Area_Reset" localSheetId="4">OFFSET('Sh 5 Growth'!Full_Print,0,0,'Sh 5 Growth'!Last_Row)</definedName>
    <definedName name="Print_Area_Reset" localSheetId="5">OFFSET(Full_Print,0,0,'Sh 6 DCF'!Last_Row)</definedName>
    <definedName name="Print_Area_Reset" localSheetId="6">OFFSET(Full_Print,0,0,'Sh 7 RP'!Last_Row)</definedName>
    <definedName name="Print_Area_Reset" localSheetId="7">OFFSET(Full_Print,0,0,'Sh 8 CAPM'!Last_Row)</definedName>
    <definedName name="Print_Area_Reset">OFFSET(Full_Print,0,0,Last_Row)</definedName>
    <definedName name="_xlnm.Print_Titles">#N/A</definedName>
    <definedName name="PRN">[3]A!$S$11</definedName>
    <definedName name="PRNGROWTH">[3]A!$S$11</definedName>
    <definedName name="Rankings" localSheetId="4">#REF!</definedName>
    <definedName name="Rankings">#REF!</definedName>
    <definedName name="REPORT" localSheetId="4">#REF!</definedName>
    <definedName name="REPORT">#REF!</definedName>
    <definedName name="Report_Pages" localSheetId="4">#REF!</definedName>
    <definedName name="Report_Pages">#REF!</definedName>
    <definedName name="RETURN">[3]A!$M$129:$M$143</definedName>
    <definedName name="revreqrma" localSheetId="4">#REF!</definedName>
    <definedName name="revreqrma">#REF!</definedName>
    <definedName name="REVREQRMA2" localSheetId="4">#REF!</definedName>
    <definedName name="REVREQRMA2">#REF!</definedName>
    <definedName name="riskprem" localSheetId="4">#REF!</definedName>
    <definedName name="riskprem">#REF!</definedName>
    <definedName name="RMA3B" localSheetId="4">#REF!</definedName>
    <definedName name="RMA3B">#REF!</definedName>
    <definedName name="RMA7B" localSheetId="4">#REF!</definedName>
    <definedName name="RMA7B">#REF!</definedName>
    <definedName name="s">'[13]Credit Ratings-DO Not'!$B$5:$C$26</definedName>
    <definedName name="SAP" localSheetId="4">#REF!</definedName>
    <definedName name="SAP">#REF!</definedName>
    <definedName name="Sched_Pay" localSheetId="4">#REF!</definedName>
    <definedName name="Sched_Pay">#REF!</definedName>
    <definedName name="Scheduled_Extra_Payments" localSheetId="4">#REF!</definedName>
    <definedName name="Scheduled_Extra_Payments">#REF!</definedName>
    <definedName name="Scheduled_Interest_Rate" localSheetId="4">#REF!</definedName>
    <definedName name="Scheduled_Interest_Rate">#REF!</definedName>
    <definedName name="Scheduled_Monthly_Payment" localSheetId="4">#REF!</definedName>
    <definedName name="Scheduled_Monthly_Payment">#REF!</definedName>
    <definedName name="SPWS_WBID">"5C3BEB3C-3631-11D4-B07C-00104BC5D17F"</definedName>
    <definedName name="SUMMARY">[12]A!$A$1:$J$52</definedName>
    <definedName name="support" localSheetId="4">#REF!</definedName>
    <definedName name="support">#REF!</definedName>
    <definedName name="T" localSheetId="4">#REF!</definedName>
    <definedName name="T">#REF!</definedName>
    <definedName name="tar10high" localSheetId="4">[10]Calculate!#REF!</definedName>
    <definedName name="tar10high">[10]Calculate!#REF!</definedName>
    <definedName name="tar10low" localSheetId="4">[10]Calculate!#REF!</definedName>
    <definedName name="tar10low">[10]Calculate!#REF!</definedName>
    <definedName name="tar11high" localSheetId="4">[10]Calculate!#REF!</definedName>
    <definedName name="tar11high">[10]Calculate!#REF!</definedName>
    <definedName name="tar11low" localSheetId="4">[10]Calculate!#REF!</definedName>
    <definedName name="tar11low">[10]Calculate!#REF!</definedName>
    <definedName name="tar12high" localSheetId="4">[10]Calculate!#REF!</definedName>
    <definedName name="tar12high">[10]Calculate!#REF!</definedName>
    <definedName name="tar12low" localSheetId="4">[10]Calculate!#REF!</definedName>
    <definedName name="tar12low">[10]Calculate!#REF!</definedName>
    <definedName name="tar13high" localSheetId="4">[10]Calculate!#REF!</definedName>
    <definedName name="tar13high">[10]Calculate!#REF!</definedName>
    <definedName name="tar13low" localSheetId="4">[10]Calculate!#REF!</definedName>
    <definedName name="tar13low">[10]Calculate!#REF!</definedName>
    <definedName name="tar14high" localSheetId="4">[10]Calculate!#REF!</definedName>
    <definedName name="tar14high">[10]Calculate!#REF!</definedName>
    <definedName name="tar14low" localSheetId="4">[10]Calculate!#REF!</definedName>
    <definedName name="tar14low">[10]Calculate!#REF!</definedName>
    <definedName name="tar15high" localSheetId="4">[10]Calculate!#REF!</definedName>
    <definedName name="tar15high">[10]Calculate!#REF!</definedName>
    <definedName name="tar15low" localSheetId="4">[10]Calculate!#REF!</definedName>
    <definedName name="tar15low">[10]Calculate!#REF!</definedName>
    <definedName name="tar16high" localSheetId="4">[10]Calculate!#REF!</definedName>
    <definedName name="tar16high">[10]Calculate!#REF!</definedName>
    <definedName name="tar16low" localSheetId="4">[10]Calculate!#REF!</definedName>
    <definedName name="tar16low">[10]Calculate!#REF!</definedName>
    <definedName name="tar17high" localSheetId="4">[10]Calculate!#REF!</definedName>
    <definedName name="tar17high">[10]Calculate!#REF!</definedName>
    <definedName name="tar17low" localSheetId="4">[10]Calculate!#REF!</definedName>
    <definedName name="tar17low">[10]Calculate!#REF!</definedName>
    <definedName name="tar18high" localSheetId="4">[10]Calculate!#REF!</definedName>
    <definedName name="tar18high">[10]Calculate!#REF!</definedName>
    <definedName name="tar18low" localSheetId="4">[10]Calculate!#REF!</definedName>
    <definedName name="tar18low">[10]Calculate!#REF!</definedName>
    <definedName name="tar19high" localSheetId="4">[10]Calculate!#REF!</definedName>
    <definedName name="tar19high">[10]Calculate!#REF!</definedName>
    <definedName name="tar19low" localSheetId="4">[10]Calculate!#REF!</definedName>
    <definedName name="tar19low">[10]Calculate!#REF!</definedName>
    <definedName name="tar1high" localSheetId="4">[10]Calculate!#REF!</definedName>
    <definedName name="tar1high">[10]Calculate!#REF!</definedName>
    <definedName name="tar20high" localSheetId="4">[10]Calculate!#REF!</definedName>
    <definedName name="tar20high">[10]Calculate!#REF!</definedName>
    <definedName name="tar20low" localSheetId="4">[10]Calculate!#REF!</definedName>
    <definedName name="tar20low">[10]Calculate!#REF!</definedName>
    <definedName name="tar2high" localSheetId="4">[10]Calculate!#REF!</definedName>
    <definedName name="tar2high">[10]Calculate!#REF!</definedName>
    <definedName name="tar3high" localSheetId="4">[10]Calculate!#REF!</definedName>
    <definedName name="tar3high">[10]Calculate!#REF!</definedName>
    <definedName name="tar4high" localSheetId="4">[10]Calculate!#REF!</definedName>
    <definedName name="tar4high">[10]Calculate!#REF!</definedName>
    <definedName name="tar5high" localSheetId="4">[10]Calculate!#REF!</definedName>
    <definedName name="tar5high">[10]Calculate!#REF!</definedName>
    <definedName name="tar6high" localSheetId="4">[10]Calculate!#REF!</definedName>
    <definedName name="tar6high">[10]Calculate!#REF!</definedName>
    <definedName name="tar7high" localSheetId="4">[10]Calculate!#REF!</definedName>
    <definedName name="tar7high">[10]Calculate!#REF!</definedName>
    <definedName name="tar8high" localSheetId="4">[10]Calculate!#REF!</definedName>
    <definedName name="tar8high">[10]Calculate!#REF!</definedName>
    <definedName name="tar9high" localSheetId="4">[10]Calculate!#REF!</definedName>
    <definedName name="tar9high">[10]Calculate!#REF!</definedName>
    <definedName name="tar9low" localSheetId="4">[10]Calculate!#REF!</definedName>
    <definedName name="tar9low">[10]Calculate!#REF!</definedName>
    <definedName name="TAXCALC2">[9]summary:fit!$A$1:$V$287</definedName>
    <definedName name="testyeardate">[14]CTRL!$C$8</definedName>
    <definedName name="Ticker">""</definedName>
    <definedName name="Total_Interest" localSheetId="4">#REF!</definedName>
    <definedName name="Total_Interest">#REF!</definedName>
    <definedName name="Total_Pay" localSheetId="4">#REF!</definedName>
    <definedName name="Total_Pay">#REF!</definedName>
    <definedName name="Total_Payment" localSheetId="2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7">Scheduled_Payment+Extra_Payment</definedName>
    <definedName name="Total_Payment">Scheduled_Payment+Extra_Payment</definedName>
    <definedName name="Values_Entered" localSheetId="2">IF([8]!Loan_Amount*[8]!Interest_Rate*[8]!Loan_Years*[8]!Loan_Start&gt;0,1,0)</definedName>
    <definedName name="Values_Entered" localSheetId="4">IF('Sh 5 Growth'!Loan_Amount*'Sh 5 Growth'!Interest_Rate*'Sh 5 Growth'!Loan_Years*'Sh 5 Growth'!Loan_Start&gt;0,1,0)</definedName>
    <definedName name="Values_Entered" localSheetId="5">IF(Loan_Amount*Interest_Rate*Loan_Years*Loan_Start&gt;0,1,0)</definedName>
    <definedName name="Values_Entered" localSheetId="6">IF(Loan_Amount*Interest_Rate*Loan_Years*Loan_Start&gt;0,1,0)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vlapp">'[4]CAPM VL Appr Pot. (Sc 12 - WP)'!$A$1:$J$51</definedName>
    <definedName name="work">'[15]CAPM Backup (Sc 12 - p. 2)'!$A$18:$K$79</definedName>
    <definedName name="WP" localSheetId="4">#REF!</definedName>
    <definedName name="WP">#REF!</definedName>
    <definedName name="yeardateprior1">[14]CTRL!$C$9</definedName>
    <definedName name="yeardateprior2">[14]CTRL!$C$10</definedName>
    <definedName name="YIELDS" localSheetId="4">#REF!</definedName>
    <definedName name="YIELD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  <c r="K20" i="2" l="1"/>
  <c r="J20" i="2"/>
  <c r="I20" i="2"/>
  <c r="H20" i="2"/>
  <c r="G20" i="2"/>
  <c r="F20" i="2"/>
  <c r="E20" i="2"/>
  <c r="D20" i="2"/>
  <c r="E10" i="26"/>
  <c r="F60" i="20"/>
  <c r="C60" i="20"/>
  <c r="E60" i="20" s="1"/>
  <c r="G60" i="20" s="1"/>
  <c r="E21" i="20"/>
  <c r="G21" i="20" s="1"/>
  <c r="E26" i="20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1" i="9"/>
  <c r="F12" i="9"/>
  <c r="E12" i="9"/>
  <c r="D16" i="9"/>
  <c r="G11" i="9"/>
  <c r="E11" i="9"/>
  <c r="D15" i="9"/>
  <c r="D14" i="9"/>
  <c r="D13" i="9"/>
  <c r="D12" i="9"/>
  <c r="D11" i="9"/>
  <c r="D17" i="9"/>
  <c r="H11" i="9" l="1"/>
  <c r="M13" i="2"/>
  <c r="L13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N13" i="2" l="1"/>
  <c r="D23" i="21"/>
  <c r="D10" i="21" s="1"/>
  <c r="D11" i="21" s="1"/>
  <c r="D12" i="21" s="1"/>
  <c r="D13" i="21" s="1"/>
  <c r="D14" i="21" s="1"/>
  <c r="D15" i="21" s="1"/>
  <c r="D16" i="21" s="1"/>
  <c r="A18" i="21"/>
  <c r="A19" i="21" s="1"/>
  <c r="A20" i="21" s="1"/>
  <c r="A21" i="21" s="1"/>
  <c r="A22" i="21" s="1"/>
  <c r="A23" i="21" s="1"/>
  <c r="A24" i="21" s="1"/>
  <c r="A25" i="21" s="1"/>
  <c r="A26" i="21" s="1"/>
  <c r="C16" i="21"/>
  <c r="A11" i="21"/>
  <c r="A12" i="21" s="1"/>
  <c r="A13" i="21" s="1"/>
  <c r="A14" i="21" s="1"/>
  <c r="A15" i="21" s="1"/>
  <c r="F59" i="20"/>
  <c r="C59" i="20"/>
  <c r="F58" i="20"/>
  <c r="C58" i="20"/>
  <c r="F57" i="20"/>
  <c r="C57" i="20"/>
  <c r="E57" i="20" s="1"/>
  <c r="E55" i="20"/>
  <c r="G55" i="20" s="1"/>
  <c r="E54" i="20"/>
  <c r="G54" i="20" s="1"/>
  <c r="E53" i="20"/>
  <c r="G53" i="20" s="1"/>
  <c r="E52" i="20"/>
  <c r="G52" i="20" s="1"/>
  <c r="E51" i="20"/>
  <c r="G51" i="20" s="1"/>
  <c r="E50" i="20"/>
  <c r="G50" i="20" s="1"/>
  <c r="F49" i="20"/>
  <c r="E49" i="20"/>
  <c r="F48" i="20"/>
  <c r="G48" i="20" s="1"/>
  <c r="E48" i="20"/>
  <c r="F47" i="20"/>
  <c r="E47" i="20"/>
  <c r="F46" i="20"/>
  <c r="E46" i="20"/>
  <c r="F45" i="20"/>
  <c r="E45" i="20"/>
  <c r="F44" i="20"/>
  <c r="G44" i="20" s="1"/>
  <c r="E44" i="20"/>
  <c r="F43" i="20"/>
  <c r="E43" i="20"/>
  <c r="F42" i="20"/>
  <c r="E42" i="20"/>
  <c r="F41" i="20"/>
  <c r="E41" i="20"/>
  <c r="G40" i="20"/>
  <c r="F40" i="20"/>
  <c r="E40" i="20"/>
  <c r="F39" i="20"/>
  <c r="E39" i="20"/>
  <c r="G39" i="20" s="1"/>
  <c r="F38" i="20"/>
  <c r="E38" i="20"/>
  <c r="G38" i="20" s="1"/>
  <c r="B38" i="20"/>
  <c r="B39" i="20" s="1"/>
  <c r="B40" i="20" s="1"/>
  <c r="B41" i="20" s="1"/>
  <c r="F37" i="20"/>
  <c r="E37" i="20"/>
  <c r="F36" i="20"/>
  <c r="E36" i="20"/>
  <c r="E35" i="20"/>
  <c r="G35" i="20" s="1"/>
  <c r="E34" i="20"/>
  <c r="G34" i="20" s="1"/>
  <c r="E33" i="20"/>
  <c r="G33" i="20" s="1"/>
  <c r="E32" i="20"/>
  <c r="G32" i="20" s="1"/>
  <c r="E31" i="20"/>
  <c r="G31" i="20" s="1"/>
  <c r="E30" i="20"/>
  <c r="G30" i="20" s="1"/>
  <c r="E29" i="20"/>
  <c r="G29" i="20" s="1"/>
  <c r="E28" i="20"/>
  <c r="G28" i="20" s="1"/>
  <c r="E27" i="20"/>
  <c r="G27" i="20" s="1"/>
  <c r="G26" i="20"/>
  <c r="E25" i="20"/>
  <c r="G25" i="20" s="1"/>
  <c r="E24" i="20"/>
  <c r="G24" i="20" s="1"/>
  <c r="E23" i="20"/>
  <c r="G23" i="20" s="1"/>
  <c r="E22" i="20"/>
  <c r="G22" i="20" s="1"/>
  <c r="E20" i="20"/>
  <c r="G20" i="20" s="1"/>
  <c r="E19" i="20"/>
  <c r="G19" i="20" s="1"/>
  <c r="E18" i="20"/>
  <c r="G18" i="20" s="1"/>
  <c r="E17" i="20"/>
  <c r="G17" i="20" s="1"/>
  <c r="E16" i="20"/>
  <c r="G16" i="20" s="1"/>
  <c r="E15" i="20"/>
  <c r="G15" i="20" s="1"/>
  <c r="B15" i="20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G42" i="20" l="1"/>
  <c r="G46" i="20"/>
  <c r="F61" i="20"/>
  <c r="G43" i="20"/>
  <c r="G47" i="20"/>
  <c r="G57" i="20"/>
  <c r="G36" i="20"/>
  <c r="E59" i="20"/>
  <c r="E58" i="20"/>
  <c r="G58" i="20" s="1"/>
  <c r="G41" i="20"/>
  <c r="G45" i="20"/>
  <c r="G49" i="20"/>
  <c r="E56" i="20"/>
  <c r="G56" i="20" s="1"/>
  <c r="G37" i="20"/>
  <c r="G59" i="20" l="1"/>
  <c r="G61" i="20" s="1"/>
  <c r="G10" i="21" s="1"/>
  <c r="G11" i="21" s="1"/>
  <c r="E61" i="20"/>
  <c r="I10" i="21" l="1"/>
  <c r="J10" i="21" s="1"/>
  <c r="I11" i="21"/>
  <c r="J11" i="21" s="1"/>
  <c r="G12" i="21"/>
  <c r="G13" i="21" l="1"/>
  <c r="I13" i="21" s="1"/>
  <c r="I12" i="21"/>
  <c r="J12" i="21" s="1"/>
  <c r="G14" i="21" l="1"/>
  <c r="J13" i="21"/>
  <c r="I14" i="21" l="1"/>
  <c r="J14" i="21" s="1"/>
  <c r="G15" i="21"/>
  <c r="G16" i="21" s="1"/>
  <c r="I15" i="21" l="1"/>
  <c r="J15" i="21" s="1"/>
  <c r="I16" i="21" l="1"/>
  <c r="J16" i="21" s="1"/>
  <c r="J17" i="21" s="1"/>
  <c r="D9" i="25" s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G18" i="10"/>
  <c r="E18" i="12" s="1"/>
  <c r="G17" i="10"/>
  <c r="E17" i="12" s="1"/>
  <c r="G16" i="10"/>
  <c r="E16" i="12" s="1"/>
  <c r="G15" i="10"/>
  <c r="E15" i="12" s="1"/>
  <c r="G14" i="10"/>
  <c r="E14" i="12" s="1"/>
  <c r="G13" i="10"/>
  <c r="E13" i="12" s="1"/>
  <c r="E12" i="12"/>
  <c r="H17" i="9"/>
  <c r="D18" i="12" s="1"/>
  <c r="H14" i="9"/>
  <c r="D15" i="12" s="1"/>
  <c r="H13" i="9"/>
  <c r="D14" i="12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H15" i="9" l="1"/>
  <c r="D16" i="12" s="1"/>
  <c r="F16" i="12" s="1"/>
  <c r="G16" i="12" s="1"/>
  <c r="H12" i="9"/>
  <c r="D13" i="12" s="1"/>
  <c r="F13" i="12" s="1"/>
  <c r="G13" i="12" s="1"/>
  <c r="H16" i="9"/>
  <c r="D17" i="12" s="1"/>
  <c r="F17" i="12" s="1"/>
  <c r="G17" i="12" s="1"/>
  <c r="F18" i="12"/>
  <c r="G18" i="12" s="1"/>
  <c r="E19" i="12"/>
  <c r="F14" i="12"/>
  <c r="G14" i="12" s="1"/>
  <c r="F15" i="12"/>
  <c r="G15" i="12" s="1"/>
  <c r="G19" i="10"/>
  <c r="D12" i="12"/>
  <c r="H18" i="9" l="1"/>
  <c r="D19" i="12"/>
  <c r="F12" i="12"/>
  <c r="F19" i="12" l="1"/>
  <c r="G12" i="12"/>
  <c r="G19" i="12" s="1"/>
  <c r="D8" i="25" s="1"/>
  <c r="L179" i="2" l="1"/>
  <c r="K179" i="2"/>
  <c r="J179" i="2"/>
  <c r="I179" i="2"/>
  <c r="H179" i="2"/>
  <c r="G179" i="2"/>
  <c r="F179" i="2"/>
  <c r="E179" i="2"/>
  <c r="D179" i="2"/>
  <c r="L176" i="2"/>
  <c r="K176" i="2"/>
  <c r="J176" i="2"/>
  <c r="I176" i="2"/>
  <c r="H176" i="2"/>
  <c r="G176" i="2"/>
  <c r="F176" i="2"/>
  <c r="E176" i="2"/>
  <c r="D176" i="2"/>
  <c r="J155" i="2"/>
  <c r="I155" i="2"/>
  <c r="H155" i="2"/>
  <c r="F155" i="2"/>
  <c r="E155" i="2"/>
  <c r="D155" i="2"/>
  <c r="C155" i="2"/>
  <c r="J152" i="2"/>
  <c r="I152" i="2"/>
  <c r="H152" i="2"/>
  <c r="F152" i="2"/>
  <c r="E152" i="2"/>
  <c r="D152" i="2"/>
  <c r="C152" i="2"/>
  <c r="G149" i="2"/>
  <c r="G148" i="2"/>
  <c r="G147" i="2"/>
  <c r="G146" i="2"/>
  <c r="G145" i="2"/>
  <c r="G144" i="2"/>
  <c r="G143" i="2"/>
  <c r="G142" i="2"/>
  <c r="G141" i="2"/>
  <c r="H135" i="2"/>
  <c r="G135" i="2"/>
  <c r="F135" i="2"/>
  <c r="E135" i="2"/>
  <c r="D135" i="2"/>
  <c r="C135" i="2"/>
  <c r="H132" i="2"/>
  <c r="G132" i="2"/>
  <c r="F132" i="2"/>
  <c r="E132" i="2"/>
  <c r="D132" i="2"/>
  <c r="C132" i="2"/>
  <c r="I129" i="2"/>
  <c r="I128" i="2"/>
  <c r="I127" i="2"/>
  <c r="I126" i="2"/>
  <c r="I125" i="2"/>
  <c r="I124" i="2"/>
  <c r="I123" i="2"/>
  <c r="I121" i="2"/>
  <c r="K113" i="2"/>
  <c r="J113" i="2"/>
  <c r="I113" i="2"/>
  <c r="H113" i="2"/>
  <c r="G113" i="2"/>
  <c r="F113" i="2"/>
  <c r="E113" i="2"/>
  <c r="D113" i="2"/>
  <c r="C113" i="2"/>
  <c r="K110" i="2"/>
  <c r="J110" i="2"/>
  <c r="I110" i="2"/>
  <c r="H110" i="2"/>
  <c r="G110" i="2"/>
  <c r="F110" i="2"/>
  <c r="E110" i="2"/>
  <c r="D110" i="2"/>
  <c r="C110" i="2"/>
  <c r="L107" i="2"/>
  <c r="L106" i="2"/>
  <c r="L105" i="2"/>
  <c r="L104" i="2"/>
  <c r="L103" i="2"/>
  <c r="L102" i="2"/>
  <c r="L101" i="2"/>
  <c r="L100" i="2"/>
  <c r="L99" i="2"/>
  <c r="C97" i="2"/>
  <c r="D97" i="2" s="1"/>
  <c r="E97" i="2" s="1"/>
  <c r="F97" i="2" s="1"/>
  <c r="G97" i="2" s="1"/>
  <c r="H97" i="2" s="1"/>
  <c r="I97" i="2" s="1"/>
  <c r="L18" i="2"/>
  <c r="L15" i="2"/>
  <c r="M18" i="2"/>
  <c r="M17" i="2"/>
  <c r="L17" i="2"/>
  <c r="M15" i="2"/>
  <c r="M14" i="2"/>
  <c r="M20" i="2" s="1"/>
  <c r="L14" i="2"/>
  <c r="L20" i="2" l="1"/>
  <c r="N15" i="2"/>
  <c r="G152" i="2"/>
  <c r="N18" i="2"/>
  <c r="N17" i="2"/>
  <c r="N14" i="2"/>
  <c r="N20" i="2" s="1"/>
  <c r="I132" i="2"/>
  <c r="L113" i="2"/>
  <c r="L110" i="2"/>
  <c r="I135" i="2"/>
  <c r="G155" i="2"/>
  <c r="D7" i="25" l="1"/>
  <c r="C9" i="26" l="1"/>
  <c r="E9" i="26" s="1"/>
  <c r="E11" i="26" s="1"/>
  <c r="D10" i="25"/>
</calcChain>
</file>

<file path=xl/sharedStrings.xml><?xml version="1.0" encoding="utf-8"?>
<sst xmlns="http://schemas.openxmlformats.org/spreadsheetml/2006/main" count="364" uniqueCount="172">
  <si>
    <t>Equity</t>
  </si>
  <si>
    <t>ROE</t>
  </si>
  <si>
    <t>AWR</t>
  </si>
  <si>
    <t>CWT</t>
  </si>
  <si>
    <t>WTRG</t>
  </si>
  <si>
    <t>YORW</t>
  </si>
  <si>
    <t>York Water</t>
  </si>
  <si>
    <t>ARTNA</t>
  </si>
  <si>
    <t>Artesian Resources Corp.</t>
  </si>
  <si>
    <t>MSEX</t>
  </si>
  <si>
    <t>Middlesex Water</t>
  </si>
  <si>
    <t>AWK</t>
  </si>
  <si>
    <t>American Water Works</t>
  </si>
  <si>
    <t xml:space="preserve">5-Year </t>
  </si>
  <si>
    <t>5-Year</t>
  </si>
  <si>
    <t>Combined</t>
  </si>
  <si>
    <t>Historical ROEs</t>
  </si>
  <si>
    <t>Projected ROEs</t>
  </si>
  <si>
    <t>Historical</t>
  </si>
  <si>
    <t>Projected</t>
  </si>
  <si>
    <t>Historical &amp;</t>
  </si>
  <si>
    <t>Average</t>
  </si>
  <si>
    <t>Average*</t>
  </si>
  <si>
    <t xml:space="preserve">Projected </t>
  </si>
  <si>
    <t>Company</t>
  </si>
  <si>
    <t>American States Water Co.</t>
  </si>
  <si>
    <t>Essential Utilities, Inc.</t>
  </si>
  <si>
    <t>NA</t>
  </si>
  <si>
    <t>California Water Service Group</t>
  </si>
  <si>
    <t>Median</t>
  </si>
  <si>
    <t>*Projected ROEs are no longer available for ARTNA and YORW from Value Line.</t>
  </si>
  <si>
    <t xml:space="preserve"> </t>
  </si>
  <si>
    <t>1992 - 2001</t>
  </si>
  <si>
    <t>Aqua America, Inc.</t>
  </si>
  <si>
    <t>Artesian Resources</t>
  </si>
  <si>
    <t>Connecticut Water Service, Inc.</t>
  </si>
  <si>
    <t>SJW Corporation</t>
  </si>
  <si>
    <t>Mean</t>
  </si>
  <si>
    <t>Source:  AUS Utility Reports and Value Line Investment Survey.</t>
  </si>
  <si>
    <t>2002-2008</t>
  </si>
  <si>
    <t xml:space="preserve">2017 - </t>
  </si>
  <si>
    <t>2009-2013</t>
  </si>
  <si>
    <t>American Water Works Co., Inc.</t>
  </si>
  <si>
    <t>California Water Service Gp.</t>
  </si>
  <si>
    <t>York Water Company</t>
  </si>
  <si>
    <t>PROXY GROUP -- DIVIDEND YIELD</t>
  </si>
  <si>
    <t>Line</t>
  </si>
  <si>
    <t>No</t>
  </si>
  <si>
    <t>Proxy Group Companies</t>
  </si>
  <si>
    <t>DPS</t>
  </si>
  <si>
    <t>High</t>
  </si>
  <si>
    <t>Low</t>
  </si>
  <si>
    <t>Yield</t>
  </si>
  <si>
    <t>References:</t>
  </si>
  <si>
    <t xml:space="preserve">          (Reflects annualization of most recent quarterly dividend)</t>
  </si>
  <si>
    <t>Columns (B), (C),  and (D) - Yahoo Finance</t>
  </si>
  <si>
    <t>Growth Rates</t>
  </si>
  <si>
    <t>PROXY GROUP  --   PER SHARE GROWTH RATES</t>
  </si>
  <si>
    <t>5-Year Compound Average Annual</t>
  </si>
  <si>
    <t>EPS</t>
  </si>
  <si>
    <t>BVPS</t>
  </si>
  <si>
    <t>1</t>
  </si>
  <si>
    <t>2</t>
  </si>
  <si>
    <t>American Water  Works Co.</t>
  </si>
  <si>
    <t>3</t>
  </si>
  <si>
    <t>4</t>
  </si>
  <si>
    <t>5</t>
  </si>
  <si>
    <t>6</t>
  </si>
  <si>
    <t>7</t>
  </si>
  <si>
    <t>8</t>
  </si>
  <si>
    <t>Reference:</t>
  </si>
  <si>
    <t xml:space="preserve">  </t>
  </si>
  <si>
    <t>DCF Results</t>
  </si>
  <si>
    <t>PROXY GROUP -- DCF ANALYSIS</t>
  </si>
  <si>
    <t>Current</t>
  </si>
  <si>
    <t xml:space="preserve">Dividend </t>
  </si>
  <si>
    <t>Per Share</t>
  </si>
  <si>
    <t>DCF</t>
  </si>
  <si>
    <r>
      <t>( D</t>
    </r>
    <r>
      <rPr>
        <b/>
        <u/>
        <vertAlign val="subscript"/>
        <sz val="12"/>
        <color rgb="FF000000"/>
        <rFont val="Times New Roman"/>
        <family val="1"/>
      </rPr>
      <t xml:space="preserve">0 </t>
    </r>
    <r>
      <rPr>
        <b/>
        <u/>
        <sz val="12"/>
        <color rgb="FF000000"/>
        <rFont val="Times New Roman"/>
        <family val="1"/>
      </rPr>
      <t>/</t>
    </r>
    <r>
      <rPr>
        <b/>
        <u/>
        <vertAlign val="subscript"/>
        <sz val="12"/>
        <color rgb="FF000000"/>
        <rFont val="Times New Roman"/>
        <family val="1"/>
      </rPr>
      <t xml:space="preserve"> </t>
    </r>
    <r>
      <rPr>
        <b/>
        <u/>
        <sz val="12"/>
        <color rgb="FF000000"/>
        <rFont val="Times New Roman"/>
        <family val="1"/>
      </rPr>
      <t>P</t>
    </r>
    <r>
      <rPr>
        <b/>
        <u/>
        <vertAlign val="subscript"/>
        <sz val="12"/>
        <color rgb="FF000000"/>
        <rFont val="Times New Roman"/>
        <family val="1"/>
      </rPr>
      <t>0 )</t>
    </r>
  </si>
  <si>
    <r>
      <t>( D</t>
    </r>
    <r>
      <rPr>
        <b/>
        <u/>
        <vertAlign val="subscript"/>
        <sz val="12"/>
        <color rgb="FF000000"/>
        <rFont val="Times New Roman"/>
        <family val="1"/>
      </rPr>
      <t xml:space="preserve">1 </t>
    </r>
    <r>
      <rPr>
        <b/>
        <u/>
        <sz val="12"/>
        <color rgb="FF000000"/>
        <rFont val="Times New Roman"/>
        <family val="1"/>
      </rPr>
      <t>/</t>
    </r>
    <r>
      <rPr>
        <b/>
        <u/>
        <vertAlign val="subscript"/>
        <sz val="12"/>
        <color rgb="FF000000"/>
        <rFont val="Times New Roman"/>
        <family val="1"/>
      </rPr>
      <t xml:space="preserve"> </t>
    </r>
    <r>
      <rPr>
        <b/>
        <u/>
        <sz val="12"/>
        <color rgb="FF000000"/>
        <rFont val="Times New Roman"/>
        <family val="1"/>
      </rPr>
      <t>P</t>
    </r>
    <r>
      <rPr>
        <b/>
        <u/>
        <vertAlign val="subscript"/>
        <sz val="12"/>
        <color rgb="FF000000"/>
        <rFont val="Times New Roman"/>
        <family val="1"/>
      </rPr>
      <t>0 )</t>
    </r>
  </si>
  <si>
    <t>Rates</t>
  </si>
  <si>
    <t>American Water  Works Co., Inc</t>
  </si>
  <si>
    <t>Risk Premium</t>
  </si>
  <si>
    <t>STANDARD &amp; POOR'S 500 COMPOSITE</t>
  </si>
  <si>
    <t>20-YEAR U.S. TREASURY BOND YIELDS</t>
  </si>
  <si>
    <t>RISK PREMIUMS</t>
  </si>
  <si>
    <t>[A]</t>
  </si>
  <si>
    <t>[B]</t>
  </si>
  <si>
    <t>[C]</t>
  </si>
  <si>
    <t>[D]</t>
  </si>
  <si>
    <t>[E]</t>
  </si>
  <si>
    <t>20-YEAR</t>
  </si>
  <si>
    <t>RISK</t>
  </si>
  <si>
    <t>No.</t>
  </si>
  <si>
    <t>Year</t>
  </si>
  <si>
    <t>T-BOND</t>
  </si>
  <si>
    <t>PREMIUM</t>
  </si>
  <si>
    <t>[A]:</t>
  </si>
  <si>
    <t>Diluted earnings per share on the S&amp;P 500 Composite Index.</t>
  </si>
  <si>
    <t>[B]:</t>
  </si>
  <si>
    <t>Book value per share on the S&amp;P 500 Composite Index.</t>
  </si>
  <si>
    <t>[C]:</t>
  </si>
  <si>
    <t>Average of current- and prior year [B] / current year [A].</t>
  </si>
  <si>
    <t>[D]:</t>
  </si>
  <si>
    <t xml:space="preserve">Annual income returns on 20-year U.S. Treasury bonds. </t>
  </si>
  <si>
    <t>[E]:</t>
  </si>
  <si>
    <t>[C] - [D]</t>
  </si>
  <si>
    <t xml:space="preserve">Sources for [A] and [B]:  </t>
  </si>
  <si>
    <t>Standard &amp; Poor's 500 Earnings and Book Value Per Share:</t>
  </si>
  <si>
    <t xml:space="preserve">https://ycharts.com/indicators/reports/sp_500_earnings </t>
  </si>
  <si>
    <t xml:space="preserve">https://ycharts.com/indicators/sandp_500_book_value_per_share </t>
  </si>
  <si>
    <t xml:space="preserve">https://www.treasury.gov/Pages/default.aspx </t>
  </si>
  <si>
    <t>CAPM Results</t>
  </si>
  <si>
    <r>
      <rPr>
        <b/>
        <sz val="12"/>
        <color rgb="FF000000"/>
        <rFont val="Times New Roman"/>
        <family val="1"/>
      </rPr>
      <t xml:space="preserve">                    </t>
    </r>
    <r>
      <rPr>
        <b/>
        <u/>
        <sz val="12"/>
        <color rgb="FF000000"/>
        <rFont val="Times New Roman"/>
        <family val="1"/>
      </rPr>
      <t>CAPITAL ASSET PRICING MODEL -- PROXY COMPANY COST RATES</t>
    </r>
  </si>
  <si>
    <t xml:space="preserve">Line </t>
  </si>
  <si>
    <t>Risk Free</t>
  </si>
  <si>
    <t>Risk</t>
  </si>
  <si>
    <t>Beta X</t>
  </si>
  <si>
    <t>CAPM</t>
  </si>
  <si>
    <t>Rate</t>
  </si>
  <si>
    <t>BETA</t>
  </si>
  <si>
    <t>Premium</t>
  </si>
  <si>
    <t>X</t>
  </si>
  <si>
    <t>=</t>
  </si>
  <si>
    <t>Risk Free Rate: 20 year Treasury Bonds</t>
  </si>
  <si>
    <t>20 Year T Bonds Source</t>
  </si>
  <si>
    <t>9</t>
  </si>
  <si>
    <t>10</t>
  </si>
  <si>
    <t>11</t>
  </si>
  <si>
    <t>2027-</t>
  </si>
  <si>
    <t>2019-2023</t>
  </si>
  <si>
    <t>2024-2029</t>
  </si>
  <si>
    <t>Source:  Value Line Investment Survey July, 2024</t>
  </si>
  <si>
    <t>Column (A) - Value Line Investment Survey (July 2024)</t>
  </si>
  <si>
    <t>June 18, 2024 September 18, 2024 - April 2023</t>
  </si>
  <si>
    <t>Value Line Investment Survey (July 2024)</t>
  </si>
  <si>
    <t>Historical Growth</t>
  </si>
  <si>
    <t>46</t>
  </si>
  <si>
    <t>Quarterly data is annualized</t>
  </si>
  <si>
    <t>https://home.treasury.gov/resource-center/data-chart-center/interest-rates/TextView?type=daily_treasury_long_term_rate&amp;field_tdr_date_value=2024</t>
  </si>
  <si>
    <t>Comparable Earnings</t>
  </si>
  <si>
    <t>Beta: Value Line Reports July 2024</t>
  </si>
  <si>
    <t>Cascadia Water, LLC Docket 240151</t>
  </si>
  <si>
    <t>Cost of Capital Schedule 1</t>
  </si>
  <si>
    <t>Calcualtion of WACC</t>
  </si>
  <si>
    <t>Weighted Average Cost of Capital (WACC)</t>
  </si>
  <si>
    <t>Cost of Equity</t>
  </si>
  <si>
    <t>Cost</t>
  </si>
  <si>
    <t>Debt</t>
  </si>
  <si>
    <t>Weight</t>
  </si>
  <si>
    <t>Weighted Cost</t>
  </si>
  <si>
    <t>WACC</t>
  </si>
  <si>
    <t>Cost of Capital Schedule 2</t>
  </si>
  <si>
    <t>Calculation of Cost of Equity</t>
  </si>
  <si>
    <t>Model</t>
  </si>
  <si>
    <t>Cost of Capital Schedule 3</t>
  </si>
  <si>
    <t>Comparable Earnings Analysis</t>
  </si>
  <si>
    <t>Cost of Capital Schedule 4</t>
  </si>
  <si>
    <t>Discounted Cash Flow: Dividend Yield</t>
  </si>
  <si>
    <t>Cost of Capital Schedule 5</t>
  </si>
  <si>
    <t>Cost of Capital Schedule 6</t>
  </si>
  <si>
    <t>Discounted Cash Flow: Growth Rates</t>
  </si>
  <si>
    <t xml:space="preserve">PROXY GROUP -- COMPARABLE EARNINGS ANALYSIS </t>
  </si>
  <si>
    <t>Cost of Capital Schedule 7</t>
  </si>
  <si>
    <t>CAPM Risk Premium</t>
  </si>
  <si>
    <t>Source for [D]:  U.S. Department of the Treasury</t>
  </si>
  <si>
    <t>Range</t>
  </si>
  <si>
    <t>8.2% to 13.8%</t>
  </si>
  <si>
    <t>7.2% to 13%</t>
  </si>
  <si>
    <t>9.8% to 12.29%</t>
  </si>
  <si>
    <t>Exhibit MJR 10</t>
  </si>
  <si>
    <t>Cost of Capital Schedule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</si>
</sst>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%"/>
    <numFmt numFmtId="165" formatCode="[$$-409]#,##0.00"/>
    <numFmt numFmtId="166" formatCode="[$$-409]#,##0"/>
    <numFmt numFmtId="167" formatCode="[$$-409]#,##0.0000"/>
    <numFmt numFmtId="168" formatCode="_(&quot;$&quot;* #,##0.0000_);_(&quot;$&quot;* \(#,##0.0000\);_(&quot;$&quot;* &quot;-&quot;??_);_(@_)"/>
    <numFmt numFmtId="169" formatCode="_(* #,##0_);_(* \(#,##0\);_(* &quot;-&quot;??_);_(@_)"/>
    <numFmt numFmtId="170" formatCode="0.000%"/>
    <numFmt numFmtId="171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u/>
      <vertAlign val="subscript"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rgb="FF0563C1"/>
      <name val="Times New Roman"/>
      <family val="1"/>
    </font>
    <font>
      <u/>
      <sz val="12"/>
      <color theme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165" fontId="5" fillId="0" borderId="0" xfId="2" applyNumberFormat="1" applyFont="1"/>
    <xf numFmtId="165" fontId="6" fillId="0" borderId="0" xfId="2" applyNumberFormat="1" applyFont="1"/>
    <xf numFmtId="165" fontId="6" fillId="0" borderId="0" xfId="2" applyNumberFormat="1" applyFont="1" applyAlignment="1">
      <alignment horizontal="right" wrapText="1"/>
    </xf>
    <xf numFmtId="0" fontId="6" fillId="0" borderId="0" xfId="2" applyFont="1"/>
    <xf numFmtId="165" fontId="5" fillId="0" borderId="0" xfId="2" applyNumberFormat="1" applyFont="1" applyAlignment="1">
      <alignment horizontal="right"/>
    </xf>
    <xf numFmtId="165" fontId="5" fillId="0" borderId="0" xfId="2" applyNumberFormat="1" applyFont="1" applyAlignment="1">
      <alignment wrapText="1"/>
    </xf>
    <xf numFmtId="165" fontId="6" fillId="0" borderId="1" xfId="2" applyNumberFormat="1" applyFont="1" applyBorder="1"/>
    <xf numFmtId="165" fontId="6" fillId="0" borderId="2" xfId="2" applyNumberFormat="1" applyFont="1" applyBorder="1"/>
    <xf numFmtId="165" fontId="5" fillId="0" borderId="3" xfId="2" applyNumberFormat="1" applyFont="1" applyBorder="1" applyAlignment="1">
      <alignment horizontal="center"/>
    </xf>
    <xf numFmtId="0" fontId="6" fillId="0" borderId="4" xfId="2" applyFont="1" applyBorder="1"/>
    <xf numFmtId="0" fontId="6" fillId="0" borderId="4" xfId="2" applyFont="1" applyBorder="1" applyAlignment="1">
      <alignment wrapText="1"/>
    </xf>
    <xf numFmtId="0" fontId="5" fillId="0" borderId="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165" fontId="6" fillId="0" borderId="0" xfId="2" applyNumberFormat="1" applyFont="1" applyAlignment="1">
      <alignment horizontal="center"/>
    </xf>
    <xf numFmtId="165" fontId="6" fillId="0" borderId="5" xfId="2" applyNumberFormat="1" applyFont="1" applyBorder="1" applyAlignment="1">
      <alignment horizontal="center"/>
    </xf>
    <xf numFmtId="165" fontId="7" fillId="0" borderId="0" xfId="2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165" fontId="6" fillId="0" borderId="5" xfId="2" applyNumberFormat="1" applyFont="1" applyBorder="1"/>
    <xf numFmtId="0" fontId="6" fillId="0" borderId="6" xfId="2" applyFont="1" applyBorder="1"/>
    <xf numFmtId="49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10" fontId="6" fillId="0" borderId="0" xfId="3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9" xfId="2" applyNumberFormat="1" applyFont="1" applyBorder="1"/>
    <xf numFmtId="0" fontId="6" fillId="0" borderId="9" xfId="2" applyFont="1" applyBorder="1"/>
    <xf numFmtId="165" fontId="8" fillId="0" borderId="0" xfId="2" applyNumberFormat="1" applyFont="1" applyAlignment="1">
      <alignment horizontal="center"/>
    </xf>
    <xf numFmtId="166" fontId="6" fillId="0" borderId="0" xfId="2" applyNumberFormat="1" applyFont="1"/>
    <xf numFmtId="10" fontId="6" fillId="0" borderId="0" xfId="1" applyNumberFormat="1" applyFont="1"/>
    <xf numFmtId="10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left"/>
    </xf>
    <xf numFmtId="10" fontId="6" fillId="0" borderId="0" xfId="2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2" applyNumberFormat="1" applyFont="1"/>
    <xf numFmtId="165" fontId="6" fillId="0" borderId="10" xfId="2" applyNumberFormat="1" applyFont="1" applyBorder="1"/>
    <xf numFmtId="164" fontId="6" fillId="0" borderId="10" xfId="2" applyNumberFormat="1" applyFont="1" applyBorder="1" applyAlignment="1">
      <alignment horizontal="center"/>
    </xf>
    <xf numFmtId="165" fontId="6" fillId="0" borderId="11" xfId="2" applyNumberFormat="1" applyFont="1" applyBorder="1"/>
    <xf numFmtId="164" fontId="6" fillId="0" borderId="9" xfId="2" applyNumberFormat="1" applyFont="1" applyBorder="1" applyAlignment="1">
      <alignment horizontal="center"/>
    </xf>
    <xf numFmtId="165" fontId="6" fillId="0" borderId="10" xfId="2" applyNumberFormat="1" applyFont="1" applyBorder="1" applyAlignment="1">
      <alignment horizontal="center"/>
    </xf>
    <xf numFmtId="0" fontId="6" fillId="0" borderId="10" xfId="2" applyFont="1" applyBorder="1"/>
    <xf numFmtId="164" fontId="6" fillId="0" borderId="10" xfId="2" applyNumberFormat="1" applyFont="1" applyBorder="1"/>
    <xf numFmtId="10" fontId="6" fillId="0" borderId="10" xfId="2" applyNumberFormat="1" applyFont="1" applyBorder="1"/>
    <xf numFmtId="0" fontId="2" fillId="0" borderId="0" xfId="0" applyFont="1"/>
    <xf numFmtId="10" fontId="0" fillId="0" borderId="0" xfId="0" applyNumberFormat="1"/>
    <xf numFmtId="9" fontId="0" fillId="0" borderId="0" xfId="0" applyNumberFormat="1"/>
    <xf numFmtId="49" fontId="6" fillId="0" borderId="4" xfId="2" applyNumberFormat="1" applyFont="1" applyBorder="1" applyAlignment="1">
      <alignment horizontal="center"/>
    </xf>
    <xf numFmtId="165" fontId="6" fillId="0" borderId="4" xfId="2" applyNumberFormat="1" applyFont="1" applyBorder="1"/>
    <xf numFmtId="10" fontId="0" fillId="0" borderId="4" xfId="0" applyNumberFormat="1" applyBorder="1"/>
    <xf numFmtId="0" fontId="0" fillId="0" borderId="4" xfId="0" applyBorder="1"/>
    <xf numFmtId="10" fontId="2" fillId="0" borderId="0" xfId="0" applyNumberFormat="1" applyFont="1"/>
    <xf numFmtId="0" fontId="5" fillId="0" borderId="0" xfId="2" applyFont="1"/>
    <xf numFmtId="0" fontId="6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6" fillId="0" borderId="0" xfId="2" applyFont="1" applyAlignment="1">
      <alignment wrapText="1"/>
    </xf>
    <xf numFmtId="165" fontId="5" fillId="0" borderId="0" xfId="2" applyNumberFormat="1" applyFont="1" applyAlignment="1">
      <alignment horizontal="centerContinuous"/>
    </xf>
    <xf numFmtId="165" fontId="5" fillId="0" borderId="10" xfId="2" applyNumberFormat="1" applyFont="1" applyBorder="1"/>
    <xf numFmtId="165" fontId="5" fillId="0" borderId="10" xfId="2" applyNumberFormat="1" applyFont="1" applyBorder="1" applyAlignment="1">
      <alignment horizontal="center"/>
    </xf>
    <xf numFmtId="165" fontId="5" fillId="0" borderId="10" xfId="2" applyNumberFormat="1" applyFont="1" applyBorder="1" applyAlignment="1">
      <alignment horizontal="centerContinuous"/>
    </xf>
    <xf numFmtId="10" fontId="5" fillId="0" borderId="9" xfId="2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167" fontId="6" fillId="0" borderId="0" xfId="2" applyNumberFormat="1" applyFont="1"/>
    <xf numFmtId="0" fontId="6" fillId="0" borderId="0" xfId="2" applyFont="1" applyAlignment="1">
      <alignment horizontal="center"/>
    </xf>
    <xf numFmtId="168" fontId="6" fillId="0" borderId="0" xfId="2" applyNumberFormat="1" applyFont="1"/>
    <xf numFmtId="169" fontId="6" fillId="0" borderId="0" xfId="2" applyNumberFormat="1" applyFont="1" applyAlignment="1">
      <alignment horizontal="center"/>
    </xf>
    <xf numFmtId="170" fontId="6" fillId="0" borderId="0" xfId="2" applyNumberFormat="1" applyFont="1" applyAlignment="1">
      <alignment horizontal="center"/>
    </xf>
    <xf numFmtId="0" fontId="7" fillId="0" borderId="0" xfId="2" applyFont="1" applyAlignment="1">
      <alignment horizontal="center" wrapText="1"/>
    </xf>
    <xf numFmtId="165" fontId="6" fillId="0" borderId="0" xfId="2" applyNumberFormat="1" applyFont="1" applyAlignment="1">
      <alignment horizontal="centerContinuous"/>
    </xf>
    <xf numFmtId="165" fontId="7" fillId="0" borderId="11" xfId="2" applyNumberFormat="1" applyFont="1" applyBorder="1" applyAlignment="1">
      <alignment horizontal="center"/>
    </xf>
    <xf numFmtId="10" fontId="6" fillId="0" borderId="9" xfId="2" applyNumberFormat="1" applyFont="1" applyBorder="1" applyAlignment="1">
      <alignment horizontal="center"/>
    </xf>
    <xf numFmtId="170" fontId="6" fillId="0" borderId="0" xfId="2" applyNumberFormat="1" applyFont="1"/>
    <xf numFmtId="165" fontId="6" fillId="0" borderId="0" xfId="2" applyNumberFormat="1" applyFont="1" applyAlignment="1">
      <alignment horizontal="left"/>
    </xf>
    <xf numFmtId="165" fontId="6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center"/>
    </xf>
    <xf numFmtId="0" fontId="7" fillId="0" borderId="0" xfId="2" applyFont="1"/>
    <xf numFmtId="0" fontId="6" fillId="0" borderId="0" xfId="2" applyFont="1" applyAlignment="1">
      <alignment vertical="center"/>
    </xf>
    <xf numFmtId="10" fontId="6" fillId="0" borderId="0" xfId="2" applyNumberFormat="1" applyFont="1" applyAlignment="1">
      <alignment horizontal="center" vertical="center"/>
    </xf>
    <xf numFmtId="0" fontId="6" fillId="0" borderId="4" xfId="2" applyFont="1" applyBorder="1" applyAlignment="1">
      <alignment horizontal="left"/>
    </xf>
    <xf numFmtId="0" fontId="2" fillId="0" borderId="4" xfId="0" applyFont="1" applyBorder="1"/>
    <xf numFmtId="0" fontId="6" fillId="0" borderId="0" xfId="2" applyFont="1" applyAlignment="1">
      <alignment horizontal="right"/>
    </xf>
    <xf numFmtId="171" fontId="6" fillId="0" borderId="0" xfId="2" applyNumberFormat="1" applyFont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49" fontId="6" fillId="0" borderId="0" xfId="2" applyNumberFormat="1" applyFont="1"/>
    <xf numFmtId="165" fontId="11" fillId="0" borderId="0" xfId="2" applyNumberFormat="1" applyFont="1"/>
    <xf numFmtId="14" fontId="6" fillId="0" borderId="0" xfId="2" applyNumberFormat="1" applyFont="1"/>
    <xf numFmtId="170" fontId="6" fillId="0" borderId="0" xfId="3" applyNumberFormat="1" applyFont="1"/>
    <xf numFmtId="2" fontId="6" fillId="0" borderId="0" xfId="2" applyNumberFormat="1" applyFont="1"/>
    <xf numFmtId="0" fontId="7" fillId="0" borderId="0" xfId="2" applyFont="1" applyAlignment="1">
      <alignment horizontal="left" vertical="center"/>
    </xf>
    <xf numFmtId="43" fontId="6" fillId="0" borderId="0" xfId="2" applyNumberFormat="1" applyFont="1"/>
    <xf numFmtId="15" fontId="6" fillId="0" borderId="0" xfId="2" applyNumberFormat="1" applyFont="1" applyAlignment="1">
      <alignment horizontal="center"/>
    </xf>
    <xf numFmtId="0" fontId="12" fillId="0" borderId="0" xfId="4" applyFont="1" applyFill="1"/>
    <xf numFmtId="10" fontId="6" fillId="0" borderId="4" xfId="2" applyNumberFormat="1" applyFont="1" applyBorder="1" applyAlignment="1">
      <alignment horizontal="center"/>
    </xf>
    <xf numFmtId="10" fontId="6" fillId="0" borderId="4" xfId="2" applyNumberFormat="1" applyFont="1" applyBorder="1"/>
    <xf numFmtId="165" fontId="6" fillId="0" borderId="4" xfId="2" applyNumberFormat="1" applyFont="1" applyBorder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4" fontId="6" fillId="0" borderId="8" xfId="2" applyNumberFormat="1" applyFont="1" applyBorder="1" applyAlignment="1">
      <alignment horizontal="center"/>
    </xf>
    <xf numFmtId="165" fontId="6" fillId="0" borderId="12" xfId="2" applyNumberFormat="1" applyFont="1" applyBorder="1" applyAlignment="1">
      <alignment horizontal="left"/>
    </xf>
    <xf numFmtId="10" fontId="6" fillId="0" borderId="12" xfId="2" applyNumberFormat="1" applyFont="1" applyBorder="1" applyAlignment="1">
      <alignment horizontal="center"/>
    </xf>
    <xf numFmtId="10" fontId="5" fillId="0" borderId="12" xfId="2" applyNumberFormat="1" applyFont="1" applyBorder="1" applyAlignment="1">
      <alignment horizontal="center"/>
    </xf>
    <xf numFmtId="43" fontId="6" fillId="0" borderId="4" xfId="2" applyNumberFormat="1" applyFont="1" applyBorder="1"/>
    <xf numFmtId="10" fontId="5" fillId="0" borderId="4" xfId="2" applyNumberFormat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15" fontId="6" fillId="0" borderId="4" xfId="2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10" fillId="0" borderId="0" xfId="4"/>
    <xf numFmtId="165" fontId="10" fillId="0" borderId="0" xfId="4" applyNumberFormat="1"/>
    <xf numFmtId="0" fontId="12" fillId="0" borderId="0" xfId="4" applyFont="1" applyFill="1" applyAlignment="1"/>
    <xf numFmtId="0" fontId="10" fillId="0" borderId="0" xfId="4" applyFill="1" applyAlignment="1">
      <alignment horizontal="left"/>
    </xf>
    <xf numFmtId="9" fontId="0" fillId="0" borderId="4" xfId="0" applyNumberFormat="1" applyBorder="1"/>
    <xf numFmtId="0" fontId="13" fillId="0" borderId="0" xfId="0" applyFont="1"/>
    <xf numFmtId="0" fontId="14" fillId="0" borderId="0" xfId="0" applyFont="1"/>
    <xf numFmtId="165" fontId="5" fillId="0" borderId="0" xfId="2" applyNumberFormat="1" applyFont="1" applyAlignment="1">
      <alignment horizontal="center" wrapText="1"/>
    </xf>
    <xf numFmtId="0" fontId="6" fillId="0" borderId="7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0" fontId="6" fillId="0" borderId="0" xfId="2" applyFont="1" applyAlignment="1">
      <alignment wrapText="1"/>
    </xf>
    <xf numFmtId="165" fontId="7" fillId="0" borderId="0" xfId="2" applyNumberFormat="1" applyFont="1" applyAlignment="1">
      <alignment horizontal="center" wrapText="1"/>
    </xf>
    <xf numFmtId="165" fontId="6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</cellXfs>
  <cellStyles count="5">
    <cellStyle name="Hyperlink" xfId="4" builtinId="8"/>
    <cellStyle name="Normal" xfId="0" builtinId="0"/>
    <cellStyle name="Normal 2" xfId="2" xr:uid="{F015DCB0-C215-44F6-9765-DDFCDC290F7B}"/>
    <cellStyle name="Percent" xfId="1" builtinId="5"/>
    <cellStyle name="Percent 2" xfId="3" xr:uid="{82E0C157-F95B-4AE6-95F1-1B4FA6986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7\names.wk4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4%20-%20Illinois%20Amer.%20(09)(PMA)\Exhibit%20IL%20Am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Documents%20and%20Settings\Mga\Local%20Settings\Temporary%20Internet%20Files\OLK1A\Selection_sk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8\NAMES.WK4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767\Exhibit\Selection%20-%20Wep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-Active\Water-Sewer\Arizona%20Water%20(15-0277)\AWC%20Workpapers\FLASH%20DRIVE%20FOR%20STAFF%20&amp;%20RUCO\Schedules\2015%20WG%20Rate%20Case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tility%20Services%20Data\13-0191%20-%20San%20Jose%20Water%20(09)(PMA)\13-0172%20-%20Missouri%20American%20(PMA)\Rebuttal\Janous'%20Corrected%20CAPM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wnatural-my.sharepoint.com/personal/matt_rowell_nwnatural_com/Documents/Documents/Cascadia%20Rate%20Case/Testimony/Cost%20of%20Capital/2024%20Historical%20prices.xlsx" TargetMode="External"/><Relationship Id="rId1" Type="http://schemas.openxmlformats.org/officeDocument/2006/relationships/externalLinkPath" Target="2024%20Historical%20prices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t.Rowell\Documents\Pima%20Rate%20Case\Cost%20of%20Capital\daily-treasury-rates.xlsx" TargetMode="External"/><Relationship Id="rId1" Type="http://schemas.openxmlformats.org/officeDocument/2006/relationships/externalLinkPath" Target="file:///C:\Users\Matt.Rowell\Documents\Pima%20Rate%20Case\Cost%20of%20Capital\daily-treasury-rates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wnatural-my.sharepoint.com/personal/matt_rowell_nwnatural_com/Documents/Documents/Cascadia%20Rate%20Case/Testimony/Cost%20of%20Capital/daily-treasury-rates.xlsx" TargetMode="External"/><Relationship Id="rId1" Type="http://schemas.openxmlformats.org/officeDocument/2006/relationships/externalLinkPath" Target="daily-treasury-rates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t.Rowell\Documents\Pima%20Rate%20Case\Cost%20of%20Capital\Cassidy%20COC%20Schedules%20updated%205_22_23.xlsx" TargetMode="External"/><Relationship Id="rId1" Type="http://schemas.openxmlformats.org/officeDocument/2006/relationships/externalLinkPath" Target="file:///C:\Users\Matt.Rowell\Documents\Pima%20Rate%20Case\Cost%20of%20Capital\Cassidy%20COC%20Schedules%20updated%205_22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p-wpp-ap67.pepcoholdings.biz/CaseWorks/225/DirectTestimony/Library/Morin/Morin%20Exhibits%20Delmarva%20Del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45R8\NAMES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1%20-%20San%20Jose%20Water%20(09)(PMA)\13-0172%20-%20Missouri%20American%20(PMA)\Rebuttal\Janous'%20Corrected%20CAP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lan%20D'Ascendis\Box%20Sync\Return%20on%20Equity\ROE%20Models\Bloomberg\Bloomberg%20output\Beta%20Workbo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ast\userprofiles\MYDOCS\AjoWtrSwr\Plant&amp;AccDep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975\Database\13107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wnatural-my.sharepoint.com/personal/matt_rowell_nwnatural_com/Documents/Documents/Cascadia%20Rate%20Case/Testimony/Cost%20of%20Capital/CAPM%20With%20Hamada%20Leveraged%20Beta.xlsx" TargetMode="External"/><Relationship Id="rId1" Type="http://schemas.openxmlformats.org/officeDocument/2006/relationships/externalLinkPath" Target="CAPM%20With%20Hamada%20Leveraged%20Bet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1298\AJK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all ROR - (Sc 1 - p. 1)"/>
      <sheetName val="Summary of ROE (Sc 1 - p. 2)"/>
      <sheetName val="Risk Adjustment (Sc 1 - p. 3)"/>
      <sheetName val="Market Cap. (Sc 1 - p. 5)"/>
      <sheetName val="Bond Ratings"/>
      <sheetName val="Yield spreads"/>
      <sheetName val="5 yr IL Amer"/>
      <sheetName val="H2O Cap And Fin Stats (Sch4)"/>
      <sheetName val="awr 5yr"/>
      <sheetName val="wtr 5yr"/>
      <sheetName val="cwt 5yr"/>
      <sheetName val="msex 5yr"/>
      <sheetName val="sjw 5yr"/>
      <sheetName val="yorw 5yr"/>
      <sheetName val="H20 STD "/>
      <sheetName val="H20 No STD "/>
      <sheetName val="Utility Sample Fin Stats"/>
      <sheetName val="AGL 5yr"/>
      <sheetName val="LNT 5yr"/>
      <sheetName val="AEP 5yr"/>
      <sheetName val="ATO 5yr"/>
      <sheetName val="CNL 5yr"/>
      <sheetName val="ED 5yr"/>
      <sheetName val="DPL 5yr"/>
      <sheetName val="FPL 5yr"/>
      <sheetName val="HE 5yr"/>
      <sheetName val="TEG 5yr"/>
      <sheetName val="LG 5yr"/>
      <sheetName val="NJR 5yr"/>
      <sheetName val="GAS 5yr"/>
      <sheetName val="NU 5yr"/>
      <sheetName val="NWN 5yr"/>
      <sheetName val="NST 5yr"/>
      <sheetName val="PNY 5yr"/>
      <sheetName val="PNW 5yr"/>
      <sheetName val="PGN 5yr"/>
      <sheetName val="SCG 5yr"/>
      <sheetName val="SO 5yr"/>
      <sheetName val="SWX 5yr"/>
      <sheetName val="VVC 5yr"/>
      <sheetName val="WGL 5yr"/>
      <sheetName val="WEC 5yr"/>
      <sheetName val="XEL 5yr"/>
      <sheetName val="Utility Cap Struct (incl STD)"/>
      <sheetName val="DCF Summary"/>
      <sheetName val="Qtrly growth DCF"/>
      <sheetName val="Qtrly Cash Flow DCF"/>
      <sheetName val="Two-Stage DCF"/>
      <sheetName val="Three-Stage DCF"/>
      <sheetName val="EIA Ann. Outlook Table 20"/>
      <sheetName val="Market Premium (S&amp;P 500 DCF)"/>
      <sheetName val="CAPM Backup (Sc 12 - p. 2)"/>
      <sheetName val="Risk-Free Rate (Sc 12 - WP)"/>
      <sheetName val="Calculate"/>
      <sheetName val="GDP Growth"/>
      <sheetName val="Zachs Data"/>
      <sheetName val="AGL"/>
      <sheetName val="LNT"/>
      <sheetName val="AEP"/>
      <sheetName val="ATO"/>
      <sheetName val="CNL"/>
      <sheetName val="ED"/>
      <sheetName val="DPL"/>
      <sheetName val="EGN"/>
      <sheetName val="FPL"/>
      <sheetName val="HE"/>
      <sheetName val="TEG"/>
      <sheetName val="LG"/>
      <sheetName val="NJR"/>
      <sheetName val="GAS"/>
      <sheetName val="NU"/>
      <sheetName val="NWN"/>
      <sheetName val="NST"/>
      <sheetName val="PNY"/>
      <sheetName val="PNW"/>
      <sheetName val="PGN"/>
      <sheetName val="SCG"/>
      <sheetName val="SO"/>
      <sheetName val="SWX"/>
      <sheetName val="VVC"/>
      <sheetName val="WGL"/>
      <sheetName val="WEC"/>
      <sheetName val="XEL"/>
      <sheetName val="AWR"/>
      <sheetName val="WTR"/>
      <sheetName val="CWT"/>
      <sheetName val="MSEX"/>
      <sheetName val="SJW"/>
      <sheetName val="YORW"/>
      <sheetName val="Return Data"/>
      <sheetName val="S&amp;P 500 Stats"/>
      <sheetName val="DCF Goal Seek"/>
      <sheetName val="NCDCF Goal Se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1">
          <cell r="C11">
            <v>0.1452</v>
          </cell>
          <cell r="G11">
            <v>0.1095</v>
          </cell>
        </row>
        <row r="29">
          <cell r="C29">
            <v>0.1191</v>
          </cell>
          <cell r="G29">
            <v>0.1348</v>
          </cell>
        </row>
        <row r="47">
          <cell r="C47">
            <v>0.1583</v>
          </cell>
          <cell r="G47">
            <v>0.12870000000000001</v>
          </cell>
        </row>
        <row r="65">
          <cell r="C65">
            <v>0.11409999999999999</v>
          </cell>
          <cell r="G65">
            <v>0.12670000000000001</v>
          </cell>
        </row>
        <row r="83">
          <cell r="C83">
            <v>0.1182</v>
          </cell>
          <cell r="G83">
            <v>0.1183</v>
          </cell>
        </row>
        <row r="101">
          <cell r="C101">
            <v>0.20910000000000001</v>
          </cell>
          <cell r="G101">
            <v>0.1019</v>
          </cell>
        </row>
        <row r="119">
          <cell r="C119">
            <v>0.1686</v>
          </cell>
        </row>
        <row r="137">
          <cell r="C137">
            <v>0.1258</v>
          </cell>
          <cell r="G137">
            <v>0.1177</v>
          </cell>
        </row>
        <row r="155">
          <cell r="C155">
            <v>0.2132</v>
          </cell>
          <cell r="G155">
            <v>0.14219999999999999</v>
          </cell>
        </row>
        <row r="173">
          <cell r="C173">
            <v>0.11559999999999999</v>
          </cell>
          <cell r="G173">
            <v>0.13189999999999999</v>
          </cell>
        </row>
        <row r="191">
          <cell r="C191">
            <v>0.14269999999999999</v>
          </cell>
          <cell r="G191">
            <v>0.1089</v>
          </cell>
        </row>
        <row r="209">
          <cell r="C209">
            <v>0.122</v>
          </cell>
          <cell r="G209">
            <v>0.1242</v>
          </cell>
        </row>
        <row r="227">
          <cell r="C227">
            <v>0.14419999999999999</v>
          </cell>
          <cell r="G227">
            <v>0.1227</v>
          </cell>
        </row>
        <row r="245">
          <cell r="C245">
            <v>0.11409999999999999</v>
          </cell>
          <cell r="G245">
            <v>0.1096</v>
          </cell>
        </row>
        <row r="263">
          <cell r="C263">
            <v>0.128</v>
          </cell>
          <cell r="G263">
            <v>0.1341</v>
          </cell>
        </row>
        <row r="281">
          <cell r="C281">
            <v>0.1154</v>
          </cell>
          <cell r="G281">
            <v>0.1202</v>
          </cell>
        </row>
        <row r="299">
          <cell r="C299">
            <v>0.12590000000000001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>
        <row r="2">
          <cell r="A2" t="str">
            <v>Middlesex Water Company</v>
          </cell>
        </row>
        <row r="5">
          <cell r="A5" t="str">
            <v>Proxy Group of Six</v>
          </cell>
        </row>
        <row r="6">
          <cell r="A6" t="str">
            <v>Water Companies</v>
          </cell>
          <cell r="F6" t="str">
            <v>Middlesex</v>
          </cell>
          <cell r="I6" t="str">
            <v>Proxy Group of Six</v>
          </cell>
        </row>
        <row r="7">
          <cell r="F7" t="str">
            <v>Water Company</v>
          </cell>
          <cell r="I7" t="str">
            <v>Water Companies</v>
          </cell>
        </row>
        <row r="8">
          <cell r="A8" t="str">
            <v>American Water Works Co., Inc.</v>
          </cell>
        </row>
        <row r="9">
          <cell r="A9" t="str">
            <v>Aquarion Company</v>
          </cell>
        </row>
        <row r="10">
          <cell r="A10" t="str">
            <v>Connecticut Water Service, Inc.</v>
          </cell>
        </row>
        <row r="11">
          <cell r="A11" t="str">
            <v>E'Town Corporation</v>
          </cell>
        </row>
        <row r="12">
          <cell r="A12" t="str">
            <v>Philadelphia Suburban Corp.</v>
          </cell>
        </row>
        <row r="13">
          <cell r="A13" t="str">
            <v>United Water Resources, Inc.</v>
          </cell>
        </row>
        <row r="15">
          <cell r="A15" t="str">
            <v>Average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RL"/>
      <sheetName val="INDX"/>
      <sheetName val="A1"/>
      <sheetName val="A2"/>
      <sheetName val="A3"/>
      <sheetName val="A4"/>
      <sheetName val="A5"/>
      <sheetName val="B1"/>
      <sheetName val="B2"/>
      <sheetName val="B2.1"/>
      <sheetName val="B3"/>
      <sheetName val="B4"/>
      <sheetName val="B5"/>
      <sheetName val="B5.1"/>
      <sheetName val="C1"/>
      <sheetName val="C2"/>
      <sheetName val="C2.1"/>
      <sheetName val="C3"/>
      <sheetName val="D1"/>
      <sheetName val="D2"/>
      <sheetName val="D3"/>
      <sheetName val="D4"/>
      <sheetName val="E1"/>
      <sheetName val="E2"/>
      <sheetName val="E3"/>
      <sheetName val="E4"/>
      <sheetName val="E5"/>
      <sheetName val="E6"/>
      <sheetName val="E7"/>
      <sheetName val="E8"/>
      <sheetName val="E9"/>
      <sheetName val="F1"/>
      <sheetName val="F2"/>
      <sheetName val="F3"/>
      <sheetName val="F4"/>
      <sheetName val="G1"/>
      <sheetName val="G2"/>
      <sheetName val="G3"/>
      <sheetName val="G4"/>
      <sheetName val="G5"/>
      <sheetName val="G6"/>
      <sheetName val="G7"/>
      <sheetName val="H1"/>
      <sheetName val="H2"/>
      <sheetName val="H3"/>
      <sheetName val="H4"/>
      <sheetName val="H5"/>
      <sheetName val="RATES"/>
    </sheetNames>
    <sheetDataSet>
      <sheetData sheetId="0">
        <row r="8">
          <cell r="C8">
            <v>42004</v>
          </cell>
        </row>
        <row r="9">
          <cell r="C9">
            <v>41639</v>
          </cell>
        </row>
        <row r="10">
          <cell r="C10">
            <v>41274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R"/>
      <sheetName val="AWK"/>
      <sheetName val="WTRG"/>
      <sheetName val="ARTNA"/>
      <sheetName val="CWT"/>
      <sheetName val="MSEX"/>
      <sheetName val="YORW"/>
    </sheetNames>
    <sheetDataSet>
      <sheetData sheetId="0">
        <row r="12">
          <cell r="J12">
            <v>85.379997000000003</v>
          </cell>
        </row>
        <row r="13">
          <cell r="J13">
            <v>70.419998000000007</v>
          </cell>
        </row>
        <row r="15">
          <cell r="J15">
            <v>79.211093765625009</v>
          </cell>
        </row>
      </sheetData>
      <sheetData sheetId="1">
        <row r="12">
          <cell r="J12">
            <v>149.89999399999999</v>
          </cell>
        </row>
        <row r="13">
          <cell r="J13">
            <v>127.760002</v>
          </cell>
        </row>
        <row r="15">
          <cell r="J15">
            <v>139.80578137500004</v>
          </cell>
        </row>
      </sheetData>
      <sheetData sheetId="2">
        <row r="12">
          <cell r="J12">
            <v>41.490001999999997</v>
          </cell>
        </row>
        <row r="13">
          <cell r="J13">
            <v>36.740001999999997</v>
          </cell>
        </row>
        <row r="15">
          <cell r="J15">
            <v>39.188984546875012</v>
          </cell>
        </row>
      </sheetData>
      <sheetData sheetId="3">
        <row r="12">
          <cell r="J12">
            <v>40.860000999999997</v>
          </cell>
        </row>
        <row r="13">
          <cell r="J13">
            <v>34.520000000000003</v>
          </cell>
        </row>
        <row r="15">
          <cell r="J15">
            <v>37.350781593750021</v>
          </cell>
        </row>
      </sheetData>
      <sheetData sheetId="4">
        <row r="12">
          <cell r="J12">
            <v>55.5</v>
          </cell>
        </row>
        <row r="13">
          <cell r="J13">
            <v>47.830002</v>
          </cell>
        </row>
        <row r="15">
          <cell r="J15">
            <v>52.364843796875</v>
          </cell>
        </row>
      </sheetData>
      <sheetData sheetId="5">
        <row r="12">
          <cell r="J12">
            <v>67.589995999999999</v>
          </cell>
        </row>
        <row r="13">
          <cell r="J13">
            <v>51.400002000000001</v>
          </cell>
        </row>
        <row r="15">
          <cell r="J15">
            <v>60.378594015624998</v>
          </cell>
        </row>
      </sheetData>
      <sheetData sheetId="6">
        <row r="12">
          <cell r="J12">
            <v>38.580002</v>
          </cell>
        </row>
        <row r="13">
          <cell r="J13">
            <v>33.330002</v>
          </cell>
        </row>
        <row r="15">
          <cell r="J15">
            <v>36.003749859374992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0 daily-treasury-rates"/>
      <sheetName val="2021 daily-treasury-rates"/>
      <sheetName val="2022 daily-treasury-rates"/>
    </sheetNames>
    <sheetDataSet>
      <sheetData sheetId="0">
        <row r="6">
          <cell r="E6">
            <v>1.3482071713147414E-2</v>
          </cell>
        </row>
      </sheetData>
      <sheetData sheetId="1">
        <row r="4">
          <cell r="E4">
            <v>1.9822310756972127E-2</v>
          </cell>
        </row>
      </sheetData>
      <sheetData sheetId="2">
        <row r="4">
          <cell r="E4">
            <v>3.2987550200803198E-2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0 daily-treasury-rates"/>
      <sheetName val="2021 daily-treasury-rates"/>
      <sheetName val="2022 daily-treasury-rates"/>
      <sheetName val="2023 daily-treasury-rates"/>
    </sheetNames>
    <sheetDataSet>
      <sheetData sheetId="0" refreshError="1"/>
      <sheetData sheetId="1" refreshError="1"/>
      <sheetData sheetId="2" refreshError="1"/>
      <sheetData sheetId="3">
        <row r="4">
          <cell r="E4">
            <v>4.2571600000000022E-2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CO Hypothetical Cap Structure"/>
      <sheetName val="COC Summary"/>
      <sheetName val="DCF 3-1"/>
      <sheetName val="DCF 3-2"/>
      <sheetName val="DCF 3-3"/>
      <sheetName val="DCF 3-4"/>
      <sheetName val="CAPM 1-2"/>
      <sheetName val="CAPM 2-2"/>
      <sheetName val="COMP Earnings"/>
      <sheetName val="Equity Ratios"/>
      <sheetName val="Sheet1"/>
      <sheetName val="COMP Earnings CLEAN"/>
    </sheetNames>
    <sheetDataSet>
      <sheetData sheetId="0" refreshError="1"/>
      <sheetData sheetId="1" refreshError="1"/>
      <sheetData sheetId="2" refreshError="1">
        <row r="15">
          <cell r="C15" t="str">
            <v>California Water Service Gp.</v>
          </cell>
        </row>
        <row r="17">
          <cell r="C17" t="str">
            <v>York Water Company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RAM-2"/>
      <sheetName val="Schedule RAM-3"/>
      <sheetName val="Schedule RAM-4"/>
      <sheetName val="Schedule RAM-5"/>
      <sheetName val="Schedule RAM-6"/>
      <sheetName val="Schedule RAM-7"/>
      <sheetName val="Schedule RAM-8"/>
      <sheetName val="Schedule RAM-9"/>
      <sheetName val="Schedule RAM-10"/>
      <sheetName val="Schedule RAM-11"/>
      <sheetName val="Schedule RAM-12"/>
      <sheetName val="Schedule RAM-13"/>
      <sheetName val="Schedule RAM-14"/>
      <sheetName val="Schedule RAM-15"/>
      <sheetName val="Schedule RAM-16"/>
      <sheetName val="Schedule RAM-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BETA Download "/>
      <sheetName val="Data"/>
      <sheetName val="Historical BETA Values"/>
      <sheetName val="Help"/>
    </sheetNames>
    <sheetDataSet>
      <sheetData sheetId="0" refreshError="1"/>
      <sheetData sheetId="1">
        <row r="4">
          <cell r="J4" t="str">
            <v>EQY_BETA_OVERRIDE_START_DT</v>
          </cell>
          <cell r="K4" t="str">
            <v>20101022</v>
          </cell>
        </row>
        <row r="5">
          <cell r="J5" t="str">
            <v>EQY_BETA_OVERRIDE_END_DT</v>
          </cell>
          <cell r="K5" t="str">
            <v>20121012</v>
          </cell>
        </row>
        <row r="6">
          <cell r="J6" t="str">
            <v>EQY_BETA_OVERRIDE_REL_INDEX</v>
          </cell>
          <cell r="K6" t="str">
            <v>SPX Index</v>
          </cell>
        </row>
        <row r="7">
          <cell r="J7" t="str">
            <v>EQY_BETA_OVERRIDE_PERIOD</v>
          </cell>
          <cell r="K7" t="str">
            <v>W</v>
          </cell>
        </row>
        <row r="8">
          <cell r="K8" t="str">
            <v/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AdjToCo"/>
      <sheetName val="Meters"/>
      <sheetName val="Summary"/>
      <sheetName val="OffFurn&amp;Equip"/>
      <sheetName val="Services"/>
      <sheetName val="Hydrants"/>
      <sheetName val="Transp"/>
      <sheetName val="Mains"/>
      <sheetName val="DistRes"/>
      <sheetName val="WtrTrPlant"/>
      <sheetName val="DEPRSch-AdjustedtoCoAmounts"/>
      <sheetName val="DEPRSch-Using1983StaffR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C sch 8.b (2)"/>
      <sheetName val="CAPM With Hamada Leveraged Beta"/>
    </sheetNames>
    <definedNames>
      <definedName name="End_Bal" refersTo="#REF!"/>
      <definedName name="Full_Print" refersTo="#REF!"/>
      <definedName name="Header_Row" refersTo="#REF!"/>
      <definedName name="Interest_Rate" refersTo="#REF!"/>
      <definedName name="Loan_Amount" refersTo="#REF!"/>
      <definedName name="Loan_Start" refersTo="#REF!"/>
      <definedName name="Loan_Years" refersTo="#REF!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m2"/>
      <sheetName val="summ3"/>
      <sheetName val="pjn format"/>
      <sheetName val="E"/>
      <sheetName val="schedule m"/>
      <sheetName val="summ4"/>
      <sheetName val="rev detail"/>
      <sheetName val="revenues"/>
      <sheetName val="fuel"/>
      <sheetName val="other oper main"/>
      <sheetName val="grt"/>
      <sheetName val="proforma int"/>
      <sheetName val="dcit"/>
      <sheetName val="fit"/>
    </sheetNames>
    <sheetDataSet>
      <sheetData sheetId="0">
        <row r="3">
          <cell r="A3" t="str">
            <v>POTOMAC ELECTRIC POWER COMPANY</v>
          </cell>
        </row>
        <row r="5">
          <cell r="A5" t="str">
            <v>Comparison of D.C. Revenue Requirement</v>
          </cell>
        </row>
        <row r="6">
          <cell r="A6" t="str">
            <v xml:space="preserve">December 1995 (Case 951)  vs. December 1996 (DETAIL) </v>
          </cell>
        </row>
        <row r="9">
          <cell r="J9" t="str">
            <v>Dec 95</v>
          </cell>
          <cell r="L9" t="str">
            <v>Difference</v>
          </cell>
        </row>
        <row r="10">
          <cell r="D10" t="str">
            <v>Dec 96</v>
          </cell>
          <cell r="F10" t="str">
            <v>Rev Req</v>
          </cell>
          <cell r="H10" t="str">
            <v>Dec 95</v>
          </cell>
          <cell r="J10" t="str">
            <v>Rev Req</v>
          </cell>
          <cell r="L10" t="str">
            <v>Rev Req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367345</v>
          </cell>
          <cell r="H12">
            <v>2479575</v>
          </cell>
          <cell r="J12">
            <v>359238</v>
          </cell>
          <cell r="L12">
            <v>-8107</v>
          </cell>
        </row>
        <row r="13">
          <cell r="B13" t="str">
            <v>Pollution Control CWIP</v>
          </cell>
          <cell r="D13">
            <v>4115</v>
          </cell>
          <cell r="F13">
            <v>596</v>
          </cell>
          <cell r="H13">
            <v>7587</v>
          </cell>
          <cell r="J13">
            <v>1099</v>
          </cell>
          <cell r="L13">
            <v>503</v>
          </cell>
        </row>
        <row r="14">
          <cell r="B14" t="str">
            <v>Unamortized Unbilled Revenue Adj</v>
          </cell>
          <cell r="D14">
            <v>-595</v>
          </cell>
          <cell r="F14">
            <v>-86</v>
          </cell>
          <cell r="H14">
            <v>-1784</v>
          </cell>
          <cell r="J14">
            <v>-258</v>
          </cell>
          <cell r="L14">
            <v>-172</v>
          </cell>
        </row>
        <row r="15">
          <cell r="B15" t="str">
            <v>Materials &amp; Supplies</v>
          </cell>
          <cell r="D15">
            <v>56273</v>
          </cell>
          <cell r="F15">
            <v>8153</v>
          </cell>
          <cell r="H15">
            <v>59473</v>
          </cell>
          <cell r="J15">
            <v>8616</v>
          </cell>
          <cell r="L15">
            <v>463</v>
          </cell>
        </row>
        <row r="16">
          <cell r="B16" t="str">
            <v>DSM Programs (F.C. 929 vintage)</v>
          </cell>
          <cell r="D16">
            <v>18147</v>
          </cell>
          <cell r="F16">
            <v>2629</v>
          </cell>
          <cell r="H16">
            <v>20327</v>
          </cell>
          <cell r="J16">
            <v>2945</v>
          </cell>
          <cell r="L16">
            <v>316</v>
          </cell>
        </row>
        <row r="17">
          <cell r="B17" t="str">
            <v>Cash Working Capital</v>
          </cell>
          <cell r="D17">
            <v>39141</v>
          </cell>
          <cell r="F17">
            <v>5671</v>
          </cell>
          <cell r="H17">
            <v>39048</v>
          </cell>
          <cell r="J17">
            <v>5657</v>
          </cell>
          <cell r="L17">
            <v>-14</v>
          </cell>
        </row>
        <row r="18">
          <cell r="B18" t="str">
            <v>Accumulated Depreciation</v>
          </cell>
          <cell r="D18">
            <v>-693708</v>
          </cell>
          <cell r="F18">
            <v>-100504</v>
          </cell>
          <cell r="H18">
            <v>-664109</v>
          </cell>
          <cell r="J18">
            <v>-96215</v>
          </cell>
          <cell r="L18">
            <v>4289</v>
          </cell>
        </row>
        <row r="19">
          <cell r="B19" t="str">
            <v>Accumulated Amortization</v>
          </cell>
          <cell r="D19">
            <v>-5678</v>
          </cell>
          <cell r="F19">
            <v>-823</v>
          </cell>
          <cell r="H19">
            <v>-4694</v>
          </cell>
          <cell r="J19">
            <v>-680</v>
          </cell>
          <cell r="L19">
            <v>143</v>
          </cell>
        </row>
        <row r="20">
          <cell r="B20" t="str">
            <v>Accumulated Deferred Taxes</v>
          </cell>
          <cell r="D20">
            <v>-281367</v>
          </cell>
          <cell r="F20">
            <v>-40764</v>
          </cell>
          <cell r="H20">
            <v>-262891</v>
          </cell>
          <cell r="J20">
            <v>-38087</v>
          </cell>
          <cell r="L20">
            <v>2677</v>
          </cell>
        </row>
        <row r="21">
          <cell r="B21" t="str">
            <v>Customer Deposits</v>
          </cell>
          <cell r="D21">
            <v>-12814</v>
          </cell>
          <cell r="F21">
            <v>-1856</v>
          </cell>
          <cell r="H21">
            <v>-12698</v>
          </cell>
          <cell r="J21">
            <v>-1840</v>
          </cell>
          <cell r="L21">
            <v>16</v>
          </cell>
        </row>
        <row r="23">
          <cell r="B23" t="str">
            <v>TOTAL RATE BASE</v>
          </cell>
          <cell r="D23">
            <v>1659044</v>
          </cell>
          <cell r="F23">
            <v>240361</v>
          </cell>
          <cell r="H23">
            <v>1659834</v>
          </cell>
          <cell r="J23">
            <v>240475</v>
          </cell>
          <cell r="L23">
            <v>114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-489726</v>
          </cell>
          <cell r="H26">
            <v>480581</v>
          </cell>
          <cell r="J26">
            <v>-480581</v>
          </cell>
          <cell r="L26">
            <v>9145</v>
          </cell>
          <cell r="W26">
            <v>-9145</v>
          </cell>
          <cell r="Y26">
            <v>9145</v>
          </cell>
        </row>
        <row r="27">
          <cell r="B27" t="str">
            <v>10% GRT on Fuel In Base</v>
          </cell>
          <cell r="D27">
            <v>28143</v>
          </cell>
          <cell r="H27">
            <v>28242</v>
          </cell>
          <cell r="W27">
            <v>99</v>
          </cell>
        </row>
        <row r="28">
          <cell r="B28" t="str">
            <v xml:space="preserve">          Subtotal</v>
          </cell>
          <cell r="D28">
            <v>517869</v>
          </cell>
          <cell r="H28">
            <v>508823</v>
          </cell>
          <cell r="W28">
            <v>-9046</v>
          </cell>
        </row>
        <row r="30">
          <cell r="B30" t="str">
            <v>Fuel In Base (excl GRT)</v>
          </cell>
          <cell r="D30">
            <v>253315</v>
          </cell>
          <cell r="H30">
            <v>254200</v>
          </cell>
          <cell r="W30">
            <v>885</v>
          </cell>
          <cell r="X30" t="str">
            <v>{f}</v>
          </cell>
        </row>
        <row r="32">
          <cell r="B32" t="str">
            <v>TOTAL BASE</v>
          </cell>
          <cell r="D32">
            <v>771184</v>
          </cell>
          <cell r="H32">
            <v>763023</v>
          </cell>
          <cell r="W32">
            <v>-8161</v>
          </cell>
        </row>
        <row r="34">
          <cell r="B34" t="str">
            <v>Fuel Clause (excl GRT)</v>
          </cell>
          <cell r="D34">
            <v>-18178</v>
          </cell>
          <cell r="H34">
            <v>-21536</v>
          </cell>
          <cell r="W34">
            <v>-3358</v>
          </cell>
          <cell r="X34" t="str">
            <v>{f}</v>
          </cell>
        </row>
        <row r="35">
          <cell r="B35" t="str">
            <v>10% GRT on Fuel Clause Revenue</v>
          </cell>
          <cell r="D35">
            <v>-2020</v>
          </cell>
          <cell r="H35">
            <v>-2393</v>
          </cell>
          <cell r="W35">
            <v>-373</v>
          </cell>
        </row>
        <row r="37">
          <cell r="B37" t="str">
            <v>TOTAL FUEL CLAUSE REVENUE</v>
          </cell>
          <cell r="D37">
            <v>-20198</v>
          </cell>
          <cell r="H37">
            <v>-23929</v>
          </cell>
          <cell r="W37">
            <v>-3731</v>
          </cell>
        </row>
        <row r="38">
          <cell r="B38" t="str">
            <v xml:space="preserve"> </v>
          </cell>
          <cell r="L38" t="str">
            <v xml:space="preserve"> </v>
          </cell>
          <cell r="W38">
            <v>0</v>
          </cell>
          <cell r="Y38">
            <v>0</v>
          </cell>
        </row>
        <row r="40">
          <cell r="B40" t="str">
            <v>TOTAL SALE OF ELECTRICITY</v>
          </cell>
          <cell r="D40">
            <v>750986</v>
          </cell>
          <cell r="F40">
            <v>-489726</v>
          </cell>
          <cell r="H40">
            <v>739094</v>
          </cell>
          <cell r="L40">
            <v>9145</v>
          </cell>
          <cell r="W40">
            <v>-11892</v>
          </cell>
          <cell r="Y40">
            <v>9145</v>
          </cell>
        </row>
        <row r="42">
          <cell r="B42" t="str">
            <v>TOTAL OTHER REVENUES</v>
          </cell>
          <cell r="D42">
            <v>3810</v>
          </cell>
          <cell r="F42">
            <v>-3810</v>
          </cell>
          <cell r="H42">
            <v>3465</v>
          </cell>
          <cell r="J42">
            <v>-3465</v>
          </cell>
          <cell r="L42">
            <v>345</v>
          </cell>
          <cell r="W42">
            <v>-345</v>
          </cell>
          <cell r="Y42">
            <v>345</v>
          </cell>
        </row>
        <row r="43">
          <cell r="W43" t="str">
            <v>_</v>
          </cell>
          <cell r="Y43" t="str">
            <v>_</v>
          </cell>
        </row>
        <row r="44">
          <cell r="A44" t="str">
            <v>TOTAL OPERATING REVENUE</v>
          </cell>
          <cell r="D44">
            <v>754796</v>
          </cell>
          <cell r="F44">
            <v>-493536</v>
          </cell>
          <cell r="H44">
            <v>742559</v>
          </cell>
          <cell r="L44">
            <v>9490</v>
          </cell>
          <cell r="W44">
            <v>-12237</v>
          </cell>
          <cell r="Y44">
            <v>9490</v>
          </cell>
        </row>
        <row r="45">
          <cell r="W45" t="str">
            <v>_</v>
          </cell>
          <cell r="Y45" t="str">
            <v>_</v>
          </cell>
        </row>
        <row r="46">
          <cell r="A46" t="str">
            <v>OPERATING EXPENSES</v>
          </cell>
        </row>
        <row r="47">
          <cell r="B47" t="str">
            <v>Net Fuel &amp; Interchange</v>
          </cell>
          <cell r="D47">
            <v>186628</v>
          </cell>
          <cell r="F47">
            <v>-53899</v>
          </cell>
          <cell r="H47">
            <v>185879</v>
          </cell>
          <cell r="J47">
            <v>-51984</v>
          </cell>
          <cell r="L47">
            <v>1915</v>
          </cell>
          <cell r="W47">
            <v>-749</v>
          </cell>
          <cell r="X47" t="str">
            <v>{f}</v>
          </cell>
          <cell r="Y47">
            <v>1848</v>
          </cell>
        </row>
        <row r="48">
          <cell r="B48" t="str">
            <v>Capacity Purchase Payments</v>
          </cell>
          <cell r="D48">
            <v>48104</v>
          </cell>
          <cell r="F48">
            <v>53449</v>
          </cell>
          <cell r="H48">
            <v>50157</v>
          </cell>
          <cell r="J48">
            <v>55730</v>
          </cell>
          <cell r="L48">
            <v>2281</v>
          </cell>
          <cell r="W48">
            <v>2053</v>
          </cell>
          <cell r="Y48">
            <v>2200</v>
          </cell>
        </row>
        <row r="49">
          <cell r="B49" t="str">
            <v xml:space="preserve">                           Subtotal</v>
          </cell>
          <cell r="D49">
            <v>234732</v>
          </cell>
          <cell r="F49">
            <v>-450</v>
          </cell>
          <cell r="J49">
            <v>3746</v>
          </cell>
          <cell r="L49">
            <v>4196</v>
          </cell>
        </row>
        <row r="51">
          <cell r="B51" t="str">
            <v>Other O &amp; M</v>
          </cell>
          <cell r="D51">
            <v>127003</v>
          </cell>
          <cell r="F51">
            <v>141114</v>
          </cell>
          <cell r="H51">
            <v>121661</v>
          </cell>
          <cell r="J51">
            <v>135179</v>
          </cell>
          <cell r="L51">
            <v>-5935</v>
          </cell>
          <cell r="W51">
            <v>-5342</v>
          </cell>
          <cell r="Y51">
            <v>-5726</v>
          </cell>
        </row>
        <row r="52">
          <cell r="B52" t="str">
            <v>DSM Amortization</v>
          </cell>
          <cell r="D52">
            <v>8879</v>
          </cell>
          <cell r="F52">
            <v>9866</v>
          </cell>
          <cell r="H52">
            <v>5568</v>
          </cell>
          <cell r="J52">
            <v>6187</v>
          </cell>
          <cell r="L52">
            <v>-3679</v>
          </cell>
          <cell r="W52">
            <v>-3311</v>
          </cell>
          <cell r="Y52">
            <v>-3549</v>
          </cell>
        </row>
        <row r="53">
          <cell r="B53" t="str">
            <v>Depreciation</v>
          </cell>
          <cell r="D53">
            <v>62457</v>
          </cell>
          <cell r="F53">
            <v>69397</v>
          </cell>
          <cell r="H53">
            <v>61582</v>
          </cell>
          <cell r="J53">
            <v>68424</v>
          </cell>
          <cell r="L53">
            <v>-973</v>
          </cell>
          <cell r="W53">
            <v>-875</v>
          </cell>
          <cell r="Y53">
            <v>-938</v>
          </cell>
        </row>
        <row r="54">
          <cell r="B54" t="str">
            <v>Amortization - Other</v>
          </cell>
          <cell r="D54">
            <v>-969</v>
          </cell>
          <cell r="F54">
            <v>-1077</v>
          </cell>
          <cell r="H54">
            <v>-1043</v>
          </cell>
          <cell r="J54">
            <v>-1159</v>
          </cell>
          <cell r="L54">
            <v>-82</v>
          </cell>
          <cell r="W54">
            <v>-74</v>
          </cell>
          <cell r="Y54">
            <v>-79</v>
          </cell>
        </row>
        <row r="55">
          <cell r="B55" t="str">
            <v>Other Taxes - Excluding GRT</v>
          </cell>
          <cell r="D55">
            <v>30077</v>
          </cell>
          <cell r="F55">
            <v>33419</v>
          </cell>
          <cell r="H55">
            <v>29079</v>
          </cell>
          <cell r="J55">
            <v>32310</v>
          </cell>
          <cell r="L55">
            <v>-1109</v>
          </cell>
          <cell r="W55">
            <v>-998</v>
          </cell>
          <cell r="Y55">
            <v>-1070</v>
          </cell>
        </row>
        <row r="56">
          <cell r="B56" t="str">
            <v>Gross Receipts Tax</v>
          </cell>
          <cell r="D56">
            <v>73790</v>
          </cell>
          <cell r="F56">
            <v>-1820</v>
          </cell>
          <cell r="H56">
            <v>73876</v>
          </cell>
          <cell r="J56">
            <v>-354</v>
          </cell>
          <cell r="L56">
            <v>1466</v>
          </cell>
          <cell r="W56">
            <v>86</v>
          </cell>
          <cell r="Y56">
            <v>-1467</v>
          </cell>
        </row>
        <row r="57">
          <cell r="B57" t="str">
            <v>D.C. Income Tax</v>
          </cell>
          <cell r="D57">
            <v>15286</v>
          </cell>
          <cell r="F57">
            <v>-943</v>
          </cell>
          <cell r="H57">
            <v>17055</v>
          </cell>
          <cell r="J57">
            <v>1572</v>
          </cell>
          <cell r="L57">
            <v>2515</v>
          </cell>
          <cell r="W57">
            <v>1769</v>
          </cell>
          <cell r="Y57">
            <v>-2515</v>
          </cell>
        </row>
        <row r="58">
          <cell r="B58" t="str">
            <v>Federal Income Tax</v>
          </cell>
          <cell r="D58">
            <v>49003</v>
          </cell>
          <cell r="F58">
            <v>-3321</v>
          </cell>
          <cell r="H58">
            <v>52188</v>
          </cell>
          <cell r="J58">
            <v>4337</v>
          </cell>
          <cell r="L58">
            <v>7658</v>
          </cell>
          <cell r="W58">
            <v>3185</v>
          </cell>
          <cell r="Y58">
            <v>-7661</v>
          </cell>
        </row>
        <row r="60">
          <cell r="B60" t="str">
            <v>TOTAL OPERATING EXPENSES</v>
          </cell>
          <cell r="D60">
            <v>600258</v>
          </cell>
          <cell r="F60">
            <v>246185</v>
          </cell>
          <cell r="H60">
            <v>596002</v>
          </cell>
          <cell r="J60">
            <v>250242</v>
          </cell>
          <cell r="L60">
            <v>4057</v>
          </cell>
          <cell r="W60">
            <v>-4256</v>
          </cell>
          <cell r="Y60">
            <v>-18957</v>
          </cell>
        </row>
        <row r="62">
          <cell r="A62" t="str">
            <v>OPERATING INCOME</v>
          </cell>
          <cell r="D62">
            <v>154538</v>
          </cell>
          <cell r="F62">
            <v>-247351</v>
          </cell>
          <cell r="H62">
            <v>146557</v>
          </cell>
          <cell r="J62">
            <v>-233804</v>
          </cell>
          <cell r="L62">
            <v>13547</v>
          </cell>
          <cell r="W62">
            <v>-7981</v>
          </cell>
          <cell r="Y62">
            <v>-9467</v>
          </cell>
          <cell r="AA62">
            <v>-9873</v>
          </cell>
        </row>
        <row r="64">
          <cell r="A64" t="str">
            <v>SUBTOTAL</v>
          </cell>
          <cell r="F64">
            <v>-6990</v>
          </cell>
          <cell r="J64">
            <v>6671</v>
          </cell>
          <cell r="L64">
            <v>13661</v>
          </cell>
          <cell r="Y64">
            <v>-9467</v>
          </cell>
          <cell r="AA64">
            <v>-9873</v>
          </cell>
        </row>
        <row r="65">
          <cell r="Y65">
            <v>0</v>
          </cell>
          <cell r="AA65">
            <v>0</v>
          </cell>
        </row>
        <row r="67">
          <cell r="Y67" t="str">
            <v>_</v>
          </cell>
          <cell r="AA67" t="str">
            <v>_</v>
          </cell>
        </row>
        <row r="69">
          <cell r="A69" t="str">
            <v>CALCULATED REVENUE REQUIREMENT</v>
          </cell>
          <cell r="F69">
            <v>-7084</v>
          </cell>
          <cell r="J69">
            <v>8206</v>
          </cell>
          <cell r="L69">
            <v>15290</v>
          </cell>
          <cell r="Y69">
            <v>-9467</v>
          </cell>
          <cell r="AA69">
            <v>-9873</v>
          </cell>
        </row>
        <row r="71">
          <cell r="A71" t="str">
            <v>Unresolved difference</v>
          </cell>
          <cell r="F71">
            <v>-94</v>
          </cell>
          <cell r="J71">
            <v>1535</v>
          </cell>
          <cell r="L71">
            <v>1629</v>
          </cell>
        </row>
        <row r="81">
          <cell r="L81">
            <v>36398.59824861111</v>
          </cell>
        </row>
        <row r="82">
          <cell r="L82">
            <v>36398.59824861111</v>
          </cell>
        </row>
        <row r="83">
          <cell r="B83" t="str">
            <v>Analysis of Net Fuel &amp; Interchange</v>
          </cell>
        </row>
        <row r="85">
          <cell r="D85" t="str">
            <v>F.C. No.</v>
          </cell>
          <cell r="J85" t="str">
            <v>Revenue</v>
          </cell>
        </row>
        <row r="86">
          <cell r="D86" t="str">
            <v>939</v>
          </cell>
          <cell r="F86" t="str">
            <v>1995</v>
          </cell>
          <cell r="H86" t="str">
            <v>Difference</v>
          </cell>
          <cell r="J86" t="str">
            <v>Requirement</v>
          </cell>
        </row>
        <row r="88">
          <cell r="B88" t="str">
            <v>Net Fuel &amp; Interchange</v>
          </cell>
          <cell r="D88">
            <v>209790</v>
          </cell>
          <cell r="F88">
            <v>185879</v>
          </cell>
          <cell r="H88">
            <v>-23911</v>
          </cell>
          <cell r="J88">
            <v>-26568</v>
          </cell>
        </row>
        <row r="89">
          <cell r="B89" t="str">
            <v>Capacity purchase payments</v>
          </cell>
          <cell r="D89">
            <v>51873</v>
          </cell>
          <cell r="F89">
            <v>50157</v>
          </cell>
          <cell r="H89">
            <v>-1716</v>
          </cell>
          <cell r="J89">
            <v>-1907</v>
          </cell>
        </row>
        <row r="91">
          <cell r="B91" t="str">
            <v>Net Fuel Expense</v>
          </cell>
          <cell r="D91">
            <v>261663</v>
          </cell>
          <cell r="F91">
            <v>236036</v>
          </cell>
          <cell r="H91">
            <v>-25627</v>
          </cell>
          <cell r="J91">
            <v>-28474</v>
          </cell>
        </row>
        <row r="93">
          <cell r="B93" t="str">
            <v>Fuel Revenue</v>
          </cell>
        </row>
        <row r="94">
          <cell r="B94" t="str">
            <v xml:space="preserve">    Fuel in Base (excl GRT)</v>
          </cell>
          <cell r="D94">
            <v>253315</v>
          </cell>
          <cell r="F94">
            <v>254200</v>
          </cell>
          <cell r="H94">
            <v>885</v>
          </cell>
          <cell r="J94">
            <v>-983</v>
          </cell>
        </row>
        <row r="95">
          <cell r="B95" t="str">
            <v xml:space="preserve">    Fuel Clause (excl GRT)</v>
          </cell>
          <cell r="D95">
            <v>-18178</v>
          </cell>
          <cell r="F95">
            <v>-21536</v>
          </cell>
          <cell r="H95">
            <v>-3358</v>
          </cell>
          <cell r="J95">
            <v>3731</v>
          </cell>
        </row>
        <row r="97">
          <cell r="B97" t="str">
            <v>Net Fuel Revenue</v>
          </cell>
          <cell r="D97">
            <v>235137</v>
          </cell>
          <cell r="F97">
            <v>232664</v>
          </cell>
          <cell r="H97">
            <v>-2473</v>
          </cell>
          <cell r="J97">
            <v>2748</v>
          </cell>
        </row>
        <row r="99">
          <cell r="B99" t="str">
            <v>Difference</v>
          </cell>
          <cell r="D99">
            <v>-26526</v>
          </cell>
          <cell r="F99">
            <v>-3372</v>
          </cell>
          <cell r="H99">
            <v>23154</v>
          </cell>
          <cell r="J99">
            <v>-25727</v>
          </cell>
        </row>
        <row r="105">
          <cell r="L105">
            <v>-25727</v>
          </cell>
        </row>
        <row r="109">
          <cell r="B109" t="str">
            <v>ANALYSIS OF CHANGE IN INCOME TAXES</v>
          </cell>
          <cell r="H109">
            <v>36398.59824861111</v>
          </cell>
        </row>
        <row r="110">
          <cell r="H110">
            <v>36398.59824861111</v>
          </cell>
        </row>
        <row r="113">
          <cell r="F113" t="str">
            <v>DCIT</v>
          </cell>
          <cell r="H113" t="str">
            <v>FIT</v>
          </cell>
        </row>
        <row r="114">
          <cell r="A114" t="str">
            <v>||\027&amp;a-1R</v>
          </cell>
        </row>
        <row r="115">
          <cell r="B115" t="str">
            <v>_</v>
          </cell>
          <cell r="F115" t="str">
            <v>_</v>
          </cell>
          <cell r="H115" t="str">
            <v>_</v>
          </cell>
        </row>
        <row r="117">
          <cell r="A117" t="str">
            <v>Change in income taxes reflected in reconciliation</v>
          </cell>
          <cell r="F117">
            <v>1769</v>
          </cell>
          <cell r="H117">
            <v>3185</v>
          </cell>
        </row>
        <row r="120">
          <cell r="A120" t="str">
            <v>Known causes:</v>
          </cell>
        </row>
        <row r="122">
          <cell r="A122" t="str">
            <v>Difference in taxable income</v>
          </cell>
          <cell r="F122">
            <v>170</v>
          </cell>
          <cell r="H122">
            <v>538</v>
          </cell>
        </row>
        <row r="123">
          <cell r="A123" t="str">
            <v>Less:  amount implicitly calculated on non-taxable items</v>
          </cell>
        </row>
        <row r="124">
          <cell r="B124" t="str">
            <v xml:space="preserve">           Interest on Customer Deposits</v>
          </cell>
          <cell r="F124">
            <v>0</v>
          </cell>
          <cell r="H124">
            <v>-1</v>
          </cell>
        </row>
        <row r="125">
          <cell r="B125" t="str">
            <v xml:space="preserve">           Common Stock Issuance Costs</v>
          </cell>
          <cell r="F125">
            <v>6</v>
          </cell>
          <cell r="H125">
            <v>17</v>
          </cell>
        </row>
        <row r="126">
          <cell r="A126" t="str">
            <v>||\027&amp;a-1R</v>
          </cell>
        </row>
        <row r="127">
          <cell r="F127" t="str">
            <v>_</v>
          </cell>
          <cell r="H127" t="str">
            <v>_</v>
          </cell>
        </row>
        <row r="129">
          <cell r="B129" t="str">
            <v>Net difference in taxable income</v>
          </cell>
          <cell r="F129">
            <v>164</v>
          </cell>
          <cell r="H129">
            <v>522</v>
          </cell>
        </row>
        <row r="131">
          <cell r="B131" t="str">
            <v>Interest synchronization</v>
          </cell>
          <cell r="F131">
            <v>99</v>
          </cell>
          <cell r="H131">
            <v>311</v>
          </cell>
        </row>
        <row r="133">
          <cell r="B133" t="str">
            <v>Additional gross receipts tax</v>
          </cell>
          <cell r="F133">
            <v>135</v>
          </cell>
          <cell r="H133">
            <v>415</v>
          </cell>
        </row>
        <row r="135">
          <cell r="B135" t="str">
            <v>Permanent and flow-thru differences</v>
          </cell>
          <cell r="F135">
            <v>719</v>
          </cell>
          <cell r="H135">
            <v>4747</v>
          </cell>
        </row>
        <row r="137">
          <cell r="B137" t="str">
            <v>3.32% customer deposit interest rate</v>
          </cell>
        </row>
        <row r="139">
          <cell r="B139" t="str">
            <v>DCIT true-up</v>
          </cell>
        </row>
        <row r="141">
          <cell r="B141" t="str">
            <v>FIT 34/35% adjustments</v>
          </cell>
        </row>
        <row r="144">
          <cell r="B144" t="str">
            <v>DCIT rate change</v>
          </cell>
        </row>
        <row r="145">
          <cell r="A145" t="str">
            <v>||\027&amp;a-1R</v>
          </cell>
        </row>
        <row r="146">
          <cell r="F146" t="str">
            <v>_</v>
          </cell>
          <cell r="H146" t="str">
            <v>_</v>
          </cell>
        </row>
        <row r="148">
          <cell r="A148" t="str">
            <v>Unresolved difference</v>
          </cell>
          <cell r="F148">
            <v>652</v>
          </cell>
          <cell r="H148">
            <v>-2810</v>
          </cell>
        </row>
        <row r="152">
          <cell r="A152" t="str">
            <v>||\012</v>
          </cell>
        </row>
        <row r="162">
          <cell r="A162" t="str">
            <v>OTHER RECONCILING ITEMS</v>
          </cell>
          <cell r="D162">
            <v>36398.59824861111</v>
          </cell>
          <cell r="F162" t="str">
            <v>F.C. No.</v>
          </cell>
        </row>
        <row r="163">
          <cell r="D163">
            <v>36398.59824861111</v>
          </cell>
          <cell r="F163" t="str">
            <v>929</v>
          </cell>
          <cell r="H163" t="str">
            <v>1994</v>
          </cell>
          <cell r="L163" t="str">
            <v>Difference</v>
          </cell>
        </row>
        <row r="164">
          <cell r="A164" t="str">
            <v>||\027&amp;a-1R</v>
          </cell>
        </row>
        <row r="165">
          <cell r="F165" t="str">
            <v>_</v>
          </cell>
          <cell r="H165" t="str">
            <v>_</v>
          </cell>
          <cell r="L165" t="str">
            <v>_</v>
          </cell>
        </row>
        <row r="167">
          <cell r="A167" t="str">
            <v>Permanent &amp; Flow Through Differences for DCIT</v>
          </cell>
          <cell r="F167">
            <v>10896</v>
          </cell>
          <cell r="H167">
            <v>26589</v>
          </cell>
          <cell r="L167">
            <v>15693</v>
          </cell>
        </row>
        <row r="168">
          <cell r="A168" t="str">
            <v>||\027&amp;a-1R</v>
          </cell>
        </row>
        <row r="169">
          <cell r="L169" t="str">
            <v>_</v>
          </cell>
        </row>
        <row r="170">
          <cell r="A170" t="str">
            <v>||\027&amp;a-60V</v>
          </cell>
        </row>
        <row r="171">
          <cell r="L171" t="str">
            <v>_</v>
          </cell>
        </row>
        <row r="174">
          <cell r="A174" t="str">
            <v>Effect on DCIT</v>
          </cell>
          <cell r="L174">
            <v>719</v>
          </cell>
        </row>
        <row r="175">
          <cell r="A175" t="str">
            <v>||\027&amp;a-1R</v>
          </cell>
        </row>
        <row r="176">
          <cell r="L176" t="str">
            <v>_</v>
          </cell>
        </row>
        <row r="177">
          <cell r="A177" t="str">
            <v>||\027&amp;a-58V</v>
          </cell>
        </row>
        <row r="178">
          <cell r="L178" t="str">
            <v>_</v>
          </cell>
        </row>
        <row r="181">
          <cell r="A181" t="str">
            <v>Permanent &amp; Flow Through Differences for FIT (D.C. alloc.)</v>
          </cell>
          <cell r="F181">
            <v>-5075</v>
          </cell>
          <cell r="H181">
            <v>9207</v>
          </cell>
          <cell r="L181">
            <v>14282</v>
          </cell>
        </row>
        <row r="182">
          <cell r="A182" t="str">
            <v>||\027&amp;a-1R</v>
          </cell>
        </row>
        <row r="183">
          <cell r="L183" t="str">
            <v>_</v>
          </cell>
        </row>
        <row r="184">
          <cell r="A184" t="str">
            <v>||\027&amp;a-60V</v>
          </cell>
        </row>
        <row r="185">
          <cell r="L185" t="str">
            <v>_</v>
          </cell>
        </row>
        <row r="188">
          <cell r="A188" t="str">
            <v>Effect on FIT</v>
          </cell>
          <cell r="L188">
            <v>4747</v>
          </cell>
        </row>
        <row r="189">
          <cell r="A189" t="str">
            <v>||\027&amp;a-1R</v>
          </cell>
        </row>
        <row r="190">
          <cell r="L190" t="str">
            <v>_</v>
          </cell>
        </row>
        <row r="191">
          <cell r="A191" t="str">
            <v>||\027&amp;a-60V</v>
          </cell>
        </row>
        <row r="192">
          <cell r="L192" t="str">
            <v>_</v>
          </cell>
        </row>
        <row r="196">
          <cell r="A196" t="str">
            <v xml:space="preserve">   Removal of Implicit Tax Calculation on Non-Taxable Items</v>
          </cell>
        </row>
        <row r="197">
          <cell r="A197" t="str">
            <v>||\027&amp;a-1R</v>
          </cell>
        </row>
        <row r="198">
          <cell r="A198" t="str">
            <v>_</v>
          </cell>
          <cell r="B198" t="str">
            <v>_</v>
          </cell>
          <cell r="C198" t="str">
            <v>_</v>
          </cell>
          <cell r="D198" t="str">
            <v>_</v>
          </cell>
        </row>
        <row r="200">
          <cell r="A200" t="str">
            <v>INTEREST ON CUSTOMER DEPOSITS</v>
          </cell>
          <cell r="F200">
            <v>321</v>
          </cell>
          <cell r="H200">
            <v>324</v>
          </cell>
          <cell r="L200">
            <v>3</v>
          </cell>
        </row>
        <row r="201">
          <cell r="A201" t="str">
            <v>||\027&amp;a-1R</v>
          </cell>
        </row>
        <row r="202">
          <cell r="L202" t="str">
            <v>_</v>
          </cell>
        </row>
        <row r="203">
          <cell r="A203" t="str">
            <v>||\027&amp;a-60V</v>
          </cell>
        </row>
        <row r="204">
          <cell r="L204" t="str">
            <v>_</v>
          </cell>
        </row>
        <row r="207">
          <cell r="A207" t="str">
            <v>Effect on DCIT implicit in determination of tax change expected</v>
          </cell>
        </row>
        <row r="208">
          <cell r="B208" t="str">
            <v xml:space="preserve">    due to adjusted revenue - expense change</v>
          </cell>
          <cell r="L208">
            <v>0</v>
          </cell>
        </row>
        <row r="209">
          <cell r="A209" t="str">
            <v>||\027&amp;a-1R</v>
          </cell>
        </row>
        <row r="210">
          <cell r="L210" t="str">
            <v>_</v>
          </cell>
        </row>
        <row r="211">
          <cell r="A211" t="str">
            <v>||\027&amp;a-60V</v>
          </cell>
        </row>
        <row r="212">
          <cell r="L212" t="str">
            <v>_</v>
          </cell>
        </row>
        <row r="214">
          <cell r="A214" t="str">
            <v>Effect on FIT implicit in determination of tax change expected</v>
          </cell>
        </row>
        <row r="215">
          <cell r="B215" t="str">
            <v xml:space="preserve">    due to adjusted revenue - expense change</v>
          </cell>
          <cell r="L215">
            <v>-1</v>
          </cell>
        </row>
        <row r="216">
          <cell r="A216" t="str">
            <v>||\027&amp;a-1R</v>
          </cell>
        </row>
        <row r="217">
          <cell r="L217" t="str">
            <v>_</v>
          </cell>
        </row>
        <row r="218">
          <cell r="A218" t="str">
            <v>||\027&amp;a-60V</v>
          </cell>
        </row>
        <row r="219">
          <cell r="L219" t="str">
            <v>_</v>
          </cell>
        </row>
        <row r="224">
          <cell r="A224" t="str">
            <v>COMMON STOCK ISSUANCE COSTS</v>
          </cell>
          <cell r="F224">
            <v>54</v>
          </cell>
          <cell r="H224">
            <v>0</v>
          </cell>
          <cell r="L224">
            <v>-54</v>
          </cell>
        </row>
        <row r="225">
          <cell r="A225" t="str">
            <v>||\027&amp;a-1R</v>
          </cell>
        </row>
        <row r="226">
          <cell r="L226" t="str">
            <v>_</v>
          </cell>
        </row>
        <row r="227">
          <cell r="A227" t="str">
            <v>||\027&amp;a-60V</v>
          </cell>
        </row>
        <row r="228">
          <cell r="L228" t="str">
            <v>_</v>
          </cell>
        </row>
        <row r="231">
          <cell r="A231" t="str">
            <v>Effect on DCIT implicit in determination of tax change expected</v>
          </cell>
        </row>
        <row r="232">
          <cell r="B232" t="str">
            <v xml:space="preserve">    due to adjusted revenue - expense change</v>
          </cell>
          <cell r="L232">
            <v>6</v>
          </cell>
        </row>
        <row r="233">
          <cell r="A233" t="str">
            <v>||\027&amp;a-1R</v>
          </cell>
        </row>
        <row r="234">
          <cell r="L234" t="str">
            <v>_</v>
          </cell>
        </row>
        <row r="235">
          <cell r="A235" t="str">
            <v>||\027&amp;a-60V</v>
          </cell>
        </row>
        <row r="236">
          <cell r="L236" t="str">
            <v>_</v>
          </cell>
        </row>
        <row r="238">
          <cell r="A238" t="str">
            <v>Effect on FIT implicit in determination of tax change expected</v>
          </cell>
        </row>
        <row r="239">
          <cell r="B239" t="str">
            <v xml:space="preserve">    due to adjusted revenue - expense change</v>
          </cell>
          <cell r="L239">
            <v>17</v>
          </cell>
        </row>
        <row r="240">
          <cell r="A240" t="str">
            <v>||\027&amp;a-1R</v>
          </cell>
        </row>
        <row r="241">
          <cell r="L241" t="str">
            <v>_</v>
          </cell>
        </row>
        <row r="242">
          <cell r="A242" t="str">
            <v>||\027&amp;a-60V</v>
          </cell>
        </row>
        <row r="243">
          <cell r="L243" t="str">
            <v>_</v>
          </cell>
        </row>
        <row r="244">
          <cell r="A244" t="str">
            <v>||\012</v>
          </cell>
        </row>
        <row r="250">
          <cell r="D250" t="str">
            <v>F.C. No.</v>
          </cell>
          <cell r="F250" t="str">
            <v>F.C. No.</v>
          </cell>
          <cell r="L250" t="str">
            <v>Revenue</v>
          </cell>
          <cell r="AA250" t="str">
            <v>Int Synch</v>
          </cell>
        </row>
        <row r="251">
          <cell r="B251" t="str">
            <v xml:space="preserve">   FUNCTIONAL ANALYSIS OF SELECTED ITEMS</v>
          </cell>
          <cell r="D251" t="str">
            <v>912</v>
          </cell>
          <cell r="F251" t="str">
            <v>929</v>
          </cell>
          <cell r="H251" t="str">
            <v>Difference</v>
          </cell>
          <cell r="L251" t="str">
            <v>Requirement</v>
          </cell>
          <cell r="W251" t="str">
            <v>CT 1</v>
          </cell>
          <cell r="Y251" t="str">
            <v>CT 2</v>
          </cell>
          <cell r="AA251" t="str">
            <v>DCIT</v>
          </cell>
        </row>
        <row r="252">
          <cell r="A252" t="str">
            <v>||\027&amp;a-1R</v>
          </cell>
        </row>
        <row r="253">
          <cell r="B253" t="str">
            <v>_</v>
          </cell>
          <cell r="D253" t="str">
            <v>_</v>
          </cell>
          <cell r="F253" t="str">
            <v>_</v>
          </cell>
          <cell r="H253" t="str">
            <v>_</v>
          </cell>
          <cell r="L253" t="str">
            <v>_</v>
          </cell>
          <cell r="W253" t="str">
            <v>_</v>
          </cell>
          <cell r="Y253" t="str">
            <v>_</v>
          </cell>
          <cell r="AA253" t="str">
            <v>_</v>
          </cell>
        </row>
        <row r="255">
          <cell r="A255" t="str">
            <v>ELECTRIC PLANT IN SERVICE</v>
          </cell>
          <cell r="D255">
            <v>2535530</v>
          </cell>
          <cell r="F255">
            <v>2479575</v>
          </cell>
          <cell r="H255">
            <v>-55955</v>
          </cell>
          <cell r="L255">
            <v>-8456</v>
          </cell>
          <cell r="AA255">
            <v>234</v>
          </cell>
        </row>
        <row r="257">
          <cell r="B257" t="str">
            <v>Production</v>
          </cell>
          <cell r="D257">
            <v>735635</v>
          </cell>
          <cell r="F257">
            <v>819230</v>
          </cell>
          <cell r="H257">
            <v>83595</v>
          </cell>
          <cell r="L257">
            <v>12629</v>
          </cell>
          <cell r="W257">
            <v>721</v>
          </cell>
          <cell r="Y257">
            <v>4221</v>
          </cell>
          <cell r="AA257">
            <v>-350</v>
          </cell>
        </row>
        <row r="258">
          <cell r="B258" t="str">
            <v>Transmission</v>
          </cell>
          <cell r="D258">
            <v>251421</v>
          </cell>
          <cell r="F258">
            <v>285743</v>
          </cell>
          <cell r="H258">
            <v>34322</v>
          </cell>
          <cell r="L258">
            <v>5185</v>
          </cell>
          <cell r="W258">
            <v>-272</v>
          </cell>
          <cell r="Y258">
            <v>572</v>
          </cell>
          <cell r="AA258">
            <v>-144</v>
          </cell>
        </row>
        <row r="259">
          <cell r="B259" t="str">
            <v>Distribution</v>
          </cell>
          <cell r="D259">
            <v>888637</v>
          </cell>
          <cell r="F259">
            <v>973326</v>
          </cell>
          <cell r="H259">
            <v>84689</v>
          </cell>
          <cell r="L259">
            <v>12796</v>
          </cell>
          <cell r="W259" t="str">
            <v>-</v>
          </cell>
          <cell r="Y259" t="str">
            <v>-</v>
          </cell>
          <cell r="AA259">
            <v>-355</v>
          </cell>
        </row>
        <row r="260">
          <cell r="B260" t="str">
            <v>General</v>
          </cell>
          <cell r="D260">
            <v>128417</v>
          </cell>
          <cell r="F260">
            <v>127701</v>
          </cell>
          <cell r="H260">
            <v>-716</v>
          </cell>
          <cell r="L260">
            <v>-107</v>
          </cell>
          <cell r="W260">
            <v>33</v>
          </cell>
          <cell r="Y260">
            <v>47</v>
          </cell>
          <cell r="AA260">
            <v>3</v>
          </cell>
        </row>
        <row r="262">
          <cell r="B262" t="str">
            <v>Check</v>
          </cell>
          <cell r="D262">
            <v>2004110</v>
          </cell>
          <cell r="F262">
            <v>2206000</v>
          </cell>
          <cell r="H262">
            <v>201890</v>
          </cell>
          <cell r="L262">
            <v>30503</v>
          </cell>
          <cell r="W262">
            <v>482</v>
          </cell>
          <cell r="Y262">
            <v>4840</v>
          </cell>
          <cell r="AA262">
            <v>-846</v>
          </cell>
        </row>
        <row r="267">
          <cell r="A267" t="str">
            <v>ACCUMULATED DEPRECIATION</v>
          </cell>
          <cell r="D267">
            <v>-693708</v>
          </cell>
          <cell r="F267">
            <v>-664109</v>
          </cell>
          <cell r="H267">
            <v>29599</v>
          </cell>
          <cell r="L267">
            <v>4473</v>
          </cell>
          <cell r="AA267">
            <v>-124</v>
          </cell>
        </row>
        <row r="269">
          <cell r="B269" t="str">
            <v>Production</v>
          </cell>
          <cell r="D269">
            <v>-199863</v>
          </cell>
          <cell r="F269">
            <v>-219451</v>
          </cell>
          <cell r="H269">
            <v>-19588</v>
          </cell>
          <cell r="L269">
            <v>-2961</v>
          </cell>
          <cell r="W269">
            <v>-7</v>
          </cell>
          <cell r="Y269">
            <v>-82</v>
          </cell>
          <cell r="AA269">
            <v>81</v>
          </cell>
        </row>
        <row r="270">
          <cell r="B270" t="str">
            <v>Transmission</v>
          </cell>
          <cell r="D270">
            <v>-66783</v>
          </cell>
          <cell r="F270">
            <v>-80591</v>
          </cell>
          <cell r="H270">
            <v>-13808</v>
          </cell>
          <cell r="L270">
            <v>-2085</v>
          </cell>
          <cell r="W270">
            <v>7</v>
          </cell>
          <cell r="Y270">
            <v>-7</v>
          </cell>
          <cell r="AA270">
            <v>58</v>
          </cell>
        </row>
        <row r="271">
          <cell r="B271" t="str">
            <v>Distribution</v>
          </cell>
          <cell r="D271">
            <v>-214902</v>
          </cell>
          <cell r="F271">
            <v>-233882</v>
          </cell>
          <cell r="H271">
            <v>-18980</v>
          </cell>
          <cell r="L271">
            <v>-2868</v>
          </cell>
          <cell r="W271" t="str">
            <v>-</v>
          </cell>
          <cell r="Y271" t="str">
            <v>-</v>
          </cell>
          <cell r="AA271">
            <v>80</v>
          </cell>
        </row>
        <row r="272">
          <cell r="B272" t="str">
            <v>General</v>
          </cell>
          <cell r="D272">
            <v>-32423</v>
          </cell>
          <cell r="F272">
            <v>-41458</v>
          </cell>
          <cell r="H272">
            <v>-9035</v>
          </cell>
          <cell r="L272">
            <v>-1364</v>
          </cell>
          <cell r="W272">
            <v>-1</v>
          </cell>
          <cell r="Y272">
            <v>-2</v>
          </cell>
          <cell r="AA272">
            <v>38</v>
          </cell>
        </row>
        <row r="274">
          <cell r="B274" t="str">
            <v>Check</v>
          </cell>
          <cell r="D274">
            <v>-513971</v>
          </cell>
          <cell r="F274">
            <v>-575382</v>
          </cell>
          <cell r="H274">
            <v>-61411</v>
          </cell>
          <cell r="L274">
            <v>-9278</v>
          </cell>
          <cell r="W274">
            <v>-1</v>
          </cell>
          <cell r="Y274">
            <v>-91</v>
          </cell>
          <cell r="AA274">
            <v>257</v>
          </cell>
        </row>
        <row r="279">
          <cell r="A279" t="str">
            <v>DEPRECIATION EXPENSE</v>
          </cell>
          <cell r="D279">
            <v>62457</v>
          </cell>
          <cell r="F279">
            <v>61582</v>
          </cell>
          <cell r="H279">
            <v>-875</v>
          </cell>
          <cell r="L279">
            <v>-938</v>
          </cell>
        </row>
        <row r="281">
          <cell r="B281" t="str">
            <v>Production</v>
          </cell>
          <cell r="D281">
            <v>16437</v>
          </cell>
          <cell r="F281">
            <v>19286</v>
          </cell>
          <cell r="H281">
            <v>2849</v>
          </cell>
          <cell r="L281">
            <v>3054</v>
          </cell>
          <cell r="W281">
            <v>90</v>
          </cell>
          <cell r="Y281">
            <v>1793</v>
          </cell>
        </row>
        <row r="282">
          <cell r="B282" t="str">
            <v>Transmission</v>
          </cell>
          <cell r="D282">
            <v>5090</v>
          </cell>
          <cell r="F282">
            <v>6055</v>
          </cell>
          <cell r="H282">
            <v>965</v>
          </cell>
          <cell r="L282">
            <v>1034</v>
          </cell>
          <cell r="W282">
            <v>-88</v>
          </cell>
          <cell r="Y282">
            <v>228</v>
          </cell>
        </row>
        <row r="283">
          <cell r="B283" t="str">
            <v>Distribution</v>
          </cell>
          <cell r="D283">
            <v>21931</v>
          </cell>
          <cell r="F283">
            <v>23566</v>
          </cell>
          <cell r="H283">
            <v>1635</v>
          </cell>
          <cell r="L283">
            <v>1752</v>
          </cell>
          <cell r="W283" t="str">
            <v>-</v>
          </cell>
          <cell r="Y283" t="str">
            <v>-</v>
          </cell>
        </row>
        <row r="284">
          <cell r="B284" t="str">
            <v>General</v>
          </cell>
          <cell r="D284">
            <v>5568</v>
          </cell>
          <cell r="F284">
            <v>6383</v>
          </cell>
          <cell r="H284">
            <v>815</v>
          </cell>
          <cell r="L284">
            <v>874</v>
          </cell>
          <cell r="W284">
            <v>17</v>
          </cell>
          <cell r="Y284">
            <v>17</v>
          </cell>
        </row>
        <row r="286">
          <cell r="B286" t="str">
            <v>Check</v>
          </cell>
          <cell r="D286">
            <v>49026</v>
          </cell>
          <cell r="F286">
            <v>55290</v>
          </cell>
          <cell r="H286">
            <v>6264</v>
          </cell>
          <cell r="L286">
            <v>6714</v>
          </cell>
          <cell r="W286">
            <v>19</v>
          </cell>
          <cell r="Y286">
            <v>2038</v>
          </cell>
        </row>
        <row r="289">
          <cell r="B289" t="str">
            <v>TOTAL PER ABOVE</v>
          </cell>
          <cell r="W289">
            <v>500</v>
          </cell>
          <cell r="Y289">
            <v>6787</v>
          </cell>
        </row>
        <row r="290">
          <cell r="B290" t="str">
            <v>ADT</v>
          </cell>
          <cell r="W290">
            <v>-3</v>
          </cell>
          <cell r="Y290">
            <v>-1</v>
          </cell>
        </row>
        <row r="291">
          <cell r="B291" t="str">
            <v xml:space="preserve">TOTAL </v>
          </cell>
          <cell r="W291" t="str">
            <v xml:space="preserve">      ------</v>
          </cell>
          <cell r="Y291" t="str">
            <v xml:space="preserve">      ------</v>
          </cell>
        </row>
        <row r="292">
          <cell r="W292">
            <v>497</v>
          </cell>
          <cell r="Y292">
            <v>6786</v>
          </cell>
        </row>
        <row r="293">
          <cell r="A293" t="str">
            <v>||\012</v>
          </cell>
        </row>
        <row r="309">
          <cell r="A309" t="str">
            <v>STATION H CT-1</v>
          </cell>
        </row>
        <row r="310">
          <cell r="D310" t="str">
            <v>912</v>
          </cell>
          <cell r="F310" t="str">
            <v>8 &amp; 4</v>
          </cell>
          <cell r="H310" t="str">
            <v>Difference</v>
          </cell>
          <cell r="L310" t="str">
            <v>DCIT</v>
          </cell>
          <cell r="W310" t="str">
            <v>FIT</v>
          </cell>
          <cell r="Y310" t="str">
            <v>REV REQ</v>
          </cell>
        </row>
        <row r="311">
          <cell r="D311" t="str">
            <v>-</v>
          </cell>
          <cell r="F311" t="str">
            <v>-</v>
          </cell>
          <cell r="H311" t="str">
            <v>-</v>
          </cell>
          <cell r="L311" t="str">
            <v>-</v>
          </cell>
          <cell r="W311" t="str">
            <v>-</v>
          </cell>
          <cell r="Y311" t="str">
            <v>-</v>
          </cell>
        </row>
        <row r="312">
          <cell r="A312" t="str">
            <v>RATE BASE</v>
          </cell>
        </row>
        <row r="314">
          <cell r="A314" t="str">
            <v>SYSTEM EPIS</v>
          </cell>
        </row>
        <row r="315">
          <cell r="A315" t="str">
            <v xml:space="preserve">  Production</v>
          </cell>
          <cell r="D315">
            <v>101890</v>
          </cell>
          <cell r="F315">
            <v>110769</v>
          </cell>
        </row>
        <row r="316">
          <cell r="A316" t="str">
            <v xml:space="preserve">  Transmission</v>
          </cell>
          <cell r="D316">
            <v>28340</v>
          </cell>
          <cell r="F316">
            <v>23088</v>
          </cell>
        </row>
        <row r="317">
          <cell r="A317" t="str">
            <v xml:space="preserve">  General</v>
          </cell>
          <cell r="D317" t="str">
            <v>-</v>
          </cell>
          <cell r="F317">
            <v>466</v>
          </cell>
        </row>
        <row r="319">
          <cell r="A319" t="str">
            <v>D.C. ALLOCATED EPIS</v>
          </cell>
        </row>
        <row r="320">
          <cell r="A320" t="str">
            <v xml:space="preserve">  Production</v>
          </cell>
          <cell r="D320">
            <v>38504</v>
          </cell>
          <cell r="F320">
            <v>43300</v>
          </cell>
        </row>
        <row r="321">
          <cell r="A321" t="str">
            <v xml:space="preserve">  Transmission </v>
          </cell>
          <cell r="D321">
            <v>10710</v>
          </cell>
          <cell r="F321">
            <v>9025</v>
          </cell>
        </row>
        <row r="322">
          <cell r="A322" t="str">
            <v xml:space="preserve">  General </v>
          </cell>
          <cell r="D322" t="str">
            <v>-</v>
          </cell>
          <cell r="F322">
            <v>202</v>
          </cell>
        </row>
        <row r="323">
          <cell r="D323" t="str">
            <v>-</v>
          </cell>
          <cell r="F323" t="str">
            <v>-</v>
          </cell>
        </row>
        <row r="324">
          <cell r="D324">
            <v>49214</v>
          </cell>
          <cell r="F324">
            <v>52527</v>
          </cell>
        </row>
        <row r="325">
          <cell r="A325" t="str">
            <v>D.C. AFUDC</v>
          </cell>
        </row>
        <row r="326">
          <cell r="A326" t="str">
            <v xml:space="preserve">  Production</v>
          </cell>
          <cell r="D326">
            <v>8572</v>
          </cell>
          <cell r="F326">
            <v>8542</v>
          </cell>
        </row>
        <row r="327">
          <cell r="A327" t="str">
            <v xml:space="preserve">  Transmission </v>
          </cell>
          <cell r="D327">
            <v>1437</v>
          </cell>
          <cell r="F327">
            <v>1332</v>
          </cell>
        </row>
        <row r="328">
          <cell r="A328" t="str">
            <v xml:space="preserve">  General </v>
          </cell>
          <cell r="D328" t="str">
            <v>-</v>
          </cell>
          <cell r="F328">
            <v>20</v>
          </cell>
        </row>
        <row r="329">
          <cell r="D329" t="str">
            <v>-</v>
          </cell>
          <cell r="F329" t="str">
            <v>-</v>
          </cell>
        </row>
        <row r="330">
          <cell r="D330">
            <v>10009</v>
          </cell>
          <cell r="F330">
            <v>9894</v>
          </cell>
        </row>
        <row r="332">
          <cell r="A332" t="str">
            <v>Net EPIS</v>
          </cell>
        </row>
        <row r="333">
          <cell r="A333" t="str">
            <v xml:space="preserve">  Production</v>
          </cell>
          <cell r="D333">
            <v>47076</v>
          </cell>
          <cell r="F333">
            <v>51842</v>
          </cell>
          <cell r="H333">
            <v>4766</v>
          </cell>
          <cell r="Y333">
            <v>861</v>
          </cell>
        </row>
        <row r="334">
          <cell r="A334" t="str">
            <v xml:space="preserve">  Transmission </v>
          </cell>
          <cell r="D334">
            <v>12147</v>
          </cell>
          <cell r="F334">
            <v>10357</v>
          </cell>
          <cell r="H334">
            <v>-1790</v>
          </cell>
          <cell r="Y334">
            <v>-323</v>
          </cell>
        </row>
        <row r="335">
          <cell r="A335" t="str">
            <v xml:space="preserve">  General </v>
          </cell>
          <cell r="D335" t="str">
            <v>-</v>
          </cell>
          <cell r="F335">
            <v>222</v>
          </cell>
          <cell r="H335">
            <v>222</v>
          </cell>
          <cell r="Y335">
            <v>40</v>
          </cell>
        </row>
        <row r="336">
          <cell r="D336" t="str">
            <v>-</v>
          </cell>
          <cell r="F336" t="str">
            <v>-</v>
          </cell>
          <cell r="H336" t="str">
            <v>-</v>
          </cell>
          <cell r="Y336" t="str">
            <v>-</v>
          </cell>
        </row>
        <row r="337">
          <cell r="A337" t="str">
            <v xml:space="preserve">  Net EPIS</v>
          </cell>
          <cell r="D337">
            <v>59223</v>
          </cell>
          <cell r="F337">
            <v>62421</v>
          </cell>
          <cell r="H337">
            <v>3198</v>
          </cell>
          <cell r="Y337">
            <v>578</v>
          </cell>
        </row>
        <row r="338">
          <cell r="Y338" t="str">
            <v>=</v>
          </cell>
        </row>
        <row r="339">
          <cell r="A339" t="str">
            <v>ACCUMULATED DEPR</v>
          </cell>
        </row>
        <row r="340">
          <cell r="A340" t="str">
            <v xml:space="preserve">  Production</v>
          </cell>
          <cell r="D340">
            <v>-795</v>
          </cell>
          <cell r="F340">
            <v>-836</v>
          </cell>
          <cell r="H340">
            <v>-41</v>
          </cell>
          <cell r="Y340">
            <v>-7</v>
          </cell>
        </row>
        <row r="341">
          <cell r="A341" t="str">
            <v xml:space="preserve">  Transmission </v>
          </cell>
          <cell r="D341">
            <v>-147</v>
          </cell>
          <cell r="F341">
            <v>-107</v>
          </cell>
          <cell r="H341">
            <v>40</v>
          </cell>
          <cell r="Y341">
            <v>7</v>
          </cell>
        </row>
        <row r="342">
          <cell r="A342" t="str">
            <v xml:space="preserve">  General </v>
          </cell>
          <cell r="D342" t="str">
            <v>-</v>
          </cell>
          <cell r="F342">
            <v>-8</v>
          </cell>
          <cell r="H342">
            <v>-8</v>
          </cell>
          <cell r="Y342">
            <v>-1</v>
          </cell>
        </row>
        <row r="343">
          <cell r="D343" t="str">
            <v>-</v>
          </cell>
          <cell r="F343" t="str">
            <v>-</v>
          </cell>
          <cell r="H343" t="str">
            <v>-</v>
          </cell>
          <cell r="Y343" t="str">
            <v>-</v>
          </cell>
        </row>
        <row r="344">
          <cell r="A344" t="str">
            <v xml:space="preserve">  Accum depr</v>
          </cell>
          <cell r="D344">
            <v>-942</v>
          </cell>
          <cell r="F344">
            <v>-951</v>
          </cell>
          <cell r="H344">
            <v>-9</v>
          </cell>
          <cell r="Y344">
            <v>-1</v>
          </cell>
        </row>
        <row r="345">
          <cell r="Y345" t="str">
            <v>=</v>
          </cell>
        </row>
        <row r="347">
          <cell r="A347" t="str">
            <v>ADT  (Assume all production)</v>
          </cell>
          <cell r="D347">
            <v>2</v>
          </cell>
          <cell r="F347">
            <v>-14</v>
          </cell>
          <cell r="H347">
            <v>-16</v>
          </cell>
          <cell r="Y347">
            <v>-3</v>
          </cell>
        </row>
        <row r="348">
          <cell r="D348" t="str">
            <v>-</v>
          </cell>
          <cell r="F348" t="str">
            <v>-</v>
          </cell>
          <cell r="H348" t="str">
            <v>-</v>
          </cell>
          <cell r="Y348" t="str">
            <v>=</v>
          </cell>
        </row>
        <row r="349">
          <cell r="A349" t="str">
            <v>NET RATE BASE</v>
          </cell>
        </row>
        <row r="350">
          <cell r="A350" t="str">
            <v xml:space="preserve">  Production</v>
          </cell>
          <cell r="D350">
            <v>46283</v>
          </cell>
          <cell r="F350">
            <v>50992</v>
          </cell>
          <cell r="H350">
            <v>4709</v>
          </cell>
          <cell r="Y350">
            <v>851</v>
          </cell>
        </row>
        <row r="351">
          <cell r="A351" t="str">
            <v xml:space="preserve">  Transmission </v>
          </cell>
          <cell r="D351">
            <v>12000</v>
          </cell>
          <cell r="F351">
            <v>10250</v>
          </cell>
          <cell r="H351">
            <v>-1750</v>
          </cell>
          <cell r="Y351">
            <v>-316</v>
          </cell>
        </row>
        <row r="352">
          <cell r="A352" t="str">
            <v xml:space="preserve">  General </v>
          </cell>
          <cell r="D352" t="str">
            <v>-</v>
          </cell>
          <cell r="F352">
            <v>214</v>
          </cell>
          <cell r="H352">
            <v>214</v>
          </cell>
          <cell r="Y352">
            <v>39</v>
          </cell>
        </row>
        <row r="353">
          <cell r="D353" t="str">
            <v>-</v>
          </cell>
          <cell r="F353" t="str">
            <v>-</v>
          </cell>
          <cell r="H353" t="str">
            <v>-</v>
          </cell>
          <cell r="Y353" t="str">
            <v>-</v>
          </cell>
        </row>
        <row r="355">
          <cell r="A355" t="str">
            <v>NET ADDITION TO RATE BASE</v>
          </cell>
          <cell r="D355">
            <v>58283</v>
          </cell>
          <cell r="F355">
            <v>61456</v>
          </cell>
          <cell r="H355">
            <v>3173</v>
          </cell>
          <cell r="Y355">
            <v>574</v>
          </cell>
        </row>
        <row r="357">
          <cell r="A357" t="str">
            <v>INTEREST SYNCH:    (attribute 100% to EPIS)</v>
          </cell>
        </row>
        <row r="358">
          <cell r="B358" t="str">
            <v>wtd cost of debt (912)</v>
          </cell>
          <cell r="D358">
            <v>3.9900000000000005E-2</v>
          </cell>
          <cell r="F358">
            <v>3.9900000000000005E-2</v>
          </cell>
          <cell r="H358">
            <v>3.9900000000000005E-2</v>
          </cell>
        </row>
        <row r="360">
          <cell r="A360" t="str">
            <v xml:space="preserve">  Production</v>
          </cell>
          <cell r="D360">
            <v>1847</v>
          </cell>
          <cell r="F360">
            <v>2035</v>
          </cell>
          <cell r="H360">
            <v>188</v>
          </cell>
          <cell r="L360">
            <v>-20</v>
          </cell>
          <cell r="W360">
            <v>-57</v>
          </cell>
          <cell r="Y360">
            <v>-140</v>
          </cell>
        </row>
        <row r="361">
          <cell r="A361" t="str">
            <v xml:space="preserve">  Transmission </v>
          </cell>
          <cell r="D361">
            <v>479</v>
          </cell>
          <cell r="F361">
            <v>409</v>
          </cell>
          <cell r="H361">
            <v>-70</v>
          </cell>
          <cell r="L361">
            <v>7</v>
          </cell>
          <cell r="W361">
            <v>21</v>
          </cell>
          <cell r="Y361">
            <v>51</v>
          </cell>
        </row>
        <row r="362">
          <cell r="A362" t="str">
            <v xml:space="preserve">  General </v>
          </cell>
          <cell r="D362">
            <v>0</v>
          </cell>
          <cell r="F362">
            <v>9</v>
          </cell>
          <cell r="H362">
            <v>9</v>
          </cell>
          <cell r="L362">
            <v>-1</v>
          </cell>
          <cell r="W362">
            <v>-3</v>
          </cell>
          <cell r="Y362">
            <v>-7</v>
          </cell>
        </row>
        <row r="363">
          <cell r="D363" t="str">
            <v>-</v>
          </cell>
          <cell r="F363" t="str">
            <v>-</v>
          </cell>
          <cell r="H363" t="str">
            <v>-</v>
          </cell>
          <cell r="L363" t="str">
            <v>-</v>
          </cell>
          <cell r="W363" t="str">
            <v>-</v>
          </cell>
          <cell r="Y363" t="str">
            <v>-</v>
          </cell>
        </row>
        <row r="364">
          <cell r="D364">
            <v>2326</v>
          </cell>
          <cell r="F364">
            <v>2453</v>
          </cell>
          <cell r="H364">
            <v>127</v>
          </cell>
          <cell r="L364">
            <v>-14</v>
          </cell>
          <cell r="W364">
            <v>-39</v>
          </cell>
          <cell r="Y364">
            <v>-96</v>
          </cell>
        </row>
        <row r="365">
          <cell r="A365" t="str">
            <v>TOTAL REVENUE REQUIREMENT ASSOC W/ RATE BASE</v>
          </cell>
        </row>
        <row r="366">
          <cell r="A366" t="str">
            <v xml:space="preserve">  Production</v>
          </cell>
          <cell r="Y366">
            <v>711</v>
          </cell>
        </row>
        <row r="367">
          <cell r="A367" t="str">
            <v xml:space="preserve">  Transmission </v>
          </cell>
          <cell r="Y367">
            <v>-265</v>
          </cell>
        </row>
        <row r="368">
          <cell r="A368" t="str">
            <v xml:space="preserve">  General </v>
          </cell>
          <cell r="Y368">
            <v>32</v>
          </cell>
        </row>
        <row r="369">
          <cell r="Y369" t="str">
            <v>-</v>
          </cell>
        </row>
        <row r="370">
          <cell r="Y370">
            <v>478</v>
          </cell>
        </row>
        <row r="372">
          <cell r="A372" t="str">
            <v>Depreciation exp</v>
          </cell>
        </row>
        <row r="373">
          <cell r="A373" t="str">
            <v xml:space="preserve">  Production</v>
          </cell>
          <cell r="D373">
            <v>1589</v>
          </cell>
          <cell r="F373">
            <v>1673</v>
          </cell>
          <cell r="H373">
            <v>84</v>
          </cell>
          <cell r="Y373">
            <v>90</v>
          </cell>
        </row>
        <row r="374">
          <cell r="A374" t="str">
            <v xml:space="preserve">  Transmission </v>
          </cell>
          <cell r="D374">
            <v>295</v>
          </cell>
          <cell r="F374">
            <v>213</v>
          </cell>
          <cell r="H374">
            <v>-82</v>
          </cell>
          <cell r="Y374">
            <v>-88</v>
          </cell>
        </row>
        <row r="375">
          <cell r="A375" t="str">
            <v xml:space="preserve">  General </v>
          </cell>
          <cell r="D375" t="str">
            <v>-</v>
          </cell>
          <cell r="F375">
            <v>16</v>
          </cell>
          <cell r="H375">
            <v>16</v>
          </cell>
          <cell r="Y375">
            <v>17</v>
          </cell>
        </row>
        <row r="376">
          <cell r="D376" t="str">
            <v>-</v>
          </cell>
          <cell r="F376" t="str">
            <v>-</v>
          </cell>
          <cell r="H376" t="str">
            <v>-</v>
          </cell>
          <cell r="Y376" t="str">
            <v>-</v>
          </cell>
        </row>
        <row r="377">
          <cell r="D377">
            <v>1884</v>
          </cell>
          <cell r="F377">
            <v>1902</v>
          </cell>
          <cell r="H377">
            <v>18</v>
          </cell>
          <cell r="Y377">
            <v>19</v>
          </cell>
        </row>
        <row r="379">
          <cell r="A379" t="str">
            <v>Total revenue requirement impact with int synch</v>
          </cell>
          <cell r="Y379">
            <v>497</v>
          </cell>
        </row>
        <row r="380">
          <cell r="Y380" t="str">
            <v>=</v>
          </cell>
        </row>
        <row r="382">
          <cell r="A382" t="str">
            <v>||\012</v>
          </cell>
        </row>
        <row r="388">
          <cell r="A388" t="str">
            <v>STATION H CT-2</v>
          </cell>
        </row>
        <row r="389">
          <cell r="D389" t="str">
            <v>912</v>
          </cell>
          <cell r="F389" t="str">
            <v>8 &amp; 4</v>
          </cell>
          <cell r="H389" t="str">
            <v>Difference</v>
          </cell>
          <cell r="L389" t="str">
            <v>DCIT</v>
          </cell>
          <cell r="W389" t="str">
            <v>FIT</v>
          </cell>
          <cell r="Y389" t="str">
            <v>REV REQ</v>
          </cell>
        </row>
        <row r="390">
          <cell r="D390" t="str">
            <v>-</v>
          </cell>
          <cell r="F390" t="str">
            <v>-</v>
          </cell>
          <cell r="H390" t="str">
            <v>-</v>
          </cell>
          <cell r="L390" t="str">
            <v>-</v>
          </cell>
          <cell r="W390" t="str">
            <v>-</v>
          </cell>
          <cell r="Y390" t="str">
            <v>-</v>
          </cell>
        </row>
        <row r="391">
          <cell r="A391" t="str">
            <v>RATE BASE</v>
          </cell>
        </row>
        <row r="393">
          <cell r="A393" t="str">
            <v>SYSTEM EPIS</v>
          </cell>
        </row>
        <row r="394">
          <cell r="A394" t="str">
            <v xml:space="preserve">  Production</v>
          </cell>
          <cell r="F394">
            <v>61694</v>
          </cell>
        </row>
        <row r="395">
          <cell r="A395" t="str">
            <v xml:space="preserve">  Transmission</v>
          </cell>
          <cell r="F395">
            <v>8781</v>
          </cell>
        </row>
        <row r="396">
          <cell r="A396" t="str">
            <v xml:space="preserve">  General</v>
          </cell>
          <cell r="F396">
            <v>642</v>
          </cell>
        </row>
        <row r="398">
          <cell r="A398" t="str">
            <v>D.C. ALLOCATED EPIS</v>
          </cell>
        </row>
        <row r="399">
          <cell r="A399" t="str">
            <v xml:space="preserve">  Production</v>
          </cell>
          <cell r="F399">
            <v>24122</v>
          </cell>
        </row>
        <row r="400">
          <cell r="A400" t="str">
            <v xml:space="preserve">  Transmission </v>
          </cell>
          <cell r="F400">
            <v>3433</v>
          </cell>
        </row>
        <row r="401">
          <cell r="A401" t="str">
            <v xml:space="preserve">  General </v>
          </cell>
          <cell r="F401">
            <v>278</v>
          </cell>
        </row>
        <row r="402">
          <cell r="F402" t="str">
            <v>-</v>
          </cell>
        </row>
        <row r="403">
          <cell r="F403">
            <v>27833</v>
          </cell>
        </row>
        <row r="404">
          <cell r="A404" t="str">
            <v xml:space="preserve">D.C. AFUDC </v>
          </cell>
        </row>
        <row r="405">
          <cell r="A405" t="str">
            <v xml:space="preserve">  Production</v>
          </cell>
          <cell r="F405">
            <v>3140</v>
          </cell>
        </row>
        <row r="406">
          <cell r="A406" t="str">
            <v xml:space="preserve">  Transmission </v>
          </cell>
          <cell r="F406">
            <v>179</v>
          </cell>
        </row>
        <row r="407">
          <cell r="A407" t="str">
            <v xml:space="preserve">  General </v>
          </cell>
          <cell r="F407">
            <v>19</v>
          </cell>
        </row>
        <row r="408">
          <cell r="F408" t="str">
            <v>-</v>
          </cell>
        </row>
        <row r="409">
          <cell r="F409">
            <v>3338</v>
          </cell>
        </row>
        <row r="411">
          <cell r="A411" t="str">
            <v>D.C. CCRF</v>
          </cell>
        </row>
        <row r="412">
          <cell r="A412" t="str">
            <v xml:space="preserve">  Production</v>
          </cell>
          <cell r="F412">
            <v>593</v>
          </cell>
        </row>
        <row r="413">
          <cell r="A413" t="str">
            <v xml:space="preserve">  Transmission </v>
          </cell>
          <cell r="F413">
            <v>169</v>
          </cell>
        </row>
        <row r="414">
          <cell r="F414" t="str">
            <v>-</v>
          </cell>
        </row>
      </sheetData>
      <sheetData sheetId="1">
        <row r="2">
          <cell r="A2" t="str">
            <v>POTOMAC ELECTRIC POWER COMPANY</v>
          </cell>
        </row>
        <row r="4">
          <cell r="A4" t="str">
            <v>Comparison of D.C. Revenue Requirement</v>
          </cell>
        </row>
        <row r="5">
          <cell r="A5" t="str">
            <v>Formal Case 939 (Per Order; 12/31/94  6&amp;6)  vs. December 1995 (Actual)</v>
          </cell>
        </row>
        <row r="6">
          <cell r="J6" t="str">
            <v>Revenue</v>
          </cell>
        </row>
        <row r="7">
          <cell r="J7" t="str">
            <v>Requirement</v>
          </cell>
        </row>
        <row r="8">
          <cell r="J8" t="str">
            <v>Including Effect</v>
          </cell>
        </row>
        <row r="9">
          <cell r="D9" t="str">
            <v>F.C. 939</v>
          </cell>
          <cell r="F9" t="str">
            <v>12 Months</v>
          </cell>
          <cell r="J9" t="str">
            <v>Of Interest</v>
          </cell>
        </row>
        <row r="10">
          <cell r="D10" t="str">
            <v>Per Order</v>
          </cell>
          <cell r="F10" t="str">
            <v>Ended 12/31/95</v>
          </cell>
          <cell r="H10" t="str">
            <v>Difference</v>
          </cell>
          <cell r="J10" t="str">
            <v>Synch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2479575</v>
          </cell>
          <cell r="H12">
            <v>-55955</v>
          </cell>
          <cell r="J12">
            <v>-8238</v>
          </cell>
          <cell r="L12">
            <v>242</v>
          </cell>
          <cell r="N12">
            <v>1178</v>
          </cell>
        </row>
        <row r="13">
          <cell r="B13" t="str">
            <v>Pollution Control CWIP</v>
          </cell>
          <cell r="D13">
            <v>4115</v>
          </cell>
          <cell r="F13">
            <v>7587</v>
          </cell>
          <cell r="H13">
            <v>3472</v>
          </cell>
          <cell r="J13">
            <v>511</v>
          </cell>
          <cell r="L13">
            <v>-15</v>
          </cell>
          <cell r="N13">
            <v>-73</v>
          </cell>
        </row>
        <row r="14">
          <cell r="B14" t="str">
            <v>Unamortized Unbilled Revenue Adj</v>
          </cell>
          <cell r="D14">
            <v>-595</v>
          </cell>
          <cell r="F14">
            <v>-1784</v>
          </cell>
          <cell r="H14">
            <v>-1189</v>
          </cell>
          <cell r="J14">
            <v>-175</v>
          </cell>
          <cell r="L14">
            <v>5</v>
          </cell>
          <cell r="N14">
            <v>25</v>
          </cell>
        </row>
        <row r="15">
          <cell r="B15" t="str">
            <v>Materials &amp; Supplies</v>
          </cell>
          <cell r="D15">
            <v>56273</v>
          </cell>
          <cell r="F15">
            <v>59473</v>
          </cell>
          <cell r="H15">
            <v>3200</v>
          </cell>
          <cell r="J15">
            <v>471</v>
          </cell>
          <cell r="L15">
            <v>-14</v>
          </cell>
          <cell r="N15">
            <v>-67</v>
          </cell>
        </row>
        <row r="16">
          <cell r="B16" t="str">
            <v>DSM Programs (F.C. 929 vintage)</v>
          </cell>
          <cell r="D16">
            <v>18147</v>
          </cell>
          <cell r="F16">
            <v>20327</v>
          </cell>
          <cell r="H16">
            <v>2180</v>
          </cell>
          <cell r="J16">
            <v>321</v>
          </cell>
          <cell r="L16">
            <v>-9</v>
          </cell>
          <cell r="N16">
            <v>-46</v>
          </cell>
        </row>
        <row r="17">
          <cell r="B17" t="str">
            <v>Cash Working Capital</v>
          </cell>
          <cell r="D17">
            <v>39141</v>
          </cell>
          <cell r="F17">
            <v>39048</v>
          </cell>
          <cell r="H17">
            <v>-93</v>
          </cell>
          <cell r="J17">
            <v>-14</v>
          </cell>
          <cell r="L17">
            <v>0</v>
          </cell>
          <cell r="N17">
            <v>2</v>
          </cell>
        </row>
        <row r="18">
          <cell r="B18" t="str">
            <v>Accumulated Depreciation</v>
          </cell>
          <cell r="D18">
            <v>-693708</v>
          </cell>
          <cell r="F18">
            <v>-664109</v>
          </cell>
          <cell r="H18">
            <v>29599</v>
          </cell>
          <cell r="J18">
            <v>4358</v>
          </cell>
          <cell r="L18">
            <v>-128</v>
          </cell>
          <cell r="N18">
            <v>-623</v>
          </cell>
        </row>
        <row r="19">
          <cell r="B19" t="str">
            <v>Accumulated Amortization</v>
          </cell>
          <cell r="D19">
            <v>-5678</v>
          </cell>
          <cell r="F19">
            <v>-4694</v>
          </cell>
          <cell r="H19">
            <v>984</v>
          </cell>
          <cell r="J19">
            <v>145</v>
          </cell>
          <cell r="L19">
            <v>-4</v>
          </cell>
          <cell r="N19">
            <v>-21</v>
          </cell>
        </row>
        <row r="20">
          <cell r="B20" t="str">
            <v>Accumulated Deferred Taxes</v>
          </cell>
          <cell r="D20">
            <v>-281367</v>
          </cell>
          <cell r="F20">
            <v>-262891</v>
          </cell>
          <cell r="H20">
            <v>18476</v>
          </cell>
          <cell r="J20">
            <v>2720</v>
          </cell>
          <cell r="L20">
            <v>-80</v>
          </cell>
          <cell r="N20">
            <v>-389</v>
          </cell>
        </row>
        <row r="21">
          <cell r="B21" t="str">
            <v>Customer Deposits</v>
          </cell>
          <cell r="D21">
            <v>-12814</v>
          </cell>
          <cell r="F21">
            <v>-12698</v>
          </cell>
          <cell r="H21">
            <v>116</v>
          </cell>
          <cell r="J21">
            <v>17</v>
          </cell>
          <cell r="L21">
            <v>-1</v>
          </cell>
          <cell r="N21">
            <v>-2</v>
          </cell>
        </row>
        <row r="23">
          <cell r="B23" t="str">
            <v>TOTAL RATE BASE</v>
          </cell>
          <cell r="D23">
            <v>1659044</v>
          </cell>
          <cell r="F23">
            <v>1659834</v>
          </cell>
          <cell r="H23">
            <v>790</v>
          </cell>
          <cell r="J23">
            <v>116</v>
          </cell>
          <cell r="L23">
            <v>-4</v>
          </cell>
          <cell r="N23">
            <v>-16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480581</v>
          </cell>
          <cell r="H26">
            <v>-9145</v>
          </cell>
          <cell r="J26">
            <v>9145</v>
          </cell>
        </row>
        <row r="27">
          <cell r="B27" t="str">
            <v>10% GRT on Fuel In Base</v>
          </cell>
          <cell r="D27">
            <v>28143</v>
          </cell>
          <cell r="F27">
            <v>28242</v>
          </cell>
          <cell r="H27">
            <v>99</v>
          </cell>
        </row>
        <row r="28">
          <cell r="B28" t="str">
            <v xml:space="preserve">          Subtotal</v>
          </cell>
          <cell r="D28">
            <v>517869</v>
          </cell>
          <cell r="F28">
            <v>508823</v>
          </cell>
          <cell r="H28">
            <v>-9046</v>
          </cell>
        </row>
        <row r="30">
          <cell r="B30" t="str">
            <v>Fuel In Base (excl GRT)</v>
          </cell>
          <cell r="D30">
            <v>253315</v>
          </cell>
          <cell r="F30">
            <v>254200</v>
          </cell>
          <cell r="H30">
            <v>885</v>
          </cell>
        </row>
        <row r="32">
          <cell r="B32" t="str">
            <v>TOTAL BASE BEFORE GRANTED INCR</v>
          </cell>
          <cell r="D32">
            <v>771184</v>
          </cell>
          <cell r="F32">
            <v>763023</v>
          </cell>
          <cell r="H32">
            <v>-8161</v>
          </cell>
        </row>
        <row r="34">
          <cell r="B34" t="str">
            <v>Fuel Clause (excl GRT)</v>
          </cell>
          <cell r="D34">
            <v>-18178</v>
          </cell>
          <cell r="F34">
            <v>-21536</v>
          </cell>
          <cell r="H34">
            <v>-3358</v>
          </cell>
        </row>
        <row r="35">
          <cell r="B35" t="str">
            <v>10% GRT on Fuel Clause Revenue</v>
          </cell>
          <cell r="D35">
            <v>-2020</v>
          </cell>
          <cell r="F35">
            <v>-2393</v>
          </cell>
          <cell r="H35">
            <v>-373</v>
          </cell>
        </row>
        <row r="37">
          <cell r="B37" t="str">
            <v>TOTAL FUEL CLAUSE REVENUE</v>
          </cell>
          <cell r="D37">
            <v>-20198</v>
          </cell>
          <cell r="F37">
            <v>-23929</v>
          </cell>
          <cell r="H37">
            <v>-3731</v>
          </cell>
        </row>
        <row r="39">
          <cell r="B39" t="str">
            <v>SALE OF ELEC BEFORE GRANTED INCR</v>
          </cell>
          <cell r="D39">
            <v>750986</v>
          </cell>
          <cell r="F39">
            <v>739094</v>
          </cell>
          <cell r="H39">
            <v>-11892</v>
          </cell>
        </row>
        <row r="41">
          <cell r="B41" t="str">
            <v>Granted increase (10% GRT)</v>
          </cell>
          <cell r="D41">
            <v>27887</v>
          </cell>
          <cell r="H41">
            <v>-27887</v>
          </cell>
          <cell r="J41">
            <v>27887</v>
          </cell>
        </row>
        <row r="43">
          <cell r="B43" t="str">
            <v>TOTAL SALE OF ELECTRICITY</v>
          </cell>
          <cell r="D43">
            <v>778873</v>
          </cell>
          <cell r="F43">
            <v>739094</v>
          </cell>
          <cell r="H43">
            <v>-39779</v>
          </cell>
          <cell r="J43">
            <v>37032</v>
          </cell>
        </row>
        <row r="45">
          <cell r="B45" t="str">
            <v>TOTAL OTHER REVENUES</v>
          </cell>
          <cell r="D45">
            <v>3810</v>
          </cell>
          <cell r="F45">
            <v>3465</v>
          </cell>
          <cell r="H45">
            <v>-345</v>
          </cell>
          <cell r="J45">
            <v>345</v>
          </cell>
        </row>
        <row r="47">
          <cell r="A47" t="str">
            <v>TOTAL OPERATING REVENUE</v>
          </cell>
          <cell r="D47">
            <v>782683</v>
          </cell>
          <cell r="F47">
            <v>742559</v>
          </cell>
          <cell r="H47">
            <v>-40124</v>
          </cell>
          <cell r="J47">
            <v>37377</v>
          </cell>
        </row>
        <row r="49">
          <cell r="A49" t="str">
            <v>OPERATING EXPENSES</v>
          </cell>
        </row>
        <row r="50">
          <cell r="B50" t="str">
            <v>Net Fuel &amp; Interchange</v>
          </cell>
          <cell r="D50">
            <v>186628</v>
          </cell>
          <cell r="F50">
            <v>185879</v>
          </cell>
          <cell r="H50">
            <v>-749</v>
          </cell>
        </row>
        <row r="51">
          <cell r="B51" t="str">
            <v>Capacity Purchase Payments</v>
          </cell>
          <cell r="D51">
            <v>48104</v>
          </cell>
          <cell r="F51">
            <v>50157</v>
          </cell>
          <cell r="H51">
            <v>2053</v>
          </cell>
        </row>
        <row r="52">
          <cell r="B52" t="str">
            <v xml:space="preserve">                           Subtotal</v>
          </cell>
          <cell r="D52">
            <v>234732</v>
          </cell>
          <cell r="F52">
            <v>236036</v>
          </cell>
          <cell r="H52">
            <v>1304</v>
          </cell>
          <cell r="J52">
            <v>4197</v>
          </cell>
        </row>
        <row r="54">
          <cell r="B54" t="str">
            <v>Other O &amp; M</v>
          </cell>
          <cell r="D54">
            <v>127003</v>
          </cell>
          <cell r="F54">
            <v>121661</v>
          </cell>
          <cell r="H54">
            <v>-5342</v>
          </cell>
          <cell r="J54">
            <v>-5936</v>
          </cell>
        </row>
        <row r="55">
          <cell r="B55" t="str">
            <v>DSM Amortization</v>
          </cell>
          <cell r="D55">
            <v>8879</v>
          </cell>
          <cell r="F55">
            <v>5568</v>
          </cell>
          <cell r="H55">
            <v>-3311</v>
          </cell>
          <cell r="J55">
            <v>-3679</v>
          </cell>
        </row>
        <row r="56">
          <cell r="B56" t="str">
            <v>Depreciation</v>
          </cell>
          <cell r="D56">
            <v>62457</v>
          </cell>
          <cell r="F56">
            <v>61582</v>
          </cell>
          <cell r="H56">
            <v>-875</v>
          </cell>
          <cell r="J56">
            <v>-972</v>
          </cell>
        </row>
        <row r="57">
          <cell r="B57" t="str">
            <v>Amortization - Other</v>
          </cell>
          <cell r="D57">
            <v>-969</v>
          </cell>
          <cell r="F57">
            <v>-1043</v>
          </cell>
          <cell r="H57">
            <v>-74</v>
          </cell>
          <cell r="J57">
            <v>-82</v>
          </cell>
        </row>
        <row r="58">
          <cell r="B58" t="str">
            <v>Other Taxes - Excluding GRT</v>
          </cell>
          <cell r="D58">
            <v>30077</v>
          </cell>
          <cell r="F58">
            <v>29079</v>
          </cell>
          <cell r="H58">
            <v>-998</v>
          </cell>
          <cell r="J58">
            <v>-1109</v>
          </cell>
        </row>
        <row r="59">
          <cell r="B59" t="str">
            <v>Gross Receipts Tax</v>
          </cell>
          <cell r="D59">
            <v>73790</v>
          </cell>
          <cell r="F59">
            <v>73876</v>
          </cell>
          <cell r="H59">
            <v>86</v>
          </cell>
          <cell r="J59">
            <v>4553</v>
          </cell>
        </row>
        <row r="60">
          <cell r="B60" t="str">
            <v>D.C. Income Tax</v>
          </cell>
          <cell r="D60">
            <v>15286</v>
          </cell>
          <cell r="F60">
            <v>17055</v>
          </cell>
          <cell r="H60">
            <v>1769</v>
          </cell>
          <cell r="J60">
            <v>1851</v>
          </cell>
        </row>
        <row r="61">
          <cell r="B61" t="str">
            <v>Federal Income Tax</v>
          </cell>
          <cell r="D61">
            <v>49003</v>
          </cell>
          <cell r="F61">
            <v>52188</v>
          </cell>
          <cell r="H61">
            <v>3185</v>
          </cell>
          <cell r="J61">
            <v>4436</v>
          </cell>
        </row>
        <row r="63">
          <cell r="B63" t="str">
            <v>TOTAL OPERATING EXPENSES</v>
          </cell>
          <cell r="D63">
            <v>600258</v>
          </cell>
          <cell r="F63">
            <v>596002</v>
          </cell>
          <cell r="H63">
            <v>-4256</v>
          </cell>
          <cell r="J63">
            <v>3259</v>
          </cell>
        </row>
        <row r="65">
          <cell r="A65" t="str">
            <v>OPERATING INCOME</v>
          </cell>
          <cell r="D65">
            <v>182425</v>
          </cell>
          <cell r="F65">
            <v>146557</v>
          </cell>
          <cell r="H65">
            <v>-35868</v>
          </cell>
          <cell r="J65">
            <v>40636</v>
          </cell>
        </row>
        <row r="67">
          <cell r="A67" t="str">
            <v>SUBTOTAL</v>
          </cell>
          <cell r="J67">
            <v>40752</v>
          </cell>
        </row>
        <row r="72">
          <cell r="A72" t="str">
            <v>CALCULATED REVENUE REQUIREMENT</v>
          </cell>
          <cell r="D72">
            <v>-60037</v>
          </cell>
          <cell r="F72">
            <v>8206</v>
          </cell>
          <cell r="J72">
            <v>8206</v>
          </cell>
        </row>
        <row r="74">
          <cell r="A74" t="str">
            <v>Unresolved difference</v>
          </cell>
          <cell r="J74">
            <v>32546</v>
          </cell>
        </row>
      </sheetData>
      <sheetData sheetId="2">
        <row r="2">
          <cell r="A2" t="str">
            <v>POTOMAC ELECTRIC POWER COMPANY</v>
          </cell>
        </row>
        <row r="4">
          <cell r="A4" t="str">
            <v>Comparison of D.C. Revenue Requirement</v>
          </cell>
        </row>
        <row r="5">
          <cell r="A5" t="str">
            <v>December 1996 (Detailed Filing)  vs. December 1995 (Actual used in F.C. 951)</v>
          </cell>
        </row>
        <row r="6">
          <cell r="J6" t="str">
            <v>Revenue</v>
          </cell>
        </row>
        <row r="7">
          <cell r="J7" t="str">
            <v>Requirement</v>
          </cell>
        </row>
        <row r="8">
          <cell r="J8" t="str">
            <v>Including Effect</v>
          </cell>
        </row>
        <row r="9">
          <cell r="D9" t="str">
            <v>12 Months</v>
          </cell>
          <cell r="F9" t="str">
            <v>12 Months</v>
          </cell>
          <cell r="J9" t="str">
            <v>Of Interest</v>
          </cell>
        </row>
        <row r="10">
          <cell r="D10" t="str">
            <v>Ended 12/31/96</v>
          </cell>
          <cell r="F10" t="str">
            <v>Ended 12/31/95</v>
          </cell>
          <cell r="H10" t="str">
            <v>Difference</v>
          </cell>
          <cell r="J10" t="str">
            <v>Synch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2479575</v>
          </cell>
          <cell r="H12">
            <v>55955</v>
          </cell>
          <cell r="J12">
            <v>8107</v>
          </cell>
          <cell r="L12">
            <v>-242</v>
          </cell>
          <cell r="N12">
            <v>-1175</v>
          </cell>
        </row>
        <row r="13">
          <cell r="B13" t="str">
            <v>Pollution Control CWIP</v>
          </cell>
          <cell r="D13">
            <v>4115</v>
          </cell>
          <cell r="F13">
            <v>7587</v>
          </cell>
          <cell r="H13">
            <v>-3472</v>
          </cell>
          <cell r="J13">
            <v>-503</v>
          </cell>
          <cell r="L13">
            <v>15</v>
          </cell>
          <cell r="N13">
            <v>73</v>
          </cell>
        </row>
        <row r="14">
          <cell r="B14" t="str">
            <v>Unamortized Unbilled Revenue Adj</v>
          </cell>
          <cell r="D14">
            <v>-595</v>
          </cell>
          <cell r="F14">
            <v>-1784</v>
          </cell>
          <cell r="H14">
            <v>1189</v>
          </cell>
          <cell r="J14">
            <v>172</v>
          </cell>
          <cell r="L14">
            <v>-5</v>
          </cell>
          <cell r="N14">
            <v>-25</v>
          </cell>
        </row>
        <row r="15">
          <cell r="B15" t="str">
            <v>Materials &amp; Supplies</v>
          </cell>
          <cell r="D15">
            <v>56273</v>
          </cell>
          <cell r="F15">
            <v>59473</v>
          </cell>
          <cell r="H15">
            <v>-3200</v>
          </cell>
          <cell r="J15">
            <v>-464</v>
          </cell>
          <cell r="L15">
            <v>14</v>
          </cell>
          <cell r="N15">
            <v>67</v>
          </cell>
        </row>
        <row r="16">
          <cell r="B16" t="str">
            <v>DSM Programs (F.C. 929 vintage)</v>
          </cell>
          <cell r="D16">
            <v>18147</v>
          </cell>
          <cell r="F16">
            <v>20327</v>
          </cell>
          <cell r="H16">
            <v>-2180</v>
          </cell>
          <cell r="J16">
            <v>-316</v>
          </cell>
          <cell r="L16">
            <v>9</v>
          </cell>
          <cell r="N16">
            <v>46</v>
          </cell>
        </row>
        <row r="17">
          <cell r="B17" t="str">
            <v>Cash Working Capital</v>
          </cell>
          <cell r="D17">
            <v>39141</v>
          </cell>
          <cell r="F17">
            <v>39048</v>
          </cell>
          <cell r="H17">
            <v>93</v>
          </cell>
          <cell r="J17">
            <v>13</v>
          </cell>
          <cell r="L17">
            <v>0</v>
          </cell>
          <cell r="N17">
            <v>-2</v>
          </cell>
        </row>
        <row r="18">
          <cell r="B18" t="str">
            <v>Accumulated Depreciation</v>
          </cell>
          <cell r="D18">
            <v>-693708</v>
          </cell>
          <cell r="F18">
            <v>-664109</v>
          </cell>
          <cell r="H18">
            <v>-29599</v>
          </cell>
          <cell r="J18">
            <v>-4288</v>
          </cell>
          <cell r="L18">
            <v>128</v>
          </cell>
          <cell r="N18">
            <v>622</v>
          </cell>
        </row>
        <row r="19">
          <cell r="B19" t="str">
            <v>Accumulated Amortization</v>
          </cell>
          <cell r="D19">
            <v>-5678</v>
          </cell>
          <cell r="F19">
            <v>-4694</v>
          </cell>
          <cell r="H19">
            <v>-984</v>
          </cell>
          <cell r="J19">
            <v>-143</v>
          </cell>
          <cell r="L19">
            <v>4</v>
          </cell>
          <cell r="N19">
            <v>21</v>
          </cell>
        </row>
        <row r="20">
          <cell r="B20" t="str">
            <v>Accumulated Deferred Taxes</v>
          </cell>
          <cell r="D20">
            <v>-281367</v>
          </cell>
          <cell r="F20">
            <v>-262891</v>
          </cell>
          <cell r="H20">
            <v>-18476</v>
          </cell>
          <cell r="J20">
            <v>-2677</v>
          </cell>
          <cell r="L20">
            <v>80</v>
          </cell>
          <cell r="N20">
            <v>388</v>
          </cell>
        </row>
        <row r="21">
          <cell r="B21" t="str">
            <v>Customer Deposits</v>
          </cell>
          <cell r="D21">
            <v>-12814</v>
          </cell>
          <cell r="F21">
            <v>-12698</v>
          </cell>
          <cell r="H21">
            <v>-116</v>
          </cell>
          <cell r="J21">
            <v>-17</v>
          </cell>
          <cell r="L21">
            <v>1</v>
          </cell>
          <cell r="N21">
            <v>2</v>
          </cell>
        </row>
        <row r="23">
          <cell r="B23" t="str">
            <v>TOTAL RATE BASE</v>
          </cell>
          <cell r="D23">
            <v>1659044</v>
          </cell>
          <cell r="F23">
            <v>1659834</v>
          </cell>
          <cell r="H23">
            <v>-790</v>
          </cell>
          <cell r="J23">
            <v>-116</v>
          </cell>
          <cell r="K23">
            <v>-136</v>
          </cell>
          <cell r="L23">
            <v>3</v>
          </cell>
          <cell r="N23">
            <v>17</v>
          </cell>
        </row>
        <row r="25">
          <cell r="A25" t="str">
            <v>OPERATING REVENUE</v>
          </cell>
        </row>
        <row r="26">
          <cell r="B26" t="str">
            <v>Weather norm Non-fuel base (incl 10% GRT)</v>
          </cell>
          <cell r="D26">
            <v>479202</v>
          </cell>
          <cell r="F26">
            <v>476470</v>
          </cell>
          <cell r="H26">
            <v>2732</v>
          </cell>
          <cell r="J26">
            <v>-2732</v>
          </cell>
        </row>
        <row r="28">
          <cell r="B28" t="str">
            <v>ECRR - Conserv (incl. GRT)</v>
          </cell>
          <cell r="D28">
            <v>9638</v>
          </cell>
          <cell r="F28">
            <v>3763</v>
          </cell>
          <cell r="H28">
            <v>5875</v>
          </cell>
        </row>
        <row r="30">
          <cell r="B30" t="str">
            <v>ECRR CAA (Weather norm, incl. GRT)</v>
          </cell>
          <cell r="D30">
            <v>2349</v>
          </cell>
          <cell r="F30">
            <v>348</v>
          </cell>
          <cell r="H30">
            <v>2001</v>
          </cell>
          <cell r="J30">
            <v>-2001</v>
          </cell>
        </row>
        <row r="32">
          <cell r="B32" t="str">
            <v>Fuel In Base (excl GRT)</v>
          </cell>
          <cell r="D32">
            <v>253315</v>
          </cell>
          <cell r="F32">
            <v>254200</v>
          </cell>
          <cell r="H32">
            <v>-885</v>
          </cell>
        </row>
        <row r="33">
          <cell r="B33" t="str">
            <v>Fuel Clause (excl GRT)</v>
          </cell>
          <cell r="D33">
            <v>-18178</v>
          </cell>
          <cell r="F33">
            <v>-21536</v>
          </cell>
          <cell r="H33">
            <v>3358</v>
          </cell>
        </row>
        <row r="34">
          <cell r="B34" t="str">
            <v xml:space="preserve">        Total Fuel Recovery </v>
          </cell>
          <cell r="D34">
            <v>235137</v>
          </cell>
          <cell r="F34">
            <v>232664</v>
          </cell>
          <cell r="H34">
            <v>2473</v>
          </cell>
        </row>
        <row r="36">
          <cell r="B36" t="str">
            <v>10% GRT on Fuel Clause Revenue</v>
          </cell>
          <cell r="D36">
            <v>-2020</v>
          </cell>
          <cell r="F36">
            <v>-2393</v>
          </cell>
          <cell r="H36">
            <v>373</v>
          </cell>
        </row>
        <row r="37">
          <cell r="B37" t="str">
            <v>10% GRT on Fuel In Base</v>
          </cell>
          <cell r="D37">
            <v>28143</v>
          </cell>
          <cell r="F37">
            <v>28242</v>
          </cell>
          <cell r="H37">
            <v>-99</v>
          </cell>
        </row>
        <row r="39">
          <cell r="B39" t="str">
            <v>TOTAL FUEL  REVENUE (FIB + Fuel Clause)</v>
          </cell>
          <cell r="D39">
            <v>261260</v>
          </cell>
          <cell r="F39">
            <v>258513</v>
          </cell>
          <cell r="H39">
            <v>2747</v>
          </cell>
        </row>
        <row r="41">
          <cell r="B41" t="str">
            <v>TOTAL SALE OF ELECTRICITY</v>
          </cell>
          <cell r="D41">
            <v>752449</v>
          </cell>
          <cell r="F41">
            <v>739094</v>
          </cell>
          <cell r="H41">
            <v>13355</v>
          </cell>
          <cell r="J41">
            <v>-4733</v>
          </cell>
        </row>
        <row r="43">
          <cell r="B43" t="str">
            <v>TOTAL OTHER REVENUES</v>
          </cell>
          <cell r="D43">
            <v>3810</v>
          </cell>
          <cell r="F43">
            <v>3465</v>
          </cell>
          <cell r="H43">
            <v>345</v>
          </cell>
          <cell r="J43">
            <v>-345</v>
          </cell>
        </row>
        <row r="45">
          <cell r="A45" t="str">
            <v>TOTAL OPERATING REVENUE</v>
          </cell>
          <cell r="D45">
            <v>756259</v>
          </cell>
          <cell r="F45">
            <v>742559</v>
          </cell>
          <cell r="H45">
            <v>13700</v>
          </cell>
          <cell r="J45">
            <v>-5078</v>
          </cell>
        </row>
        <row r="47">
          <cell r="A47" t="str">
            <v>OPERATING EXPENSES</v>
          </cell>
        </row>
        <row r="48">
          <cell r="B48" t="str">
            <v>Net Fuel &amp; Interchange</v>
          </cell>
          <cell r="D48">
            <v>186628</v>
          </cell>
          <cell r="F48">
            <v>185879</v>
          </cell>
          <cell r="H48">
            <v>749</v>
          </cell>
        </row>
        <row r="49">
          <cell r="B49" t="str">
            <v>Capacity Purchase Payments</v>
          </cell>
          <cell r="D49">
            <v>48104</v>
          </cell>
          <cell r="F49">
            <v>50157</v>
          </cell>
          <cell r="H49">
            <v>-2053</v>
          </cell>
        </row>
        <row r="50">
          <cell r="B50" t="str">
            <v xml:space="preserve">                           Subtotal</v>
          </cell>
          <cell r="D50">
            <v>234732</v>
          </cell>
          <cell r="F50">
            <v>236036</v>
          </cell>
          <cell r="H50">
            <v>-1304</v>
          </cell>
          <cell r="J50">
            <v>-4197</v>
          </cell>
        </row>
        <row r="52">
          <cell r="B52" t="str">
            <v>Other O &amp; M</v>
          </cell>
          <cell r="D52">
            <v>127003</v>
          </cell>
          <cell r="F52">
            <v>121661</v>
          </cell>
          <cell r="H52">
            <v>5342</v>
          </cell>
          <cell r="J52">
            <v>5936</v>
          </cell>
        </row>
        <row r="53">
          <cell r="B53" t="str">
            <v>DSM Amortization - F.C. 929</v>
          </cell>
          <cell r="D53">
            <v>2181</v>
          </cell>
          <cell r="F53">
            <v>2181</v>
          </cell>
          <cell r="H53">
            <v>0</v>
          </cell>
          <cell r="J53">
            <v>0</v>
          </cell>
        </row>
        <row r="54">
          <cell r="B54" t="str">
            <v>DSM Amortization  - ECRR consv. component</v>
          </cell>
          <cell r="D54">
            <v>6698</v>
          </cell>
          <cell r="F54">
            <v>3387</v>
          </cell>
          <cell r="H54">
            <v>3311</v>
          </cell>
          <cell r="J54">
            <v>-2196</v>
          </cell>
        </row>
        <row r="55">
          <cell r="B55" t="str">
            <v>Depreciation</v>
          </cell>
          <cell r="D55">
            <v>62457</v>
          </cell>
          <cell r="F55">
            <v>61582</v>
          </cell>
          <cell r="H55">
            <v>875</v>
          </cell>
          <cell r="J55">
            <v>972</v>
          </cell>
        </row>
        <row r="56">
          <cell r="B56" t="str">
            <v>Amortization - Other</v>
          </cell>
          <cell r="D56">
            <v>-969</v>
          </cell>
          <cell r="F56">
            <v>-1043</v>
          </cell>
          <cell r="H56">
            <v>74</v>
          </cell>
          <cell r="J56">
            <v>82</v>
          </cell>
        </row>
        <row r="57">
          <cell r="B57" t="str">
            <v>Other Taxes - Excluding GRT</v>
          </cell>
          <cell r="D57">
            <v>30077</v>
          </cell>
          <cell r="F57">
            <v>29079</v>
          </cell>
          <cell r="H57">
            <v>998</v>
          </cell>
          <cell r="J57">
            <v>1109</v>
          </cell>
        </row>
        <row r="58">
          <cell r="B58" t="str">
            <v>Gross Receipts Tax</v>
          </cell>
          <cell r="D58">
            <v>73790</v>
          </cell>
          <cell r="F58">
            <v>73876</v>
          </cell>
          <cell r="H58">
            <v>-86</v>
          </cell>
          <cell r="J58">
            <v>-1467</v>
          </cell>
        </row>
        <row r="59">
          <cell r="B59" t="str">
            <v>D.C. Income Tax</v>
          </cell>
          <cell r="D59">
            <v>15286</v>
          </cell>
          <cell r="F59">
            <v>17055</v>
          </cell>
          <cell r="H59">
            <v>-1769</v>
          </cell>
          <cell r="J59">
            <v>-2515</v>
          </cell>
        </row>
        <row r="60">
          <cell r="B60" t="str">
            <v>Federal Income Tax</v>
          </cell>
          <cell r="D60">
            <v>49003</v>
          </cell>
          <cell r="F60">
            <v>52188</v>
          </cell>
          <cell r="H60">
            <v>-3185</v>
          </cell>
          <cell r="J60">
            <v>-7660</v>
          </cell>
        </row>
        <row r="62">
          <cell r="B62" t="str">
            <v>TOTAL OPERATING EXPENSES</v>
          </cell>
          <cell r="D62">
            <v>600258</v>
          </cell>
          <cell r="F62">
            <v>596002</v>
          </cell>
          <cell r="H62">
            <v>4256</v>
          </cell>
          <cell r="J62">
            <v>-9936</v>
          </cell>
        </row>
        <row r="64">
          <cell r="A64" t="str">
            <v>OPERATING INCOME</v>
          </cell>
          <cell r="D64">
            <v>156001</v>
          </cell>
          <cell r="F64">
            <v>146557</v>
          </cell>
          <cell r="H64">
            <v>9444</v>
          </cell>
          <cell r="J64">
            <v>-15014</v>
          </cell>
        </row>
        <row r="66">
          <cell r="A66" t="str">
            <v>SUBTOTAL</v>
          </cell>
          <cell r="J66">
            <v>-15130</v>
          </cell>
        </row>
        <row r="68">
          <cell r="A68" t="str">
            <v>CALCULATED REVENUE REQUIREMENT</v>
          </cell>
          <cell r="D68">
            <v>-9860</v>
          </cell>
          <cell r="F68">
            <v>8206</v>
          </cell>
          <cell r="J68">
            <v>-18066</v>
          </cell>
        </row>
        <row r="70">
          <cell r="A70" t="str">
            <v>Unresolved difference</v>
          </cell>
          <cell r="J70">
            <v>-2936</v>
          </cell>
        </row>
        <row r="72">
          <cell r="B72" t="str">
            <v>W/C non-fuel base</v>
          </cell>
          <cell r="D72">
            <v>479202</v>
          </cell>
          <cell r="F72">
            <v>476470</v>
          </cell>
        </row>
        <row r="73">
          <cell r="B73" t="str">
            <v>ECRR Clean Air surcharge revenue</v>
          </cell>
          <cell r="D73">
            <v>2349</v>
          </cell>
          <cell r="F73">
            <v>348</v>
          </cell>
        </row>
        <row r="74">
          <cell r="D74">
            <v>481551</v>
          </cell>
          <cell r="F74">
            <v>476818</v>
          </cell>
        </row>
        <row r="76">
          <cell r="B76" t="str">
            <v>Weather-normalized MWH</v>
          </cell>
          <cell r="D76">
            <v>10137317</v>
          </cell>
          <cell r="F76">
            <v>10231788</v>
          </cell>
        </row>
        <row r="78">
          <cell r="D78">
            <v>4.7502999999999997E-2</v>
          </cell>
          <cell r="F78">
            <v>4.6601999999999998E-2</v>
          </cell>
        </row>
        <row r="80">
          <cell r="B80" t="str">
            <v>Revenue difference due to rate</v>
          </cell>
          <cell r="D80">
            <v>-9134</v>
          </cell>
        </row>
        <row r="81">
          <cell r="B81" t="str">
            <v>Revenue difference due to KWH</v>
          </cell>
          <cell r="D81">
            <v>4403</v>
          </cell>
        </row>
        <row r="82">
          <cell r="D82">
            <v>-4731</v>
          </cell>
        </row>
      </sheetData>
      <sheetData sheetId="3">
        <row r="2">
          <cell r="A2" t="str">
            <v>POTOMAC ELECTRIC POWER COMPANY</v>
          </cell>
        </row>
        <row r="3">
          <cell r="A3" t="str">
            <v>District of Columbia</v>
          </cell>
        </row>
        <row r="4">
          <cell r="A4" t="str">
            <v>Analysis of Revenue Requirement -- Twelve Months Ended December 31, 1995 vs. 1996</v>
          </cell>
        </row>
        <row r="6">
          <cell r="A6" t="str">
            <v>(DOLLARS IN THOUSANDS)</v>
          </cell>
        </row>
        <row r="7">
          <cell r="G7" t="str">
            <v>Non-Fuel Base</v>
          </cell>
          <cell r="W7" t="str">
            <v>D.C. Adjusted</v>
          </cell>
        </row>
        <row r="8">
          <cell r="C8" t="str">
            <v xml:space="preserve"> 1995</v>
          </cell>
          <cell r="E8" t="str">
            <v>Rate</v>
          </cell>
          <cell r="G8" t="str">
            <v>plus Other</v>
          </cell>
          <cell r="I8" t="str">
            <v>ECRR</v>
          </cell>
          <cell r="O8" t="str">
            <v>Depreciation</v>
          </cell>
          <cell r="Q8" t="str">
            <v>'Other'</v>
          </cell>
          <cell r="U8" t="str">
            <v xml:space="preserve">Other </v>
          </cell>
          <cell r="W8" t="str">
            <v>12 Mos. Ended</v>
          </cell>
        </row>
        <row r="9">
          <cell r="C9" t="str">
            <v>F.C. 951</v>
          </cell>
          <cell r="E9" t="str">
            <v>Base</v>
          </cell>
          <cell r="G9" t="str">
            <v>Revenues</v>
          </cell>
          <cell r="I9" t="str">
            <v>Surcharge</v>
          </cell>
          <cell r="K9" t="str">
            <v>Fuel-Related</v>
          </cell>
          <cell r="M9" t="str">
            <v>Other O &amp; M</v>
          </cell>
          <cell r="O9" t="str">
            <v>&amp; Amort.</v>
          </cell>
          <cell r="Q9" t="str">
            <v>Other Taxes</v>
          </cell>
          <cell r="S9" t="str">
            <v>Schedule M</v>
          </cell>
          <cell r="U9" t="str">
            <v>Impacts</v>
          </cell>
          <cell r="W9" t="str">
            <v>12/31/96</v>
          </cell>
        </row>
        <row r="10">
          <cell r="A10" t="str">
            <v>RATE BASE</v>
          </cell>
        </row>
        <row r="11">
          <cell r="B11" t="str">
            <v>EPIS, PC CWIP</v>
          </cell>
          <cell r="C11">
            <v>2487162</v>
          </cell>
          <cell r="E11">
            <v>52483</v>
          </cell>
          <cell r="W11">
            <v>2539645</v>
          </cell>
        </row>
        <row r="12">
          <cell r="B12" t="str">
            <v>Accum Depr, ADT</v>
          </cell>
          <cell r="C12">
            <v>-927000</v>
          </cell>
          <cell r="E12">
            <v>-48075</v>
          </cell>
          <cell r="W12">
            <v>-975075</v>
          </cell>
        </row>
        <row r="13">
          <cell r="B13" t="str">
            <v>M &amp; S</v>
          </cell>
          <cell r="C13">
            <v>59473</v>
          </cell>
          <cell r="E13">
            <v>-3200</v>
          </cell>
          <cell r="W13">
            <v>56273</v>
          </cell>
        </row>
        <row r="14">
          <cell r="B14" t="str">
            <v>CWC</v>
          </cell>
          <cell r="C14">
            <v>39048</v>
          </cell>
          <cell r="E14">
            <v>93</v>
          </cell>
          <cell r="W14">
            <v>39141</v>
          </cell>
        </row>
        <row r="15">
          <cell r="B15" t="str">
            <v>Other</v>
          </cell>
          <cell r="C15">
            <v>1151</v>
          </cell>
          <cell r="E15">
            <v>-2091</v>
          </cell>
          <cell r="W15">
            <v>-940</v>
          </cell>
        </row>
        <row r="17">
          <cell r="B17" t="str">
            <v>Total Rate Base</v>
          </cell>
          <cell r="C17">
            <v>1659834</v>
          </cell>
          <cell r="E17">
            <v>-790</v>
          </cell>
          <cell r="W17">
            <v>1659044</v>
          </cell>
        </row>
        <row r="19">
          <cell r="A19" t="str">
            <v>OPERATING REVENUE</v>
          </cell>
        </row>
        <row r="20">
          <cell r="B20" t="str">
            <v>Non-fuel Base incl GRT</v>
          </cell>
          <cell r="C20">
            <v>476470</v>
          </cell>
          <cell r="G20">
            <v>2732</v>
          </cell>
          <cell r="W20">
            <v>479202</v>
          </cell>
        </row>
        <row r="21">
          <cell r="B21" t="str">
            <v>Old CAAA Surcharge</v>
          </cell>
          <cell r="C21">
            <v>0</v>
          </cell>
          <cell r="G21">
            <v>0</v>
          </cell>
          <cell r="W21">
            <v>0</v>
          </cell>
        </row>
        <row r="22">
          <cell r="B22" t="str">
            <v xml:space="preserve">    Subtotal</v>
          </cell>
          <cell r="C22">
            <v>476470</v>
          </cell>
          <cell r="G22">
            <v>2732</v>
          </cell>
          <cell r="W22">
            <v>479202</v>
          </cell>
        </row>
        <row r="24">
          <cell r="B24" t="str">
            <v>Fuel in Base excl GRT</v>
          </cell>
          <cell r="C24">
            <v>254200</v>
          </cell>
          <cell r="K24">
            <v>-885</v>
          </cell>
          <cell r="W24">
            <v>253315</v>
          </cell>
        </row>
        <row r="25">
          <cell r="B25" t="str">
            <v>Fuel Adj. Clause excl GRT</v>
          </cell>
          <cell r="C25">
            <v>-21536</v>
          </cell>
          <cell r="K25">
            <v>3358</v>
          </cell>
          <cell r="W25">
            <v>-18178</v>
          </cell>
        </row>
        <row r="26">
          <cell r="B26" t="str">
            <v>GRT on FIB &amp; FAC</v>
          </cell>
          <cell r="C26">
            <v>25849</v>
          </cell>
          <cell r="K26">
            <v>274</v>
          </cell>
          <cell r="W26">
            <v>26123</v>
          </cell>
        </row>
        <row r="28">
          <cell r="B28" t="str">
            <v>ECRR Surcharge</v>
          </cell>
        </row>
        <row r="29">
          <cell r="B29" t="str">
            <v xml:space="preserve">    Clean Air Component</v>
          </cell>
          <cell r="C29">
            <v>348</v>
          </cell>
          <cell r="I29">
            <v>2001</v>
          </cell>
          <cell r="W29">
            <v>2349</v>
          </cell>
        </row>
        <row r="30">
          <cell r="B30" t="str">
            <v xml:space="preserve">    Conservation Component</v>
          </cell>
          <cell r="C30">
            <v>3763</v>
          </cell>
          <cell r="I30">
            <v>5875</v>
          </cell>
          <cell r="W30">
            <v>9638</v>
          </cell>
        </row>
        <row r="32">
          <cell r="B32" t="str">
            <v>Other  Revenue</v>
          </cell>
          <cell r="C32">
            <v>3465</v>
          </cell>
          <cell r="G32">
            <v>345</v>
          </cell>
          <cell r="W32">
            <v>3810</v>
          </cell>
        </row>
        <row r="34">
          <cell r="B34" t="str">
            <v>Total Operating Revenue</v>
          </cell>
          <cell r="C34">
            <v>742559</v>
          </cell>
          <cell r="G34">
            <v>3077</v>
          </cell>
          <cell r="I34">
            <v>7876</v>
          </cell>
          <cell r="K34">
            <v>2747</v>
          </cell>
          <cell r="W34">
            <v>756259</v>
          </cell>
        </row>
        <row r="36">
          <cell r="A36" t="str">
            <v>OPERATING EXPENSE</v>
          </cell>
        </row>
        <row r="37">
          <cell r="B37" t="str">
            <v>Recoverable F &amp; I</v>
          </cell>
          <cell r="C37">
            <v>178834</v>
          </cell>
          <cell r="K37">
            <v>1145</v>
          </cell>
          <cell r="W37">
            <v>179979</v>
          </cell>
        </row>
        <row r="38">
          <cell r="B38" t="str">
            <v>Non-recoverable fuel</v>
          </cell>
          <cell r="C38">
            <v>7045</v>
          </cell>
          <cell r="M38">
            <v>-396</v>
          </cell>
          <cell r="W38">
            <v>6649</v>
          </cell>
        </row>
        <row r="39">
          <cell r="B39" t="str">
            <v xml:space="preserve">   Total F &amp; I</v>
          </cell>
          <cell r="C39">
            <v>185879</v>
          </cell>
          <cell r="W39">
            <v>186628</v>
          </cell>
        </row>
        <row r="41">
          <cell r="B41" t="str">
            <v>Capacity Purchases</v>
          </cell>
          <cell r="C41">
            <v>50157</v>
          </cell>
          <cell r="K41">
            <v>-2053</v>
          </cell>
          <cell r="W41">
            <v>48104</v>
          </cell>
        </row>
        <row r="42">
          <cell r="B42" t="str">
            <v>Other O &amp; M</v>
          </cell>
          <cell r="C42">
            <v>121661</v>
          </cell>
          <cell r="M42">
            <v>5342</v>
          </cell>
          <cell r="W42">
            <v>127003</v>
          </cell>
        </row>
        <row r="43">
          <cell r="B43" t="str">
            <v>DSM Amortization</v>
          </cell>
          <cell r="C43">
            <v>5568</v>
          </cell>
          <cell r="I43">
            <v>3311</v>
          </cell>
          <cell r="W43">
            <v>8879</v>
          </cell>
        </row>
        <row r="44">
          <cell r="B44" t="str">
            <v>Other Amortization</v>
          </cell>
          <cell r="C44">
            <v>-1043</v>
          </cell>
          <cell r="O44">
            <v>74</v>
          </cell>
          <cell r="W44">
            <v>-969</v>
          </cell>
        </row>
        <row r="45">
          <cell r="B45" t="str">
            <v>Depreciation</v>
          </cell>
          <cell r="C45">
            <v>61582</v>
          </cell>
          <cell r="O45">
            <v>875</v>
          </cell>
          <cell r="W45">
            <v>62457</v>
          </cell>
        </row>
        <row r="46">
          <cell r="B46" t="str">
            <v>'Other' Other taxes</v>
          </cell>
          <cell r="C46">
            <v>29079</v>
          </cell>
          <cell r="Q46">
            <v>998</v>
          </cell>
          <cell r="W46">
            <v>30077</v>
          </cell>
        </row>
        <row r="48">
          <cell r="B48" t="str">
            <v>GRT @ 10% of rev change</v>
          </cell>
          <cell r="C48">
            <v>73876</v>
          </cell>
          <cell r="G48">
            <v>308</v>
          </cell>
          <cell r="I48">
            <v>788</v>
          </cell>
          <cell r="K48">
            <v>275</v>
          </cell>
          <cell r="U48">
            <v>-1457</v>
          </cell>
          <cell r="W48">
            <v>73790</v>
          </cell>
        </row>
        <row r="50">
          <cell r="B50" t="str">
            <v>DCIT @ 9.975% of op inc chng</v>
          </cell>
          <cell r="C50">
            <v>17055</v>
          </cell>
          <cell r="G50">
            <v>276</v>
          </cell>
          <cell r="I50">
            <v>377</v>
          </cell>
          <cell r="K50">
            <v>337</v>
          </cell>
          <cell r="M50">
            <v>-493</v>
          </cell>
          <cell r="O50">
            <v>-95</v>
          </cell>
          <cell r="Q50">
            <v>-100</v>
          </cell>
          <cell r="S50">
            <v>395</v>
          </cell>
          <cell r="U50">
            <v>-2466</v>
          </cell>
          <cell r="W50">
            <v>15286</v>
          </cell>
        </row>
        <row r="52">
          <cell r="B52" t="str">
            <v>FIT @ 35% of op inc change</v>
          </cell>
          <cell r="C52">
            <v>52188</v>
          </cell>
          <cell r="G52">
            <v>873</v>
          </cell>
          <cell r="I52">
            <v>1190</v>
          </cell>
          <cell r="K52">
            <v>1065</v>
          </cell>
          <cell r="M52">
            <v>-1559</v>
          </cell>
          <cell r="O52">
            <v>-299</v>
          </cell>
          <cell r="Q52">
            <v>-314</v>
          </cell>
          <cell r="S52">
            <v>941</v>
          </cell>
          <cell r="U52">
            <v>-5082</v>
          </cell>
          <cell r="W52">
            <v>49003</v>
          </cell>
        </row>
        <row r="54">
          <cell r="B54" t="str">
            <v>Total Operating Expense</v>
          </cell>
          <cell r="C54">
            <v>596002</v>
          </cell>
          <cell r="G54">
            <v>1457</v>
          </cell>
          <cell r="I54">
            <v>5666</v>
          </cell>
          <cell r="K54">
            <v>769</v>
          </cell>
          <cell r="M54">
            <v>2894</v>
          </cell>
          <cell r="O54">
            <v>555</v>
          </cell>
          <cell r="Q54">
            <v>584</v>
          </cell>
          <cell r="S54">
            <v>1336</v>
          </cell>
          <cell r="U54">
            <v>-9005</v>
          </cell>
          <cell r="W54">
            <v>600258</v>
          </cell>
        </row>
        <row r="56">
          <cell r="A56" t="str">
            <v>OPERATING INCOME</v>
          </cell>
          <cell r="C56">
            <v>146557</v>
          </cell>
          <cell r="G56">
            <v>1620</v>
          </cell>
          <cell r="I56">
            <v>2210</v>
          </cell>
          <cell r="K56">
            <v>1978</v>
          </cell>
          <cell r="M56">
            <v>-2894</v>
          </cell>
          <cell r="O56">
            <v>-555</v>
          </cell>
          <cell r="Q56">
            <v>-584</v>
          </cell>
          <cell r="S56">
            <v>-1336</v>
          </cell>
          <cell r="U56">
            <v>9005</v>
          </cell>
          <cell r="W56">
            <v>156001</v>
          </cell>
        </row>
        <row r="59">
          <cell r="A59" t="str">
            <v>AUTHORIZED RATE OF RETURN</v>
          </cell>
          <cell r="C59">
            <v>9.0900000000000009E-2</v>
          </cell>
          <cell r="W59">
            <v>9.0900000000000009E-2</v>
          </cell>
        </row>
        <row r="62">
          <cell r="A62" t="str">
            <v>REVENUE REQUIREMENT</v>
          </cell>
          <cell r="C62">
            <v>8206</v>
          </cell>
          <cell r="E62">
            <v>-136</v>
          </cell>
          <cell r="G62">
            <v>-3076</v>
          </cell>
          <cell r="I62">
            <v>-4196</v>
          </cell>
          <cell r="K62">
            <v>-3756</v>
          </cell>
          <cell r="M62">
            <v>5495</v>
          </cell>
          <cell r="O62">
            <v>1054</v>
          </cell>
          <cell r="Q62">
            <v>1109</v>
          </cell>
          <cell r="S62">
            <v>2537</v>
          </cell>
          <cell r="U62">
            <v>-8891</v>
          </cell>
          <cell r="W62">
            <v>-9860</v>
          </cell>
        </row>
        <row r="65">
          <cell r="U65">
            <v>17098.765736845726</v>
          </cell>
        </row>
        <row r="66">
          <cell r="S66" t="str">
            <v>rev req of i/s</v>
          </cell>
          <cell r="U66">
            <v>8207.7657368457258</v>
          </cell>
        </row>
      </sheetData>
      <sheetData sheetId="4">
        <row r="2">
          <cell r="A2" t="str">
            <v>Calendar year 1995</v>
          </cell>
        </row>
        <row r="4">
          <cell r="G4" t="str">
            <v>DC alloc</v>
          </cell>
        </row>
        <row r="5">
          <cell r="D5" t="str">
            <v>Direct</v>
          </cell>
          <cell r="E5" t="str">
            <v>Syst</v>
          </cell>
          <cell r="G5" t="str">
            <v>syst @</v>
          </cell>
        </row>
        <row r="6">
          <cell r="B6" t="str">
            <v xml:space="preserve">syst </v>
          </cell>
          <cell r="C6" t="str">
            <v>DC</v>
          </cell>
          <cell r="D6" t="str">
            <v>DCIT</v>
          </cell>
          <cell r="E6" t="str">
            <v>DCIT</v>
          </cell>
          <cell r="G6" t="str">
            <v>.09975</v>
          </cell>
        </row>
        <row r="8">
          <cell r="A8" t="str">
            <v>depr</v>
          </cell>
          <cell r="C8">
            <v>-15</v>
          </cell>
          <cell r="D8">
            <v>1</v>
          </cell>
        </row>
        <row r="9">
          <cell r="C9">
            <v>345</v>
          </cell>
          <cell r="D9">
            <v>-34</v>
          </cell>
        </row>
        <row r="10">
          <cell r="B10">
            <v>-39</v>
          </cell>
          <cell r="C10">
            <v>-14</v>
          </cell>
          <cell r="E10">
            <v>2</v>
          </cell>
          <cell r="G10">
            <v>1</v>
          </cell>
        </row>
        <row r="14">
          <cell r="A14" t="str">
            <v>rev</v>
          </cell>
          <cell r="C14">
            <v>8427</v>
          </cell>
          <cell r="D14">
            <v>841</v>
          </cell>
        </row>
        <row r="16">
          <cell r="A16" t="str">
            <v>def fuel</v>
          </cell>
          <cell r="C16">
            <v>122</v>
          </cell>
          <cell r="D16">
            <v>-12</v>
          </cell>
        </row>
        <row r="18">
          <cell r="A18" t="str">
            <v>other tax</v>
          </cell>
          <cell r="C18">
            <v>843</v>
          </cell>
          <cell r="D18">
            <v>-84</v>
          </cell>
        </row>
        <row r="19">
          <cell r="B19">
            <v>-273</v>
          </cell>
          <cell r="C19">
            <v>-106</v>
          </cell>
          <cell r="E19">
            <v>12</v>
          </cell>
          <cell r="G19">
            <v>11</v>
          </cell>
        </row>
        <row r="20">
          <cell r="B20">
            <v>-592</v>
          </cell>
          <cell r="C20">
            <v>-231</v>
          </cell>
          <cell r="E20">
            <v>26</v>
          </cell>
          <cell r="G20">
            <v>23</v>
          </cell>
        </row>
        <row r="21">
          <cell r="B21">
            <v>1775</v>
          </cell>
          <cell r="C21">
            <v>473</v>
          </cell>
          <cell r="E21">
            <v>-78</v>
          </cell>
          <cell r="G21">
            <v>-47</v>
          </cell>
        </row>
        <row r="22">
          <cell r="B22">
            <v>514</v>
          </cell>
          <cell r="C22">
            <v>200</v>
          </cell>
          <cell r="E22">
            <v>-23</v>
          </cell>
          <cell r="G22">
            <v>-20</v>
          </cell>
        </row>
        <row r="23">
          <cell r="D23">
            <v>279</v>
          </cell>
        </row>
        <row r="27">
          <cell r="A27" t="str">
            <v>interest</v>
          </cell>
          <cell r="C27">
            <v>-369</v>
          </cell>
          <cell r="D27">
            <v>37</v>
          </cell>
        </row>
        <row r="28">
          <cell r="C28">
            <v>-23</v>
          </cell>
          <cell r="D28">
            <v>2</v>
          </cell>
        </row>
        <row r="31">
          <cell r="A31" t="str">
            <v>other o&amp;m</v>
          </cell>
          <cell r="B31">
            <v>6130</v>
          </cell>
          <cell r="C31">
            <v>2389</v>
          </cell>
          <cell r="E31">
            <v>-270</v>
          </cell>
          <cell r="G31">
            <v>-238</v>
          </cell>
        </row>
        <row r="32">
          <cell r="B32">
            <v>-3527</v>
          </cell>
          <cell r="C32">
            <v>-1374</v>
          </cell>
          <cell r="E32">
            <v>156</v>
          </cell>
          <cell r="G32">
            <v>137</v>
          </cell>
        </row>
        <row r="33">
          <cell r="B33">
            <v>-7999</v>
          </cell>
          <cell r="C33">
            <v>-3117</v>
          </cell>
          <cell r="E33">
            <v>353</v>
          </cell>
          <cell r="G33">
            <v>311</v>
          </cell>
        </row>
        <row r="34">
          <cell r="B34">
            <v>-672</v>
          </cell>
          <cell r="C34">
            <v>-262</v>
          </cell>
          <cell r="E34">
            <v>30</v>
          </cell>
          <cell r="G34">
            <v>26</v>
          </cell>
        </row>
        <row r="35">
          <cell r="B35">
            <v>-216</v>
          </cell>
          <cell r="C35">
            <v>-84</v>
          </cell>
          <cell r="E35">
            <v>10</v>
          </cell>
          <cell r="G35">
            <v>8</v>
          </cell>
        </row>
        <row r="36">
          <cell r="B36">
            <v>-1097</v>
          </cell>
          <cell r="C36">
            <v>-428</v>
          </cell>
          <cell r="E36">
            <v>48</v>
          </cell>
          <cell r="G36">
            <v>43</v>
          </cell>
        </row>
        <row r="37">
          <cell r="B37">
            <v>-888</v>
          </cell>
          <cell r="C37">
            <v>-346</v>
          </cell>
          <cell r="E37">
            <v>39</v>
          </cell>
          <cell r="G37">
            <v>35</v>
          </cell>
        </row>
        <row r="38">
          <cell r="B38">
            <v>208</v>
          </cell>
          <cell r="D38">
            <v>-21</v>
          </cell>
        </row>
        <row r="41">
          <cell r="D41">
            <v>1009</v>
          </cell>
          <cell r="E41">
            <v>305</v>
          </cell>
          <cell r="F41">
            <v>1314</v>
          </cell>
          <cell r="G41">
            <v>290</v>
          </cell>
        </row>
        <row r="42">
          <cell r="G42">
            <v>-305</v>
          </cell>
        </row>
        <row r="43">
          <cell r="G43">
            <v>-15</v>
          </cell>
        </row>
        <row r="48">
          <cell r="A48" t="str">
            <v>Formal Case No. 939</v>
          </cell>
        </row>
        <row r="50">
          <cell r="G50" t="str">
            <v>DC alloc</v>
          </cell>
        </row>
        <row r="51">
          <cell r="D51" t="str">
            <v>Direct</v>
          </cell>
          <cell r="E51" t="str">
            <v>Syst</v>
          </cell>
          <cell r="G51" t="str">
            <v>syst @</v>
          </cell>
        </row>
        <row r="52">
          <cell r="B52" t="str">
            <v xml:space="preserve">syst </v>
          </cell>
          <cell r="C52" t="str">
            <v>DC</v>
          </cell>
          <cell r="D52" t="str">
            <v>DCIT</v>
          </cell>
          <cell r="E52" t="str">
            <v>DCIT</v>
          </cell>
          <cell r="G52" t="str">
            <v>.09975</v>
          </cell>
        </row>
        <row r="54">
          <cell r="A54" t="str">
            <v>depr</v>
          </cell>
          <cell r="C54">
            <v>-15</v>
          </cell>
          <cell r="D54">
            <v>1</v>
          </cell>
        </row>
        <row r="55">
          <cell r="C55">
            <v>345</v>
          </cell>
          <cell r="D55">
            <v>-34</v>
          </cell>
        </row>
        <row r="56">
          <cell r="B56">
            <v>-39</v>
          </cell>
          <cell r="C56">
            <v>-14</v>
          </cell>
          <cell r="E56">
            <v>2</v>
          </cell>
          <cell r="G56">
            <v>1</v>
          </cell>
        </row>
        <row r="60">
          <cell r="A60" t="str">
            <v>rev</v>
          </cell>
          <cell r="C60">
            <v>8427</v>
          </cell>
          <cell r="D60">
            <v>841</v>
          </cell>
        </row>
        <row r="62">
          <cell r="A62" t="str">
            <v>def fuel</v>
          </cell>
          <cell r="C62">
            <v>122</v>
          </cell>
          <cell r="D62">
            <v>-12</v>
          </cell>
        </row>
        <row r="64">
          <cell r="A64" t="str">
            <v>other tax</v>
          </cell>
          <cell r="C64">
            <v>843</v>
          </cell>
          <cell r="D64">
            <v>-84</v>
          </cell>
        </row>
        <row r="65">
          <cell r="B65">
            <v>-273</v>
          </cell>
          <cell r="C65">
            <v>-106</v>
          </cell>
          <cell r="E65">
            <v>12</v>
          </cell>
          <cell r="G65">
            <v>11</v>
          </cell>
        </row>
        <row r="66">
          <cell r="B66">
            <v>-592</v>
          </cell>
          <cell r="C66">
            <v>-231</v>
          </cell>
          <cell r="E66">
            <v>26</v>
          </cell>
          <cell r="G66">
            <v>23</v>
          </cell>
        </row>
        <row r="67">
          <cell r="B67">
            <v>1775</v>
          </cell>
          <cell r="C67">
            <v>473</v>
          </cell>
          <cell r="E67">
            <v>-78</v>
          </cell>
          <cell r="G67">
            <v>-47</v>
          </cell>
        </row>
        <row r="68">
          <cell r="B68">
            <v>514</v>
          </cell>
          <cell r="C68">
            <v>200</v>
          </cell>
          <cell r="E68">
            <v>-23</v>
          </cell>
          <cell r="G68">
            <v>-20</v>
          </cell>
        </row>
        <row r="69">
          <cell r="D69">
            <v>279</v>
          </cell>
        </row>
        <row r="73">
          <cell r="A73" t="str">
            <v>interest</v>
          </cell>
          <cell r="C73">
            <v>-369</v>
          </cell>
          <cell r="D73">
            <v>37</v>
          </cell>
        </row>
        <row r="74">
          <cell r="C74">
            <v>-23</v>
          </cell>
          <cell r="D74">
            <v>2</v>
          </cell>
        </row>
        <row r="77">
          <cell r="A77" t="str">
            <v>other o&amp;m</v>
          </cell>
          <cell r="B77">
            <v>6130</v>
          </cell>
          <cell r="C77">
            <v>2389</v>
          </cell>
          <cell r="E77">
            <v>-270</v>
          </cell>
          <cell r="G77">
            <v>-238</v>
          </cell>
        </row>
        <row r="78">
          <cell r="B78">
            <v>-3527</v>
          </cell>
          <cell r="C78">
            <v>-1374</v>
          </cell>
          <cell r="E78">
            <v>156</v>
          </cell>
          <cell r="G78">
            <v>137</v>
          </cell>
        </row>
        <row r="79">
          <cell r="B79">
            <v>-7999</v>
          </cell>
          <cell r="C79">
            <v>-3117</v>
          </cell>
          <cell r="E79">
            <v>353</v>
          </cell>
          <cell r="G79">
            <v>311</v>
          </cell>
        </row>
        <row r="80">
          <cell r="B80">
            <v>-672</v>
          </cell>
          <cell r="C80">
            <v>-262</v>
          </cell>
          <cell r="E80">
            <v>30</v>
          </cell>
          <cell r="G80">
            <v>26</v>
          </cell>
        </row>
        <row r="81">
          <cell r="B81">
            <v>-216</v>
          </cell>
          <cell r="C81">
            <v>-84</v>
          </cell>
          <cell r="E81">
            <v>10</v>
          </cell>
          <cell r="G81">
            <v>8</v>
          </cell>
        </row>
        <row r="82">
          <cell r="B82">
            <v>-1097</v>
          </cell>
          <cell r="C82">
            <v>-428</v>
          </cell>
          <cell r="E82">
            <v>48</v>
          </cell>
          <cell r="G82">
            <v>43</v>
          </cell>
        </row>
        <row r="83">
          <cell r="B83">
            <v>-888</v>
          </cell>
          <cell r="C83">
            <v>-346</v>
          </cell>
          <cell r="E83">
            <v>39</v>
          </cell>
          <cell r="G83">
            <v>35</v>
          </cell>
        </row>
        <row r="84">
          <cell r="B84">
            <v>208</v>
          </cell>
          <cell r="D84">
            <v>-21</v>
          </cell>
        </row>
        <row r="87">
          <cell r="D87">
            <v>1009</v>
          </cell>
          <cell r="E87">
            <v>305</v>
          </cell>
          <cell r="F87">
            <v>1314</v>
          </cell>
          <cell r="G87">
            <v>290</v>
          </cell>
        </row>
        <row r="88">
          <cell r="G88">
            <v>-305</v>
          </cell>
        </row>
        <row r="89">
          <cell r="G89">
            <v>-15</v>
          </cell>
        </row>
      </sheetData>
      <sheetData sheetId="5">
        <row r="1">
          <cell r="A1" t="str">
            <v>IMPACT OF SCHEDULE "M" ITEMS</v>
          </cell>
          <cell r="K1" t="str">
            <v>Difference</v>
          </cell>
        </row>
        <row r="2">
          <cell r="K2" t="str">
            <v>in DC alloc.</v>
          </cell>
          <cell r="L2" t="str">
            <v>Impact on</v>
          </cell>
        </row>
        <row r="3">
          <cell r="C3" t="str">
            <v>F.C. 951 (1995 Actual)</v>
          </cell>
          <cell r="G3" t="str">
            <v>1996 Actual</v>
          </cell>
          <cell r="K3" t="str">
            <v>Perm/Flowthr</v>
          </cell>
          <cell r="L3" t="str">
            <v>FIT</v>
          </cell>
          <cell r="M3" t="str">
            <v>Rev Req</v>
          </cell>
        </row>
        <row r="4">
          <cell r="C4" t="str">
            <v>System</v>
          </cell>
          <cell r="D4" t="str">
            <v>Alloc</v>
          </cell>
          <cell r="E4" t="str">
            <v>DC</v>
          </cell>
          <cell r="G4" t="str">
            <v>System</v>
          </cell>
          <cell r="H4" t="str">
            <v>Alloc</v>
          </cell>
          <cell r="I4" t="str">
            <v>DC</v>
          </cell>
        </row>
        <row r="5">
          <cell r="A5" t="str">
            <v>Perm/Flow Thru - Federal</v>
          </cell>
        </row>
        <row r="6">
          <cell r="B6" t="str">
            <v>Excess Tax/Book</v>
          </cell>
          <cell r="C6">
            <v>26209390</v>
          </cell>
          <cell r="D6">
            <v>0.36070000000000002</v>
          </cell>
          <cell r="E6">
            <v>9454000</v>
          </cell>
          <cell r="G6">
            <v>28190176</v>
          </cell>
          <cell r="H6">
            <v>0.35339999999999999</v>
          </cell>
          <cell r="I6">
            <v>9963000</v>
          </cell>
          <cell r="K6">
            <v>509000</v>
          </cell>
          <cell r="L6">
            <v>178150</v>
          </cell>
          <cell r="M6">
            <v>338273</v>
          </cell>
        </row>
        <row r="7">
          <cell r="B7" t="str">
            <v>Bond Interest</v>
          </cell>
          <cell r="C7">
            <v>438294</v>
          </cell>
          <cell r="D7">
            <v>0.43540000000000001</v>
          </cell>
          <cell r="E7">
            <v>191000</v>
          </cell>
          <cell r="G7">
            <v>665531</v>
          </cell>
          <cell r="H7">
            <v>0.4289</v>
          </cell>
          <cell r="I7">
            <v>285000</v>
          </cell>
          <cell r="K7">
            <v>94000</v>
          </cell>
          <cell r="L7">
            <v>32900</v>
          </cell>
          <cell r="M7">
            <v>62471</v>
          </cell>
        </row>
        <row r="8">
          <cell r="B8" t="str">
            <v>Book Depr AFUDC - DC</v>
          </cell>
          <cell r="C8">
            <v>819411</v>
          </cell>
          <cell r="D8">
            <v>1</v>
          </cell>
          <cell r="E8">
            <v>819000</v>
          </cell>
          <cell r="G8">
            <v>828575</v>
          </cell>
          <cell r="H8">
            <v>1</v>
          </cell>
          <cell r="I8">
            <v>829000</v>
          </cell>
          <cell r="K8">
            <v>10000</v>
          </cell>
          <cell r="L8">
            <v>3500</v>
          </cell>
          <cell r="M8">
            <v>6646</v>
          </cell>
        </row>
        <row r="9">
          <cell r="B9" t="str">
            <v>Book Depr AFUDC - Md</v>
          </cell>
          <cell r="C9">
            <v>1059627</v>
          </cell>
          <cell r="D9">
            <v>0</v>
          </cell>
          <cell r="E9">
            <v>0</v>
          </cell>
          <cell r="G9">
            <v>1127018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Book Depr AFUDC - Smeco</v>
          </cell>
          <cell r="C10">
            <v>323702</v>
          </cell>
          <cell r="D10">
            <v>0</v>
          </cell>
          <cell r="E10">
            <v>0</v>
          </cell>
          <cell r="G10">
            <v>323169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Removal Cost - Post 80</v>
          </cell>
          <cell r="C11">
            <v>-30280941</v>
          </cell>
          <cell r="D11">
            <v>0.36070000000000002</v>
          </cell>
          <cell r="E11">
            <v>-10922000</v>
          </cell>
          <cell r="G11">
            <v>-17052020</v>
          </cell>
          <cell r="H11">
            <v>0.35339999999999999</v>
          </cell>
          <cell r="I11">
            <v>-6026000</v>
          </cell>
          <cell r="K11">
            <v>4896000</v>
          </cell>
          <cell r="L11">
            <v>1713600</v>
          </cell>
          <cell r="M11">
            <v>3253797</v>
          </cell>
        </row>
        <row r="12">
          <cell r="B12" t="str">
            <v>Removal Cost - Pre 81</v>
          </cell>
          <cell r="C12">
            <v>9696662</v>
          </cell>
          <cell r="D12">
            <v>1</v>
          </cell>
          <cell r="E12">
            <v>9697000</v>
          </cell>
          <cell r="G12">
            <v>6840155</v>
          </cell>
          <cell r="H12">
            <v>1</v>
          </cell>
          <cell r="I12">
            <v>6840000</v>
          </cell>
          <cell r="K12">
            <v>-2857000</v>
          </cell>
          <cell r="L12">
            <v>-999950</v>
          </cell>
          <cell r="M12">
            <v>-1898713</v>
          </cell>
        </row>
        <row r="13">
          <cell r="B13" t="str">
            <v>Software Amort</v>
          </cell>
          <cell r="C13">
            <v>-15862</v>
          </cell>
          <cell r="D13">
            <v>0.43540000000000001</v>
          </cell>
          <cell r="E13">
            <v>-7000</v>
          </cell>
          <cell r="G13">
            <v>1042131</v>
          </cell>
          <cell r="H13">
            <v>0.4289</v>
          </cell>
          <cell r="I13">
            <v>447000</v>
          </cell>
          <cell r="K13">
            <v>454000</v>
          </cell>
          <cell r="L13">
            <v>158900</v>
          </cell>
          <cell r="M13">
            <v>301721</v>
          </cell>
        </row>
        <row r="14">
          <cell r="B14" t="str">
            <v>Md Prop tax adj</v>
          </cell>
          <cell r="C14">
            <v>-1660392</v>
          </cell>
          <cell r="D14">
            <v>0.26629999999999998</v>
          </cell>
          <cell r="E14">
            <v>-442000</v>
          </cell>
          <cell r="G14">
            <v>-2268203</v>
          </cell>
          <cell r="H14">
            <v>0.26939999999999997</v>
          </cell>
          <cell r="I14">
            <v>-611000</v>
          </cell>
          <cell r="K14">
            <v>-169000</v>
          </cell>
          <cell r="L14">
            <v>-59150</v>
          </cell>
          <cell r="M14">
            <v>-112314</v>
          </cell>
        </row>
        <row r="15">
          <cell r="B15" t="str">
            <v>FERC Norm</v>
          </cell>
          <cell r="C15">
            <v>803652</v>
          </cell>
          <cell r="D15">
            <v>0</v>
          </cell>
          <cell r="E15">
            <v>0</v>
          </cell>
          <cell r="G15">
            <v>1287864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AFUDC Eq amort Control Center</v>
          </cell>
          <cell r="C16">
            <v>1045460</v>
          </cell>
          <cell r="D16">
            <v>0.31990000000000002</v>
          </cell>
          <cell r="E16">
            <v>334000</v>
          </cell>
          <cell r="G16">
            <v>1105236</v>
          </cell>
          <cell r="H16">
            <v>0.31990000000000002</v>
          </cell>
          <cell r="I16">
            <v>354000</v>
          </cell>
          <cell r="K16">
            <v>20000</v>
          </cell>
          <cell r="L16">
            <v>7000</v>
          </cell>
          <cell r="M16">
            <v>13292</v>
          </cell>
        </row>
        <row r="17">
          <cell r="B17" t="str">
            <v>Norm - SMECO</v>
          </cell>
          <cell r="C17">
            <v>-186336</v>
          </cell>
          <cell r="D17">
            <v>0</v>
          </cell>
          <cell r="E17">
            <v>0</v>
          </cell>
          <cell r="G17">
            <v>-168324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Norm Md</v>
          </cell>
          <cell r="C18" t="str">
            <v>-</v>
          </cell>
          <cell r="D18">
            <v>0</v>
          </cell>
          <cell r="E18">
            <v>0</v>
          </cell>
          <cell r="G18" t="str">
            <v>-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Norm System</v>
          </cell>
          <cell r="C19">
            <v>-2611152</v>
          </cell>
          <cell r="D19">
            <v>0.33090000000000003</v>
          </cell>
          <cell r="E19">
            <v>-864000</v>
          </cell>
          <cell r="G19">
            <v>-4337160</v>
          </cell>
          <cell r="H19">
            <v>0.32350000000000001</v>
          </cell>
          <cell r="I19">
            <v>-1402000</v>
          </cell>
          <cell r="K19">
            <v>-538000</v>
          </cell>
          <cell r="L19">
            <v>-188300</v>
          </cell>
          <cell r="M19">
            <v>-357546</v>
          </cell>
        </row>
        <row r="20">
          <cell r="B20" t="str">
            <v>Norm DC (48-46)</v>
          </cell>
          <cell r="C20">
            <v>-46188</v>
          </cell>
          <cell r="D20">
            <v>1</v>
          </cell>
          <cell r="E20">
            <v>-46000</v>
          </cell>
          <cell r="G20">
            <v>-46188</v>
          </cell>
          <cell r="H20">
            <v>1</v>
          </cell>
          <cell r="I20">
            <v>-46000</v>
          </cell>
          <cell r="K20">
            <v>0</v>
          </cell>
          <cell r="L20">
            <v>0</v>
          </cell>
          <cell r="M20">
            <v>0</v>
          </cell>
        </row>
        <row r="21">
          <cell r="B21" t="str">
            <v>Non-Ded meal exp</v>
          </cell>
          <cell r="C21">
            <v>310660</v>
          </cell>
          <cell r="D21">
            <v>0.38969999999999999</v>
          </cell>
          <cell r="E21">
            <v>121000</v>
          </cell>
          <cell r="G21">
            <v>399582</v>
          </cell>
          <cell r="H21">
            <v>0.38629999999999998</v>
          </cell>
          <cell r="I21">
            <v>154000</v>
          </cell>
          <cell r="K21">
            <v>33000</v>
          </cell>
          <cell r="L21">
            <v>11550</v>
          </cell>
          <cell r="M21">
            <v>21931</v>
          </cell>
        </row>
        <row r="22">
          <cell r="B22" t="str">
            <v>Environ tax</v>
          </cell>
          <cell r="C22">
            <v>-30982</v>
          </cell>
          <cell r="D22">
            <v>0.41889999999999999</v>
          </cell>
          <cell r="E22">
            <v>-13000</v>
          </cell>
          <cell r="G22">
            <v>102178</v>
          </cell>
          <cell r="H22">
            <v>0.44059999999999999</v>
          </cell>
          <cell r="I22">
            <v>45000</v>
          </cell>
          <cell r="K22">
            <v>58000</v>
          </cell>
          <cell r="L22">
            <v>20300</v>
          </cell>
          <cell r="M22">
            <v>38546</v>
          </cell>
        </row>
        <row r="23">
          <cell r="B23" t="str">
            <v>Pa tax adj</v>
          </cell>
          <cell r="C23">
            <v>-3521</v>
          </cell>
          <cell r="D23">
            <v>0.39879999999999999</v>
          </cell>
          <cell r="E23">
            <v>-1000</v>
          </cell>
          <cell r="G23">
            <v>-91363</v>
          </cell>
          <cell r="H23">
            <v>0.3891</v>
          </cell>
          <cell r="I23">
            <v>-36000</v>
          </cell>
          <cell r="K23">
            <v>-35000</v>
          </cell>
          <cell r="L23">
            <v>-12250</v>
          </cell>
          <cell r="M23">
            <v>-23260</v>
          </cell>
        </row>
        <row r="24">
          <cell r="B24" t="str">
            <v>Research fuel cr</v>
          </cell>
          <cell r="C24">
            <v>333279</v>
          </cell>
          <cell r="D24">
            <v>0.38969999999999999</v>
          </cell>
          <cell r="E24">
            <v>130000</v>
          </cell>
          <cell r="G24">
            <v>186854</v>
          </cell>
          <cell r="H24">
            <v>0.32269999999999999</v>
          </cell>
          <cell r="I24">
            <v>60000</v>
          </cell>
          <cell r="K24">
            <v>-70000</v>
          </cell>
          <cell r="L24">
            <v>-24500</v>
          </cell>
          <cell r="M24">
            <v>-46521</v>
          </cell>
        </row>
        <row r="25">
          <cell r="B25" t="str">
            <v>Fuel excise tax w/o</v>
          </cell>
          <cell r="G25">
            <v>52981</v>
          </cell>
          <cell r="H25">
            <v>0.39140000000000003</v>
          </cell>
          <cell r="I25">
            <v>21000</v>
          </cell>
          <cell r="K25">
            <v>21000</v>
          </cell>
          <cell r="L25">
            <v>7350</v>
          </cell>
          <cell r="M25">
            <v>13956</v>
          </cell>
        </row>
        <row r="26">
          <cell r="B26" t="str">
            <v>Diesel fuel cr</v>
          </cell>
          <cell r="C26">
            <v>56210</v>
          </cell>
          <cell r="D26">
            <v>1.8800000000000001E-2</v>
          </cell>
          <cell r="E26">
            <v>1000</v>
          </cell>
          <cell r="G26">
            <v>44789</v>
          </cell>
          <cell r="H26">
            <v>0.32269999999999999</v>
          </cell>
          <cell r="I26">
            <v>14000</v>
          </cell>
          <cell r="K26">
            <v>13000</v>
          </cell>
          <cell r="L26">
            <v>4550</v>
          </cell>
          <cell r="M26">
            <v>8640</v>
          </cell>
        </row>
        <row r="27">
          <cell r="B27" t="str">
            <v>Gain of st/bond sale</v>
          </cell>
          <cell r="C27">
            <v>54</v>
          </cell>
          <cell r="D27">
            <v>0.43540000000000001</v>
          </cell>
          <cell r="E27">
            <v>0</v>
          </cell>
          <cell r="G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 t="str">
            <v>Book depr-ccrf eq</v>
          </cell>
          <cell r="C28">
            <v>60122</v>
          </cell>
          <cell r="D28">
            <v>0.51890000000000003</v>
          </cell>
          <cell r="E28">
            <v>31000</v>
          </cell>
          <cell r="G28">
            <v>196185</v>
          </cell>
          <cell r="H28">
            <v>0.05</v>
          </cell>
          <cell r="I28">
            <v>10000</v>
          </cell>
          <cell r="K28">
            <v>-21000</v>
          </cell>
          <cell r="L28">
            <v>-7350</v>
          </cell>
          <cell r="M28">
            <v>-13956</v>
          </cell>
        </row>
        <row r="29">
          <cell r="B29" t="str">
            <v>CCRF</v>
          </cell>
          <cell r="C29">
            <v>5166883</v>
          </cell>
          <cell r="D29">
            <v>0.36909999999999998</v>
          </cell>
          <cell r="E29">
            <v>1907000</v>
          </cell>
          <cell r="G29">
            <v>5222300</v>
          </cell>
          <cell r="H29">
            <v>0.30049999999999999</v>
          </cell>
          <cell r="I29">
            <v>1569000</v>
          </cell>
          <cell r="K29">
            <v>-338000</v>
          </cell>
          <cell r="L29">
            <v>-118300</v>
          </cell>
          <cell r="M29">
            <v>-224629</v>
          </cell>
        </row>
        <row r="30">
          <cell r="B30" t="str">
            <v>CCRF Eq amort DC DSM</v>
          </cell>
          <cell r="G30">
            <v>614287</v>
          </cell>
          <cell r="H30">
            <v>1</v>
          </cell>
          <cell r="I30">
            <v>614000</v>
          </cell>
          <cell r="K30">
            <v>614000</v>
          </cell>
          <cell r="L30">
            <v>214900</v>
          </cell>
          <cell r="M30">
            <v>408054</v>
          </cell>
        </row>
        <row r="31">
          <cell r="B31" t="str">
            <v>Fines &amp; Penalties</v>
          </cell>
          <cell r="C31">
            <v>15695</v>
          </cell>
          <cell r="D31">
            <v>0.39879999999999999</v>
          </cell>
          <cell r="E31">
            <v>6000</v>
          </cell>
          <cell r="G31">
            <v>0</v>
          </cell>
          <cell r="H31">
            <v>0.38829999999999998</v>
          </cell>
          <cell r="I31">
            <v>0</v>
          </cell>
          <cell r="K31">
            <v>-6000</v>
          </cell>
          <cell r="L31">
            <v>-2100</v>
          </cell>
          <cell r="M31">
            <v>-3987</v>
          </cell>
        </row>
        <row r="33">
          <cell r="C33">
            <v>11503727</v>
          </cell>
          <cell r="E33">
            <v>10396000</v>
          </cell>
          <cell r="G33">
            <v>24265753</v>
          </cell>
          <cell r="I33">
            <v>13084000</v>
          </cell>
          <cell r="K33">
            <v>2688000</v>
          </cell>
          <cell r="L33">
            <v>940800</v>
          </cell>
          <cell r="M33">
            <v>1786401</v>
          </cell>
        </row>
        <row r="37">
          <cell r="D37" t="str">
            <v>1996</v>
          </cell>
        </row>
        <row r="38">
          <cell r="C38" t="str">
            <v>F.C. 951</v>
          </cell>
          <cell r="D38" t="str">
            <v>Actual</v>
          </cell>
          <cell r="E38" t="str">
            <v>Schedule M</v>
          </cell>
          <cell r="G38" t="str">
            <v>Impact on</v>
          </cell>
        </row>
        <row r="39">
          <cell r="A39" t="str">
            <v>Perm/Flow Thru - DC</v>
          </cell>
          <cell r="C39" t="str">
            <v>System</v>
          </cell>
          <cell r="D39" t="str">
            <v>System</v>
          </cell>
          <cell r="E39" t="str">
            <v>Difference</v>
          </cell>
          <cell r="G39" t="str">
            <v>DCIT</v>
          </cell>
          <cell r="H39" t="str">
            <v>Rev Req</v>
          </cell>
        </row>
        <row r="40">
          <cell r="B40" t="str">
            <v>Excess Tax/Book</v>
          </cell>
          <cell r="C40">
            <v>26209390</v>
          </cell>
          <cell r="D40">
            <v>28190176</v>
          </cell>
          <cell r="E40">
            <v>1980786</v>
          </cell>
          <cell r="G40">
            <v>87155</v>
          </cell>
          <cell r="H40">
            <v>165491</v>
          </cell>
        </row>
        <row r="41">
          <cell r="B41" t="str">
            <v>Bond Interest</v>
          </cell>
          <cell r="C41">
            <v>438294</v>
          </cell>
          <cell r="D41">
            <v>665531</v>
          </cell>
          <cell r="E41">
            <v>227237</v>
          </cell>
          <cell r="G41">
            <v>9998</v>
          </cell>
          <cell r="H41">
            <v>18984</v>
          </cell>
        </row>
        <row r="42">
          <cell r="B42" t="str">
            <v>Book Depr AFUDC - DC</v>
          </cell>
          <cell r="C42">
            <v>819411</v>
          </cell>
          <cell r="D42">
            <v>828575</v>
          </cell>
          <cell r="E42">
            <v>9164</v>
          </cell>
          <cell r="G42">
            <v>403</v>
          </cell>
          <cell r="H42">
            <v>765</v>
          </cell>
        </row>
        <row r="43">
          <cell r="B43" t="str">
            <v>Book Depr AFUDC - Md</v>
          </cell>
          <cell r="C43">
            <v>1059627</v>
          </cell>
          <cell r="D43">
            <v>1127018</v>
          </cell>
          <cell r="E43">
            <v>67391</v>
          </cell>
          <cell r="G43">
            <v>2965</v>
          </cell>
          <cell r="H43">
            <v>5630</v>
          </cell>
        </row>
        <row r="44">
          <cell r="B44" t="str">
            <v>Book Depr AFUDC - Smeco</v>
          </cell>
          <cell r="C44">
            <v>323702</v>
          </cell>
          <cell r="D44">
            <v>323169</v>
          </cell>
          <cell r="E44">
            <v>-533</v>
          </cell>
          <cell r="G44">
            <v>-23</v>
          </cell>
          <cell r="H44">
            <v>-44</v>
          </cell>
        </row>
        <row r="45">
          <cell r="B45" t="str">
            <v xml:space="preserve">Removal Cost </v>
          </cell>
          <cell r="C45">
            <v>-3909816</v>
          </cell>
          <cell r="D45">
            <v>1550521</v>
          </cell>
          <cell r="E45">
            <v>5460337</v>
          </cell>
          <cell r="G45">
            <v>240255</v>
          </cell>
          <cell r="H45">
            <v>456198</v>
          </cell>
        </row>
        <row r="46">
          <cell r="B46" t="str">
            <v>Software Amort</v>
          </cell>
          <cell r="C46">
            <v>-15862</v>
          </cell>
          <cell r="D46">
            <v>1042131</v>
          </cell>
          <cell r="E46">
            <v>1057993</v>
          </cell>
          <cell r="G46">
            <v>46552</v>
          </cell>
          <cell r="H46">
            <v>88393</v>
          </cell>
        </row>
        <row r="47">
          <cell r="B47" t="str">
            <v>Md Prop tax adj</v>
          </cell>
          <cell r="C47">
            <v>-1660392</v>
          </cell>
          <cell r="D47">
            <v>-2268203</v>
          </cell>
          <cell r="E47">
            <v>-607811</v>
          </cell>
          <cell r="G47">
            <v>-26744</v>
          </cell>
          <cell r="H47">
            <v>-50782</v>
          </cell>
        </row>
        <row r="48">
          <cell r="B48" t="str">
            <v>AFUDC Eq amort Control Center</v>
          </cell>
          <cell r="C48">
            <v>1045460</v>
          </cell>
          <cell r="D48">
            <v>1105236</v>
          </cell>
          <cell r="E48">
            <v>59776</v>
          </cell>
          <cell r="G48">
            <v>2630</v>
          </cell>
          <cell r="H48">
            <v>4994</v>
          </cell>
        </row>
        <row r="49">
          <cell r="B49" t="str">
            <v>Non-Ded meal exp</v>
          </cell>
          <cell r="C49">
            <v>310660</v>
          </cell>
          <cell r="D49">
            <v>399582</v>
          </cell>
          <cell r="E49">
            <v>88922</v>
          </cell>
          <cell r="G49">
            <v>3913</v>
          </cell>
          <cell r="H49">
            <v>7430</v>
          </cell>
        </row>
        <row r="50">
          <cell r="B50" t="str">
            <v>CCRF</v>
          </cell>
          <cell r="C50">
            <v>5166883</v>
          </cell>
          <cell r="D50">
            <v>5222300</v>
          </cell>
          <cell r="E50">
            <v>55417</v>
          </cell>
          <cell r="G50">
            <v>2438</v>
          </cell>
          <cell r="H50">
            <v>4629</v>
          </cell>
        </row>
        <row r="51">
          <cell r="B51" t="str">
            <v>Fines &amp; Penalties</v>
          </cell>
          <cell r="C51">
            <v>15695</v>
          </cell>
          <cell r="D51">
            <v>0</v>
          </cell>
          <cell r="E51">
            <v>-15695</v>
          </cell>
          <cell r="G51">
            <v>-691</v>
          </cell>
          <cell r="H51">
            <v>-1312</v>
          </cell>
        </row>
        <row r="52">
          <cell r="B52" t="str">
            <v>Book Depr on Cap Taxes</v>
          </cell>
          <cell r="C52">
            <v>922881</v>
          </cell>
          <cell r="D52">
            <v>923000</v>
          </cell>
          <cell r="E52">
            <v>119</v>
          </cell>
          <cell r="G52">
            <v>5</v>
          </cell>
          <cell r="H52">
            <v>9</v>
          </cell>
        </row>
        <row r="53">
          <cell r="B53" t="str">
            <v>Book depr CCRF eq</v>
          </cell>
          <cell r="C53">
            <v>60122</v>
          </cell>
          <cell r="D53">
            <v>196185</v>
          </cell>
          <cell r="E53">
            <v>136063</v>
          </cell>
          <cell r="G53">
            <v>5987</v>
          </cell>
        </row>
        <row r="54">
          <cell r="B54" t="str">
            <v xml:space="preserve">Other </v>
          </cell>
          <cell r="C54">
            <v>355040</v>
          </cell>
          <cell r="D54">
            <v>807071</v>
          </cell>
          <cell r="E54">
            <v>452031</v>
          </cell>
          <cell r="G54">
            <v>19889</v>
          </cell>
          <cell r="H54">
            <v>37765</v>
          </cell>
        </row>
        <row r="56">
          <cell r="C56">
            <v>31141095</v>
          </cell>
          <cell r="D56">
            <v>40112292</v>
          </cell>
          <cell r="E56">
            <v>8971197</v>
          </cell>
          <cell r="G56">
            <v>394732</v>
          </cell>
          <cell r="H56">
            <v>738150</v>
          </cell>
          <cell r="M56">
            <v>738150</v>
          </cell>
        </row>
        <row r="58">
          <cell r="K58" t="str">
            <v>Total Schedule M revreq</v>
          </cell>
          <cell r="M58">
            <v>2524551</v>
          </cell>
        </row>
      </sheetData>
      <sheetData sheetId="6">
        <row r="2">
          <cell r="A2" t="str">
            <v>POTOMAC ELECTRIC POWER COMPANY</v>
          </cell>
        </row>
        <row r="4">
          <cell r="A4" t="str">
            <v>Comparison of D.C. Revenue Requirement</v>
          </cell>
        </row>
        <row r="5">
          <cell r="A5" t="str">
            <v>Twelve Months Ended December 31, 1995 (Actual)  vs. December 31, 1998 (Projected)</v>
          </cell>
        </row>
        <row r="6">
          <cell r="J6" t="str">
            <v>Revenue</v>
          </cell>
        </row>
        <row r="7">
          <cell r="J7" t="str">
            <v>Requirement</v>
          </cell>
        </row>
        <row r="8">
          <cell r="J8" t="str">
            <v>Including Effect</v>
          </cell>
        </row>
        <row r="9">
          <cell r="D9" t="str">
            <v>12 Months</v>
          </cell>
          <cell r="F9" t="str">
            <v>12 Months</v>
          </cell>
          <cell r="J9" t="str">
            <v>Of Interest</v>
          </cell>
        </row>
        <row r="10">
          <cell r="D10" t="str">
            <v>Ended 12/31/95</v>
          </cell>
          <cell r="F10" t="str">
            <v>Ended 12/31/98</v>
          </cell>
          <cell r="H10" t="str">
            <v>Difference</v>
          </cell>
          <cell r="J10" t="str">
            <v>Synch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2479575</v>
          </cell>
          <cell r="F12">
            <v>2672559</v>
          </cell>
          <cell r="H12">
            <v>192984</v>
          </cell>
          <cell r="J12">
            <v>28422</v>
          </cell>
          <cell r="L12">
            <v>-834</v>
          </cell>
          <cell r="N12">
            <v>-4053</v>
          </cell>
        </row>
        <row r="13">
          <cell r="B13" t="str">
            <v>Pollution Control CWIP</v>
          </cell>
          <cell r="D13">
            <v>7587</v>
          </cell>
          <cell r="F13">
            <v>4464</v>
          </cell>
          <cell r="H13">
            <v>-3123</v>
          </cell>
          <cell r="J13">
            <v>-460</v>
          </cell>
          <cell r="L13">
            <v>13</v>
          </cell>
          <cell r="N13">
            <v>66</v>
          </cell>
        </row>
        <row r="14">
          <cell r="B14" t="str">
            <v>Unamortized Unbilled Revenue Adj</v>
          </cell>
          <cell r="D14">
            <v>-1784</v>
          </cell>
          <cell r="F14">
            <v>0</v>
          </cell>
          <cell r="H14">
            <v>1784</v>
          </cell>
          <cell r="J14">
            <v>263</v>
          </cell>
          <cell r="L14">
            <v>-8</v>
          </cell>
          <cell r="N14">
            <v>-37</v>
          </cell>
        </row>
        <row r="15">
          <cell r="B15" t="str">
            <v>Materials &amp; Supplies</v>
          </cell>
          <cell r="D15">
            <v>59473</v>
          </cell>
          <cell r="F15">
            <v>55619</v>
          </cell>
          <cell r="H15">
            <v>-3854</v>
          </cell>
          <cell r="J15">
            <v>-567</v>
          </cell>
          <cell r="L15">
            <v>17</v>
          </cell>
          <cell r="N15">
            <v>81</v>
          </cell>
        </row>
        <row r="16">
          <cell r="B16" t="str">
            <v>DSM Programs (F.C. 929 vintage)</v>
          </cell>
          <cell r="D16">
            <v>20327</v>
          </cell>
          <cell r="F16">
            <v>13784</v>
          </cell>
          <cell r="H16">
            <v>-6543</v>
          </cell>
          <cell r="J16">
            <v>-964</v>
          </cell>
          <cell r="L16">
            <v>28</v>
          </cell>
          <cell r="N16">
            <v>137</v>
          </cell>
        </row>
        <row r="17">
          <cell r="B17" t="str">
            <v>Cash Working Capital</v>
          </cell>
          <cell r="D17">
            <v>39048</v>
          </cell>
          <cell r="F17">
            <v>42303</v>
          </cell>
          <cell r="H17">
            <v>3255</v>
          </cell>
          <cell r="J17">
            <v>480</v>
          </cell>
          <cell r="L17">
            <v>-14</v>
          </cell>
          <cell r="N17">
            <v>-68</v>
          </cell>
        </row>
        <row r="18">
          <cell r="B18" t="str">
            <v>Accumulated Depreciation</v>
          </cell>
          <cell r="D18">
            <v>-664109</v>
          </cell>
          <cell r="F18">
            <v>-763765</v>
          </cell>
          <cell r="H18">
            <v>-99656</v>
          </cell>
          <cell r="J18">
            <v>-14677</v>
          </cell>
          <cell r="L18">
            <v>431</v>
          </cell>
          <cell r="N18">
            <v>2093</v>
          </cell>
        </row>
        <row r="19">
          <cell r="B19" t="str">
            <v>Accumulated Amortization</v>
          </cell>
          <cell r="D19">
            <v>-4694</v>
          </cell>
          <cell r="F19">
            <v>-7559</v>
          </cell>
          <cell r="H19">
            <v>-2865</v>
          </cell>
          <cell r="J19">
            <v>-423</v>
          </cell>
          <cell r="L19">
            <v>12</v>
          </cell>
          <cell r="N19">
            <v>60</v>
          </cell>
        </row>
        <row r="20">
          <cell r="B20" t="str">
            <v>Accumulated Deferred Taxes</v>
          </cell>
          <cell r="D20">
            <v>-262891</v>
          </cell>
          <cell r="F20">
            <v>-317886</v>
          </cell>
          <cell r="H20">
            <v>-54995</v>
          </cell>
          <cell r="J20">
            <v>-8099</v>
          </cell>
          <cell r="L20">
            <v>238</v>
          </cell>
          <cell r="N20">
            <v>1155</v>
          </cell>
        </row>
        <row r="21">
          <cell r="B21" t="str">
            <v>Customer Deposits</v>
          </cell>
          <cell r="D21">
            <v>-12698</v>
          </cell>
          <cell r="F21">
            <v>-13450</v>
          </cell>
          <cell r="H21">
            <v>-752</v>
          </cell>
          <cell r="J21">
            <v>-111</v>
          </cell>
          <cell r="L21">
            <v>3</v>
          </cell>
          <cell r="N21">
            <v>16</v>
          </cell>
        </row>
        <row r="23">
          <cell r="B23" t="str">
            <v>TOTAL RATE BASE</v>
          </cell>
          <cell r="D23">
            <v>1659834</v>
          </cell>
          <cell r="F23">
            <v>1686069</v>
          </cell>
          <cell r="H23">
            <v>26235</v>
          </cell>
          <cell r="J23">
            <v>3864</v>
          </cell>
          <cell r="L23">
            <v>-114</v>
          </cell>
          <cell r="N23">
            <v>-550</v>
          </cell>
        </row>
        <row r="25">
          <cell r="A25" t="str">
            <v>OPERATING REVENUE</v>
          </cell>
        </row>
        <row r="26">
          <cell r="B26" t="str">
            <v>Weather norm Non-fuel base (incl 10% GRT)</v>
          </cell>
          <cell r="D26">
            <v>476470</v>
          </cell>
          <cell r="F26">
            <v>481101</v>
          </cell>
          <cell r="H26">
            <v>4631</v>
          </cell>
          <cell r="J26">
            <v>-4631</v>
          </cell>
        </row>
        <row r="28">
          <cell r="B28" t="str">
            <v>ECRR - Weather normalized (incl. GRT)</v>
          </cell>
          <cell r="D28">
            <v>3763</v>
          </cell>
          <cell r="F28">
            <v>14726</v>
          </cell>
          <cell r="H28">
            <v>10963</v>
          </cell>
        </row>
        <row r="30">
          <cell r="B30" t="str">
            <v>CAA/ECRR CAA (Weather norm, incl. GRT)</v>
          </cell>
          <cell r="D30">
            <v>348</v>
          </cell>
          <cell r="F30">
            <v>3036</v>
          </cell>
          <cell r="H30">
            <v>2688</v>
          </cell>
          <cell r="J30">
            <v>-2688</v>
          </cell>
        </row>
        <row r="32">
          <cell r="B32" t="str">
            <v>Fuel In Base (excl GRT)</v>
          </cell>
          <cell r="D32">
            <v>254200</v>
          </cell>
          <cell r="F32">
            <v>250883</v>
          </cell>
          <cell r="H32">
            <v>-3317</v>
          </cell>
        </row>
        <row r="33">
          <cell r="B33" t="str">
            <v>Fuel Clause (excl GRT)</v>
          </cell>
          <cell r="D33">
            <v>-21536</v>
          </cell>
          <cell r="F33">
            <v>16280</v>
          </cell>
          <cell r="H33">
            <v>37816</v>
          </cell>
        </row>
        <row r="34">
          <cell r="B34" t="str">
            <v xml:space="preserve">        Total Fuel Recovery </v>
          </cell>
          <cell r="D34">
            <v>232664</v>
          </cell>
          <cell r="F34">
            <v>267163</v>
          </cell>
          <cell r="H34">
            <v>34499</v>
          </cell>
        </row>
        <row r="36">
          <cell r="B36" t="str">
            <v>10% GRT on Fuel Clause Revenue</v>
          </cell>
          <cell r="D36">
            <v>-2393</v>
          </cell>
          <cell r="F36">
            <v>1809</v>
          </cell>
          <cell r="H36">
            <v>4202</v>
          </cell>
        </row>
        <row r="37">
          <cell r="B37" t="str">
            <v>10% GRT on Fuel In Base</v>
          </cell>
          <cell r="D37">
            <v>28242</v>
          </cell>
          <cell r="F37">
            <v>27873</v>
          </cell>
          <cell r="H37">
            <v>-369</v>
          </cell>
        </row>
        <row r="39">
          <cell r="B39" t="str">
            <v>TOTAL FUEL  REVENUE (FIB + Fuel Clause)</v>
          </cell>
          <cell r="D39">
            <v>258513</v>
          </cell>
          <cell r="F39">
            <v>296845</v>
          </cell>
          <cell r="H39">
            <v>38332</v>
          </cell>
        </row>
        <row r="41">
          <cell r="B41" t="str">
            <v>TOTAL SALE OF ELECTRICITY</v>
          </cell>
          <cell r="D41">
            <v>739094</v>
          </cell>
          <cell r="F41">
            <v>795708</v>
          </cell>
          <cell r="H41">
            <v>56614</v>
          </cell>
          <cell r="J41">
            <v>-7319</v>
          </cell>
        </row>
        <row r="43">
          <cell r="B43" t="str">
            <v>TOTAL OTHER REVENUES</v>
          </cell>
          <cell r="D43">
            <v>3465</v>
          </cell>
          <cell r="F43">
            <v>2716</v>
          </cell>
          <cell r="H43">
            <v>-749</v>
          </cell>
          <cell r="J43">
            <v>749</v>
          </cell>
        </row>
        <row r="45">
          <cell r="A45" t="str">
            <v>TOTAL OPERATING REVENUE</v>
          </cell>
          <cell r="D45">
            <v>742559</v>
          </cell>
          <cell r="F45">
            <v>798424</v>
          </cell>
          <cell r="H45">
            <v>55865</v>
          </cell>
          <cell r="J45">
            <v>-6570</v>
          </cell>
        </row>
        <row r="47">
          <cell r="A47" t="str">
            <v>OPERATING EXPENSES</v>
          </cell>
        </row>
        <row r="48">
          <cell r="B48" t="str">
            <v>Net Fuel &amp; Interchange</v>
          </cell>
          <cell r="D48">
            <v>185879</v>
          </cell>
          <cell r="F48">
            <v>213342</v>
          </cell>
          <cell r="H48">
            <v>27463</v>
          </cell>
        </row>
        <row r="49">
          <cell r="B49" t="str">
            <v>Capacity Purchase Payments</v>
          </cell>
          <cell r="D49">
            <v>50157</v>
          </cell>
          <cell r="F49">
            <v>56062</v>
          </cell>
          <cell r="H49">
            <v>5905</v>
          </cell>
        </row>
        <row r="50">
          <cell r="B50" t="str">
            <v xml:space="preserve">                           Subtotal</v>
          </cell>
          <cell r="D50">
            <v>236036</v>
          </cell>
          <cell r="F50">
            <v>269404</v>
          </cell>
          <cell r="H50">
            <v>33368</v>
          </cell>
          <cell r="J50">
            <v>-1257</v>
          </cell>
        </row>
        <row r="52">
          <cell r="B52" t="str">
            <v>Other O &amp; M</v>
          </cell>
          <cell r="D52">
            <v>121661</v>
          </cell>
          <cell r="F52">
            <v>124700</v>
          </cell>
          <cell r="H52">
            <v>3039</v>
          </cell>
          <cell r="J52">
            <v>3377</v>
          </cell>
        </row>
        <row r="53">
          <cell r="B53" t="str">
            <v>DSM Amortization - F.C. 929</v>
          </cell>
          <cell r="D53">
            <v>2181</v>
          </cell>
          <cell r="F53">
            <v>2181</v>
          </cell>
          <cell r="H53">
            <v>0</v>
          </cell>
          <cell r="J53">
            <v>0</v>
          </cell>
        </row>
        <row r="54">
          <cell r="B54" t="str">
            <v>DSM Amortization  - ECRR consv. component</v>
          </cell>
          <cell r="D54">
            <v>3387</v>
          </cell>
          <cell r="F54">
            <v>13254</v>
          </cell>
          <cell r="H54">
            <v>9867</v>
          </cell>
          <cell r="J54">
            <v>0</v>
          </cell>
        </row>
        <row r="55">
          <cell r="B55" t="str">
            <v>Depreciation</v>
          </cell>
          <cell r="D55">
            <v>61582</v>
          </cell>
          <cell r="F55">
            <v>64540</v>
          </cell>
          <cell r="H55">
            <v>2958</v>
          </cell>
          <cell r="J55">
            <v>3287</v>
          </cell>
        </row>
        <row r="56">
          <cell r="B56" t="str">
            <v>Amortization - Other</v>
          </cell>
          <cell r="D56">
            <v>-1043</v>
          </cell>
          <cell r="F56">
            <v>986</v>
          </cell>
          <cell r="H56">
            <v>2029</v>
          </cell>
          <cell r="J56">
            <v>2254</v>
          </cell>
        </row>
        <row r="57">
          <cell r="B57" t="str">
            <v>Other Taxes - Excluding GRT</v>
          </cell>
          <cell r="D57">
            <v>29079</v>
          </cell>
          <cell r="F57">
            <v>31264</v>
          </cell>
          <cell r="H57">
            <v>2185</v>
          </cell>
          <cell r="J57">
            <v>2428</v>
          </cell>
        </row>
        <row r="58">
          <cell r="B58" t="str">
            <v>Gross Receipts Tax</v>
          </cell>
          <cell r="D58">
            <v>73876</v>
          </cell>
          <cell r="F58">
            <v>79854</v>
          </cell>
          <cell r="H58">
            <v>5978</v>
          </cell>
          <cell r="J58">
            <v>-1467</v>
          </cell>
        </row>
        <row r="59">
          <cell r="B59" t="str">
            <v>D.C. Income Tax</v>
          </cell>
          <cell r="D59">
            <v>17055</v>
          </cell>
          <cell r="F59">
            <v>14102</v>
          </cell>
          <cell r="H59">
            <v>-2953</v>
          </cell>
          <cell r="J59">
            <v>-3977</v>
          </cell>
        </row>
        <row r="60">
          <cell r="B60" t="str">
            <v>Federal Income Tax</v>
          </cell>
          <cell r="D60">
            <v>52188</v>
          </cell>
          <cell r="F60">
            <v>50452</v>
          </cell>
          <cell r="H60">
            <v>-1736</v>
          </cell>
          <cell r="J60">
            <v>-4908</v>
          </cell>
        </row>
        <row r="62">
          <cell r="B62" t="str">
            <v>TOTAL OPERATING EXPENSES</v>
          </cell>
          <cell r="D62">
            <v>596002</v>
          </cell>
          <cell r="F62">
            <v>650737</v>
          </cell>
          <cell r="H62">
            <v>54735</v>
          </cell>
          <cell r="J62">
            <v>-263</v>
          </cell>
        </row>
        <row r="64">
          <cell r="A64" t="str">
            <v>OPERATING INCOME</v>
          </cell>
          <cell r="D64">
            <v>146557</v>
          </cell>
          <cell r="F64">
            <v>147687</v>
          </cell>
          <cell r="H64">
            <v>1130</v>
          </cell>
          <cell r="J64">
            <v>-6833</v>
          </cell>
        </row>
        <row r="66">
          <cell r="A66" t="str">
            <v>SUBTOTAL</v>
          </cell>
          <cell r="J66">
            <v>-2969</v>
          </cell>
        </row>
        <row r="71">
          <cell r="A71" t="str">
            <v>CALCULATED REVENUE REQUIREMENT</v>
          </cell>
          <cell r="D71">
            <v>8206</v>
          </cell>
          <cell r="F71">
            <v>9629</v>
          </cell>
          <cell r="J71">
            <v>1423</v>
          </cell>
        </row>
        <row r="73">
          <cell r="A73" t="str">
            <v>Unresolved difference</v>
          </cell>
          <cell r="J73">
            <v>4392</v>
          </cell>
        </row>
      </sheetData>
      <sheetData sheetId="7">
        <row r="3">
          <cell r="A3" t="str">
            <v>1998 Detail</v>
          </cell>
        </row>
        <row r="5">
          <cell r="C5" t="str">
            <v>ccrf</v>
          </cell>
          <cell r="F5" t="str">
            <v>nonccrf</v>
          </cell>
          <cell r="I5" t="str">
            <v>total</v>
          </cell>
        </row>
        <row r="7">
          <cell r="C7" t="str">
            <v>net</v>
          </cell>
          <cell r="D7" t="str">
            <v>grt surch</v>
          </cell>
          <cell r="F7" t="str">
            <v>net</v>
          </cell>
          <cell r="G7" t="str">
            <v>grt surch</v>
          </cell>
          <cell r="I7" t="str">
            <v>net</v>
          </cell>
          <cell r="J7" t="str">
            <v>grt surch</v>
          </cell>
        </row>
        <row r="8">
          <cell r="A8" t="str">
            <v>RES pre-95</v>
          </cell>
          <cell r="C8">
            <v>1432554</v>
          </cell>
          <cell r="D8">
            <v>-2767</v>
          </cell>
          <cell r="F8">
            <v>1426786</v>
          </cell>
          <cell r="G8">
            <v>-3267</v>
          </cell>
          <cell r="I8">
            <v>2859340</v>
          </cell>
          <cell r="J8">
            <v>-6034</v>
          </cell>
        </row>
        <row r="9">
          <cell r="A9">
            <v>95</v>
          </cell>
          <cell r="C9">
            <v>57386</v>
          </cell>
          <cell r="D9">
            <v>-428</v>
          </cell>
          <cell r="F9">
            <v>85725</v>
          </cell>
          <cell r="G9">
            <v>-637</v>
          </cell>
          <cell r="I9">
            <v>143111</v>
          </cell>
          <cell r="J9">
            <v>-1065</v>
          </cell>
        </row>
        <row r="10">
          <cell r="A10">
            <v>96</v>
          </cell>
          <cell r="C10">
            <v>40153</v>
          </cell>
          <cell r="D10">
            <v>-299</v>
          </cell>
          <cell r="F10">
            <v>55040</v>
          </cell>
          <cell r="G10">
            <v>-411</v>
          </cell>
          <cell r="I10">
            <v>95193</v>
          </cell>
          <cell r="J10">
            <v>-710</v>
          </cell>
        </row>
        <row r="12">
          <cell r="A12" t="str">
            <v>NON-RES pre-95</v>
          </cell>
          <cell r="C12">
            <v>6240721</v>
          </cell>
          <cell r="D12">
            <v>-12714</v>
          </cell>
          <cell r="F12">
            <v>6207624</v>
          </cell>
          <cell r="G12">
            <v>-14943</v>
          </cell>
          <cell r="I12">
            <v>12448345</v>
          </cell>
          <cell r="J12">
            <v>-27657</v>
          </cell>
        </row>
        <row r="13">
          <cell r="A13">
            <v>95</v>
          </cell>
          <cell r="C13">
            <v>943158</v>
          </cell>
          <cell r="D13">
            <v>-6951</v>
          </cell>
          <cell r="F13">
            <v>1361726</v>
          </cell>
          <cell r="G13">
            <v>-10033</v>
          </cell>
          <cell r="I13">
            <v>2304884</v>
          </cell>
          <cell r="J13">
            <v>-16984</v>
          </cell>
        </row>
        <row r="14">
          <cell r="A14">
            <v>96</v>
          </cell>
          <cell r="C14">
            <v>357368</v>
          </cell>
          <cell r="D14">
            <v>-2633</v>
          </cell>
          <cell r="F14">
            <v>468528</v>
          </cell>
          <cell r="G14">
            <v>-3453</v>
          </cell>
          <cell r="I14">
            <v>825896</v>
          </cell>
          <cell r="J14">
            <v>-6086</v>
          </cell>
        </row>
        <row r="16">
          <cell r="A16" t="str">
            <v>total dsm</v>
          </cell>
          <cell r="C16">
            <v>9071340</v>
          </cell>
          <cell r="D16">
            <v>-25792</v>
          </cell>
          <cell r="F16">
            <v>9605429</v>
          </cell>
          <cell r="G16">
            <v>-32744</v>
          </cell>
          <cell r="I16">
            <v>18676769</v>
          </cell>
          <cell r="J16">
            <v>-58536</v>
          </cell>
        </row>
        <row r="18">
          <cell r="A18" t="str">
            <v>caa</v>
          </cell>
          <cell r="I18">
            <v>2349389</v>
          </cell>
          <cell r="J18">
            <v>-5618</v>
          </cell>
        </row>
        <row r="20">
          <cell r="A20" t="str">
            <v>total ecrr</v>
          </cell>
          <cell r="I20">
            <v>21026158</v>
          </cell>
          <cell r="J20">
            <v>-64154</v>
          </cell>
        </row>
      </sheetData>
      <sheetData sheetId="8">
        <row r="4">
          <cell r="C4" t="str">
            <v>GRT</v>
          </cell>
          <cell r="E4">
            <v>0.1111</v>
          </cell>
          <cell r="G4">
            <v>0.1</v>
          </cell>
        </row>
        <row r="5">
          <cell r="C5" t="str">
            <v>Surcharge</v>
          </cell>
          <cell r="E5">
            <v>-1.0989000000000001E-2</v>
          </cell>
          <cell r="G5">
            <v>-0.01</v>
          </cell>
        </row>
        <row r="6">
          <cell r="E6">
            <v>0</v>
          </cell>
          <cell r="G6">
            <v>0</v>
          </cell>
        </row>
        <row r="9">
          <cell r="A9" t="str">
            <v>POTOMAC ELECTRIC POWER COMPANY</v>
          </cell>
        </row>
        <row r="11">
          <cell r="A11" t="str">
            <v>District of Columbia</v>
          </cell>
        </row>
        <row r="12">
          <cell r="A12" t="str">
            <v>Composition of Revenues</v>
          </cell>
        </row>
        <row r="13">
          <cell r="A13" t="str">
            <v>1998 Projected in F.C. 951 vs. 1998 Actual</v>
          </cell>
        </row>
        <row r="14">
          <cell r="G14" t="str">
            <v>1998 Projected in F.C. 951</v>
          </cell>
        </row>
        <row r="16">
          <cell r="C16" t="str">
            <v>`Normal'</v>
          </cell>
          <cell r="E16" t="str">
            <v>GRT</v>
          </cell>
          <cell r="G16" t="str">
            <v>Total (000 $)</v>
          </cell>
          <cell r="I16" t="str">
            <v>MWH</v>
          </cell>
          <cell r="K16" t="str">
            <v>Rate/kwh</v>
          </cell>
        </row>
        <row r="18">
          <cell r="A18" t="str">
            <v>Non-Fuel Base</v>
          </cell>
        </row>
        <row r="19">
          <cell r="B19" t="str">
            <v>Original Annualized</v>
          </cell>
          <cell r="C19">
            <v>434298</v>
          </cell>
          <cell r="E19">
            <v>48255</v>
          </cell>
          <cell r="G19">
            <v>482553</v>
          </cell>
          <cell r="I19">
            <v>10315570</v>
          </cell>
          <cell r="K19">
            <v>4.6779000000000001E-2</v>
          </cell>
        </row>
        <row r="20">
          <cell r="B20" t="str">
            <v>ECRR - CAAA component</v>
          </cell>
          <cell r="C20">
            <v>313</v>
          </cell>
          <cell r="E20">
            <v>35</v>
          </cell>
          <cell r="G20">
            <v>348</v>
          </cell>
        </row>
        <row r="21">
          <cell r="A21" t="str">
            <v xml:space="preserve"> </v>
          </cell>
          <cell r="B21" t="str">
            <v>ECRR  - conserv. component (excl. ccrf)</v>
          </cell>
          <cell r="C21">
            <v>3387</v>
          </cell>
          <cell r="E21">
            <v>376</v>
          </cell>
          <cell r="G21">
            <v>3763</v>
          </cell>
        </row>
        <row r="22">
          <cell r="B22" t="str">
            <v>GRT on  Fuel in Base</v>
          </cell>
          <cell r="C22" t="str">
            <v>-</v>
          </cell>
          <cell r="E22">
            <v>28242</v>
          </cell>
          <cell r="G22">
            <v>28242</v>
          </cell>
        </row>
        <row r="24">
          <cell r="B24" t="str">
            <v>Non-fuel base before weather normalization</v>
          </cell>
          <cell r="C24">
            <v>437998</v>
          </cell>
          <cell r="E24">
            <v>76908</v>
          </cell>
          <cell r="G24">
            <v>514906</v>
          </cell>
        </row>
        <row r="25">
          <cell r="I25">
            <v>-83782</v>
          </cell>
          <cell r="K25">
            <v>7.2605000000000003E-2</v>
          </cell>
        </row>
        <row r="26">
          <cell r="A26" t="str">
            <v xml:space="preserve"> Weather Normalization</v>
          </cell>
          <cell r="I26">
            <v>10231788</v>
          </cell>
          <cell r="K26">
            <v>4.6567999999999998E-2</v>
          </cell>
        </row>
        <row r="27">
          <cell r="B27" t="str">
            <v>Original Annualized</v>
          </cell>
          <cell r="C27">
            <v>-5475</v>
          </cell>
          <cell r="E27">
            <v>-608</v>
          </cell>
          <cell r="G27">
            <v>-6083</v>
          </cell>
          <cell r="I27">
            <v>476470</v>
          </cell>
        </row>
        <row r="30">
          <cell r="A30" t="str">
            <v>Non-fuel base after weather normalization</v>
          </cell>
          <cell r="C30">
            <v>432523</v>
          </cell>
          <cell r="E30">
            <v>76300</v>
          </cell>
          <cell r="G30">
            <v>508823</v>
          </cell>
        </row>
        <row r="32">
          <cell r="A32" t="str">
            <v>Fuel in Base (Non-W/N)</v>
          </cell>
          <cell r="C32">
            <v>254200</v>
          </cell>
          <cell r="E32" t="str">
            <v>-</v>
          </cell>
          <cell r="G32">
            <v>254200</v>
          </cell>
        </row>
        <row r="34">
          <cell r="A34" t="str">
            <v>Total base revenue (incl. FIB) before W/N</v>
          </cell>
          <cell r="C34">
            <v>692198</v>
          </cell>
          <cell r="E34">
            <v>76908</v>
          </cell>
          <cell r="G34">
            <v>769106</v>
          </cell>
        </row>
        <row r="35">
          <cell r="A35" t="str">
            <v>Total base revenue (incl. FIB) after W/N</v>
          </cell>
          <cell r="C35">
            <v>686723</v>
          </cell>
          <cell r="E35">
            <v>76300</v>
          </cell>
          <cell r="G35">
            <v>763023</v>
          </cell>
        </row>
        <row r="37">
          <cell r="A37" t="str">
            <v>FUEL REVENUE - Non W/N</v>
          </cell>
          <cell r="C37">
            <v>-21536</v>
          </cell>
          <cell r="E37">
            <v>-2393</v>
          </cell>
          <cell r="G37">
            <v>-23929</v>
          </cell>
        </row>
        <row r="40">
          <cell r="A40" t="str">
            <v>TOTAL REVENUE Non Weather Normalized</v>
          </cell>
          <cell r="G40">
            <v>745177</v>
          </cell>
        </row>
        <row r="43">
          <cell r="A43" t="str">
            <v>TOTAL REVENUE - WEATHER NORMALIZED</v>
          </cell>
          <cell r="G43">
            <v>739094</v>
          </cell>
        </row>
        <row r="46">
          <cell r="G46" t="str">
            <v>1998 Actual</v>
          </cell>
        </row>
        <row r="48">
          <cell r="C48" t="str">
            <v>`Normal'</v>
          </cell>
          <cell r="E48" t="str">
            <v>GRT</v>
          </cell>
          <cell r="G48" t="str">
            <v>Total (000 $)</v>
          </cell>
          <cell r="I48" t="str">
            <v>MWH</v>
          </cell>
          <cell r="K48" t="str">
            <v>Rate/kwh</v>
          </cell>
        </row>
        <row r="50">
          <cell r="A50" t="str">
            <v>Non-Fuel Base</v>
          </cell>
        </row>
        <row r="51">
          <cell r="B51" t="str">
            <v>Original Annualized</v>
          </cell>
          <cell r="C51">
            <v>430761</v>
          </cell>
          <cell r="E51">
            <v>47862</v>
          </cell>
          <cell r="G51">
            <v>478623</v>
          </cell>
          <cell r="I51">
            <v>10136667</v>
          </cell>
          <cell r="K51">
            <v>4.7217000000000002E-2</v>
          </cell>
        </row>
        <row r="52">
          <cell r="B52" t="str">
            <v>ECRR - CAAA component</v>
          </cell>
          <cell r="C52">
            <v>2114</v>
          </cell>
          <cell r="E52">
            <v>235</v>
          </cell>
          <cell r="G52">
            <v>2349</v>
          </cell>
        </row>
        <row r="53">
          <cell r="B53" t="str">
            <v>ECRR  - conserv. component (excl. ccrf)</v>
          </cell>
          <cell r="C53">
            <v>8674</v>
          </cell>
          <cell r="E53">
            <v>964</v>
          </cell>
          <cell r="G53">
            <v>9638</v>
          </cell>
        </row>
        <row r="54">
          <cell r="B54" t="str">
            <v>GRT on  Fuel in Base</v>
          </cell>
          <cell r="C54" t="str">
            <v>-</v>
          </cell>
          <cell r="E54">
            <v>28143</v>
          </cell>
          <cell r="G54">
            <v>28143</v>
          </cell>
        </row>
        <row r="55">
          <cell r="B55" t="str">
            <v>GRT Surcharge Credit</v>
          </cell>
          <cell r="E55">
            <v>-1463</v>
          </cell>
          <cell r="G55">
            <v>-1463</v>
          </cell>
        </row>
        <row r="57">
          <cell r="B57" t="str">
            <v>Non-fuel base before W/N</v>
          </cell>
          <cell r="C57">
            <v>441549</v>
          </cell>
          <cell r="E57">
            <v>75741</v>
          </cell>
          <cell r="G57">
            <v>517290</v>
          </cell>
        </row>
        <row r="58">
          <cell r="I58">
            <v>651</v>
          </cell>
          <cell r="K58">
            <v>0.889401</v>
          </cell>
        </row>
        <row r="59">
          <cell r="A59" t="str">
            <v>Weather Normalization</v>
          </cell>
          <cell r="I59">
            <v>10137318</v>
          </cell>
          <cell r="K59">
            <v>4.7271000000000001E-2</v>
          </cell>
        </row>
        <row r="60">
          <cell r="B60" t="str">
            <v>Original Annualized</v>
          </cell>
          <cell r="C60">
            <v>521</v>
          </cell>
          <cell r="E60">
            <v>58</v>
          </cell>
          <cell r="G60">
            <v>579</v>
          </cell>
          <cell r="I60">
            <v>479202</v>
          </cell>
        </row>
        <row r="63">
          <cell r="A63" t="str">
            <v>Non-fuel base after W/N</v>
          </cell>
          <cell r="C63">
            <v>442070</v>
          </cell>
          <cell r="E63">
            <v>75799</v>
          </cell>
          <cell r="G63">
            <v>517869</v>
          </cell>
        </row>
        <row r="66">
          <cell r="A66" t="str">
            <v>Fuel in Base (Non-W/N)</v>
          </cell>
          <cell r="C66">
            <v>253315</v>
          </cell>
          <cell r="E66" t="str">
            <v>-</v>
          </cell>
          <cell r="G66">
            <v>253315</v>
          </cell>
        </row>
        <row r="68">
          <cell r="A68" t="str">
            <v>Total base revenue (incl. FIB) before W/N</v>
          </cell>
          <cell r="C68">
            <v>694864</v>
          </cell>
          <cell r="E68">
            <v>75741</v>
          </cell>
          <cell r="G68">
            <v>770605</v>
          </cell>
        </row>
        <row r="69">
          <cell r="A69" t="str">
            <v>Total base revenue (incl. FIB) after W/N</v>
          </cell>
          <cell r="C69">
            <v>695385</v>
          </cell>
          <cell r="E69">
            <v>75799</v>
          </cell>
          <cell r="G69">
            <v>771184</v>
          </cell>
        </row>
        <row r="72">
          <cell r="A72" t="str">
            <v>FUEL REVENUE - annualized</v>
          </cell>
          <cell r="C72">
            <v>-18178</v>
          </cell>
          <cell r="E72">
            <v>-2020</v>
          </cell>
          <cell r="G72">
            <v>-20198</v>
          </cell>
        </row>
        <row r="75">
          <cell r="A75" t="str">
            <v>TOTAL REVENUE Non Weather Normalized per above</v>
          </cell>
          <cell r="G75">
            <v>750407</v>
          </cell>
        </row>
        <row r="79">
          <cell r="A79" t="str">
            <v>Total annualized revenue per Order,  before  Weather Normalization</v>
          </cell>
          <cell r="G79">
            <v>750407</v>
          </cell>
        </row>
        <row r="81">
          <cell r="A81" t="str">
            <v>TOTAL REVENUE - WEATHER NORMALIZED</v>
          </cell>
          <cell r="G81">
            <v>750986</v>
          </cell>
        </row>
        <row r="94">
          <cell r="A94" t="str">
            <v>POTOMAC ELECTRIC POWER COMPANY</v>
          </cell>
        </row>
        <row r="96">
          <cell r="A96" t="str">
            <v>District of Columbia</v>
          </cell>
        </row>
        <row r="97">
          <cell r="A97" t="str">
            <v>Composition of Revenues</v>
          </cell>
        </row>
        <row r="98">
          <cell r="A98" t="str">
            <v>1998 Projected</v>
          </cell>
        </row>
        <row r="101">
          <cell r="C101" t="str">
            <v>`Normal'</v>
          </cell>
          <cell r="E101" t="str">
            <v>GRT</v>
          </cell>
          <cell r="G101" t="str">
            <v>Total</v>
          </cell>
        </row>
        <row r="103">
          <cell r="A103" t="str">
            <v>Non-Fuel Base</v>
          </cell>
        </row>
        <row r="104">
          <cell r="B104" t="str">
            <v>Original Annualized</v>
          </cell>
          <cell r="C104">
            <v>432991</v>
          </cell>
          <cell r="E104">
            <v>48110</v>
          </cell>
          <cell r="G104">
            <v>481101</v>
          </cell>
          <cell r="I104">
            <v>10181982</v>
          </cell>
          <cell r="K104">
            <v>4.725E-2</v>
          </cell>
        </row>
        <row r="105">
          <cell r="B105" t="str">
            <v>ECRR - CAAA component</v>
          </cell>
          <cell r="C105">
            <v>2732</v>
          </cell>
          <cell r="E105">
            <v>304</v>
          </cell>
          <cell r="G105">
            <v>3036</v>
          </cell>
        </row>
        <row r="106">
          <cell r="A106" t="str">
            <v xml:space="preserve"> </v>
          </cell>
          <cell r="B106" t="str">
            <v>ECRR  - conserv. component (excl. ccrf)</v>
          </cell>
          <cell r="C106">
            <v>13253</v>
          </cell>
          <cell r="E106">
            <v>1473</v>
          </cell>
          <cell r="G106">
            <v>14726</v>
          </cell>
        </row>
        <row r="107">
          <cell r="B107" t="str">
            <v>GRT on  Fuel in Base</v>
          </cell>
          <cell r="C107" t="str">
            <v>-</v>
          </cell>
          <cell r="E107">
            <v>27873</v>
          </cell>
          <cell r="G107">
            <v>27873</v>
          </cell>
        </row>
        <row r="109">
          <cell r="B109" t="str">
            <v>Non-fuel base before weather normalization</v>
          </cell>
          <cell r="C109">
            <v>448976</v>
          </cell>
          <cell r="E109">
            <v>77760</v>
          </cell>
          <cell r="G109">
            <v>526736</v>
          </cell>
        </row>
        <row r="111">
          <cell r="A111" t="str">
            <v xml:space="preserve"> Weather Normalization</v>
          </cell>
        </row>
        <row r="112">
          <cell r="B112" t="str">
            <v>Original Annualized</v>
          </cell>
          <cell r="C112">
            <v>0</v>
          </cell>
          <cell r="E112">
            <v>0</v>
          </cell>
          <cell r="G112">
            <v>0</v>
          </cell>
        </row>
        <row r="113">
          <cell r="B113" t="str">
            <v>ECRR - CAAA component</v>
          </cell>
        </row>
        <row r="114">
          <cell r="B114" t="str">
            <v>ECRR  - conserv. component (excl. ccrf)</v>
          </cell>
        </row>
        <row r="116">
          <cell r="B116" t="str">
            <v xml:space="preserve">     Subtotal W/N</v>
          </cell>
          <cell r="C116">
            <v>0</v>
          </cell>
          <cell r="E116">
            <v>0</v>
          </cell>
          <cell r="G116">
            <v>0</v>
          </cell>
        </row>
        <row r="119">
          <cell r="A119" t="str">
            <v>Non-fuel base after weather normalization</v>
          </cell>
          <cell r="C119">
            <v>448976</v>
          </cell>
          <cell r="E119">
            <v>77760</v>
          </cell>
          <cell r="G119">
            <v>526736</v>
          </cell>
        </row>
        <row r="121">
          <cell r="A121" t="str">
            <v>Fuel in Base (Non-W/N)</v>
          </cell>
          <cell r="C121">
            <v>250883</v>
          </cell>
          <cell r="E121" t="str">
            <v>-</v>
          </cell>
          <cell r="G121">
            <v>250883</v>
          </cell>
        </row>
        <row r="123">
          <cell r="A123" t="str">
            <v>Total base revenue (incl. FIB) before W/N</v>
          </cell>
          <cell r="C123">
            <v>699859</v>
          </cell>
          <cell r="E123">
            <v>77760</v>
          </cell>
          <cell r="G123">
            <v>777619</v>
          </cell>
        </row>
        <row r="124">
          <cell r="A124" t="str">
            <v>Total base revenue (incl. FIB) after W/N</v>
          </cell>
          <cell r="C124">
            <v>699859</v>
          </cell>
          <cell r="E124">
            <v>77760</v>
          </cell>
          <cell r="G124">
            <v>777619</v>
          </cell>
        </row>
        <row r="127">
          <cell r="A127" t="str">
            <v>FUEL REVENUE - Non W/N</v>
          </cell>
          <cell r="C127">
            <v>16280</v>
          </cell>
          <cell r="E127">
            <v>1809</v>
          </cell>
          <cell r="G127">
            <v>18089</v>
          </cell>
        </row>
        <row r="130">
          <cell r="A130" t="str">
            <v>TOTAL REVENUE Non Weather Normalized</v>
          </cell>
          <cell r="G130">
            <v>795708</v>
          </cell>
          <cell r="I130">
            <v>795708</v>
          </cell>
        </row>
        <row r="133">
          <cell r="A133" t="str">
            <v>TOTAL REVENUE - WEATHER NORMALIZED</v>
          </cell>
          <cell r="G133">
            <v>795708</v>
          </cell>
        </row>
      </sheetData>
      <sheetData sheetId="9">
        <row r="1">
          <cell r="A1" t="str">
            <v>1998 Test Year</v>
          </cell>
        </row>
        <row r="3">
          <cell r="A3" t="str">
            <v>Analysis of Fuel Costs vs. Fuel Revenues</v>
          </cell>
        </row>
        <row r="7">
          <cell r="B7" t="str">
            <v>January</v>
          </cell>
          <cell r="C7" t="str">
            <v>February</v>
          </cell>
          <cell r="D7" t="str">
            <v>March</v>
          </cell>
          <cell r="E7" t="str">
            <v>April</v>
          </cell>
          <cell r="F7" t="str">
            <v>May</v>
          </cell>
          <cell r="G7" t="str">
            <v>June</v>
          </cell>
          <cell r="H7" t="str">
            <v>July</v>
          </cell>
          <cell r="I7" t="str">
            <v>August</v>
          </cell>
          <cell r="J7" t="str">
            <v>September</v>
          </cell>
          <cell r="K7" t="str">
            <v>October</v>
          </cell>
          <cell r="L7" t="str">
            <v>November</v>
          </cell>
          <cell r="M7" t="str">
            <v>December</v>
          </cell>
        </row>
        <row r="9">
          <cell r="A9" t="str">
            <v>Net F &amp; I</v>
          </cell>
          <cell r="B9">
            <v>47744</v>
          </cell>
          <cell r="C9">
            <v>44444</v>
          </cell>
          <cell r="D9">
            <v>41206</v>
          </cell>
          <cell r="E9">
            <v>36006</v>
          </cell>
          <cell r="F9">
            <v>40284</v>
          </cell>
          <cell r="G9">
            <v>52076</v>
          </cell>
          <cell r="H9">
            <v>58041</v>
          </cell>
          <cell r="I9">
            <v>56874</v>
          </cell>
          <cell r="J9">
            <v>49789</v>
          </cell>
          <cell r="K9">
            <v>41424</v>
          </cell>
          <cell r="L9">
            <v>41692</v>
          </cell>
          <cell r="M9">
            <v>50296</v>
          </cell>
          <cell r="N9">
            <v>559876</v>
          </cell>
        </row>
        <row r="10">
          <cell r="A10" t="str">
            <v>EUM credits</v>
          </cell>
          <cell r="G10">
            <v>3049</v>
          </cell>
          <cell r="H10">
            <v>3291</v>
          </cell>
          <cell r="I10">
            <v>3291</v>
          </cell>
          <cell r="J10">
            <v>3170</v>
          </cell>
          <cell r="K10">
            <v>3048</v>
          </cell>
          <cell r="N10">
            <v>15849</v>
          </cell>
        </row>
        <row r="11">
          <cell r="A11" t="str">
            <v>Handling,</v>
          </cell>
        </row>
        <row r="12">
          <cell r="A12" t="str">
            <v xml:space="preserve">  unit tr, ppl</v>
          </cell>
          <cell r="B12">
            <v>1623</v>
          </cell>
          <cell r="C12">
            <v>1627</v>
          </cell>
          <cell r="D12">
            <v>1633</v>
          </cell>
          <cell r="E12">
            <v>1637</v>
          </cell>
          <cell r="F12">
            <v>1642</v>
          </cell>
          <cell r="G12">
            <v>1645</v>
          </cell>
          <cell r="H12">
            <v>1651</v>
          </cell>
          <cell r="I12">
            <v>1655</v>
          </cell>
          <cell r="J12">
            <v>1660</v>
          </cell>
          <cell r="K12">
            <v>1665</v>
          </cell>
          <cell r="L12">
            <v>1670</v>
          </cell>
          <cell r="M12">
            <v>1674</v>
          </cell>
          <cell r="N12">
            <v>19782</v>
          </cell>
        </row>
        <row r="14">
          <cell r="A14" t="str">
            <v>Allocable for cost of service</v>
          </cell>
          <cell r="B14">
            <v>46121</v>
          </cell>
          <cell r="C14">
            <v>42817</v>
          </cell>
          <cell r="D14">
            <v>39573</v>
          </cell>
          <cell r="E14">
            <v>34369</v>
          </cell>
          <cell r="F14">
            <v>38642</v>
          </cell>
          <cell r="G14">
            <v>47382</v>
          </cell>
          <cell r="H14">
            <v>53099</v>
          </cell>
          <cell r="I14">
            <v>51928</v>
          </cell>
          <cell r="J14">
            <v>44959</v>
          </cell>
          <cell r="K14">
            <v>36711</v>
          </cell>
          <cell r="L14">
            <v>40022</v>
          </cell>
          <cell r="M14">
            <v>48622</v>
          </cell>
          <cell r="N14">
            <v>524245</v>
          </cell>
        </row>
        <row r="16">
          <cell r="A16" t="str">
            <v>kwh sales</v>
          </cell>
        </row>
        <row r="17">
          <cell r="A17" t="str">
            <v xml:space="preserve">  Allocator</v>
          </cell>
          <cell r="B17">
            <v>0.36128199999999999</v>
          </cell>
          <cell r="C17">
            <v>0.36627599999999999</v>
          </cell>
          <cell r="D17">
            <v>0.38165100000000002</v>
          </cell>
          <cell r="E17">
            <v>0.39855600000000002</v>
          </cell>
          <cell r="F17">
            <v>0.413937</v>
          </cell>
          <cell r="G17">
            <v>0.39697900000000003</v>
          </cell>
          <cell r="H17">
            <v>0.39024900000000001</v>
          </cell>
          <cell r="I17">
            <v>0.39258599999999999</v>
          </cell>
          <cell r="J17">
            <v>0.39800200000000002</v>
          </cell>
          <cell r="K17">
            <v>0.40197100000000002</v>
          </cell>
          <cell r="L17">
            <v>0.38983800000000002</v>
          </cell>
          <cell r="M17">
            <v>0.36885299999999999</v>
          </cell>
        </row>
        <row r="18">
          <cell r="A18" t="str">
            <v>DC F &amp; I</v>
          </cell>
          <cell r="B18">
            <v>16663</v>
          </cell>
          <cell r="C18">
            <v>15683</v>
          </cell>
          <cell r="D18">
            <v>15103</v>
          </cell>
          <cell r="E18">
            <v>13698</v>
          </cell>
          <cell r="F18">
            <v>15995</v>
          </cell>
          <cell r="G18">
            <v>18810</v>
          </cell>
          <cell r="H18">
            <v>20722</v>
          </cell>
          <cell r="I18">
            <v>20386</v>
          </cell>
          <cell r="J18">
            <v>17894</v>
          </cell>
          <cell r="K18">
            <v>14757</v>
          </cell>
          <cell r="L18">
            <v>15602</v>
          </cell>
          <cell r="M18">
            <v>17934</v>
          </cell>
          <cell r="N18">
            <v>203247</v>
          </cell>
        </row>
        <row r="19">
          <cell r="A19" t="str">
            <v>D.C. EUM  credits, directly assigned</v>
          </cell>
          <cell r="G19">
            <v>408</v>
          </cell>
          <cell r="H19">
            <v>522</v>
          </cell>
          <cell r="I19">
            <v>522</v>
          </cell>
          <cell r="J19">
            <v>466</v>
          </cell>
          <cell r="K19">
            <v>408</v>
          </cell>
          <cell r="N19">
            <v>2326</v>
          </cell>
        </row>
        <row r="20">
          <cell r="A20" t="str">
            <v>Net F &amp; I for cost of service</v>
          </cell>
          <cell r="B20">
            <v>16663</v>
          </cell>
          <cell r="C20">
            <v>15683</v>
          </cell>
          <cell r="D20">
            <v>15103</v>
          </cell>
          <cell r="E20">
            <v>13698</v>
          </cell>
          <cell r="F20">
            <v>15995</v>
          </cell>
          <cell r="G20">
            <v>19218</v>
          </cell>
          <cell r="H20">
            <v>21244</v>
          </cell>
          <cell r="I20">
            <v>20908</v>
          </cell>
          <cell r="J20">
            <v>18360</v>
          </cell>
          <cell r="K20">
            <v>15165</v>
          </cell>
          <cell r="L20">
            <v>15602</v>
          </cell>
          <cell r="M20">
            <v>17934</v>
          </cell>
          <cell r="N20">
            <v>205573</v>
          </cell>
        </row>
        <row r="23">
          <cell r="A23" t="str">
            <v>System capacity purchases</v>
          </cell>
          <cell r="B23">
            <v>12360</v>
          </cell>
          <cell r="C23">
            <v>12360</v>
          </cell>
          <cell r="D23">
            <v>12360</v>
          </cell>
          <cell r="E23">
            <v>12360</v>
          </cell>
          <cell r="F23">
            <v>12360</v>
          </cell>
          <cell r="G23">
            <v>12387</v>
          </cell>
          <cell r="H23">
            <v>12387</v>
          </cell>
          <cell r="I23">
            <v>12387</v>
          </cell>
          <cell r="J23">
            <v>12387</v>
          </cell>
          <cell r="K23">
            <v>12368</v>
          </cell>
          <cell r="L23">
            <v>12360</v>
          </cell>
          <cell r="M23">
            <v>12355</v>
          </cell>
          <cell r="N23">
            <v>148431</v>
          </cell>
        </row>
        <row r="24">
          <cell r="A24" t="str">
            <v>A &amp; E NCP  allocator, D.C.</v>
          </cell>
          <cell r="B24">
            <v>0.37769999999999998</v>
          </cell>
          <cell r="C24">
            <v>0.37769999999999998</v>
          </cell>
          <cell r="D24">
            <v>0.37769999999999998</v>
          </cell>
          <cell r="E24">
            <v>0.37769999999999998</v>
          </cell>
          <cell r="F24">
            <v>0.37769999999999998</v>
          </cell>
          <cell r="G24">
            <v>0.37769999999999998</v>
          </cell>
          <cell r="H24">
            <v>0.37769999999999998</v>
          </cell>
          <cell r="I24">
            <v>0.37769999999999998</v>
          </cell>
          <cell r="J24">
            <v>0.37769999999999998</v>
          </cell>
          <cell r="K24">
            <v>0.37769999999999998</v>
          </cell>
          <cell r="L24">
            <v>0.37769999999999998</v>
          </cell>
          <cell r="M24">
            <v>0.37769999999999998</v>
          </cell>
        </row>
        <row r="25">
          <cell r="A25" t="str">
            <v>D.C. Cap Purchase, allocated on demand</v>
          </cell>
          <cell r="B25">
            <v>4668</v>
          </cell>
          <cell r="C25">
            <v>4668</v>
          </cell>
          <cell r="D25">
            <v>4668</v>
          </cell>
          <cell r="E25">
            <v>4668</v>
          </cell>
          <cell r="F25">
            <v>4668</v>
          </cell>
          <cell r="G25">
            <v>4679</v>
          </cell>
          <cell r="H25">
            <v>4679</v>
          </cell>
          <cell r="I25">
            <v>4679</v>
          </cell>
          <cell r="J25">
            <v>4679</v>
          </cell>
          <cell r="K25">
            <v>4671</v>
          </cell>
          <cell r="L25">
            <v>4668</v>
          </cell>
          <cell r="M25">
            <v>4667</v>
          </cell>
          <cell r="N25">
            <v>56062</v>
          </cell>
        </row>
        <row r="27">
          <cell r="A27" t="str">
            <v>D.C. Cap Purch, allocated on KWH sales</v>
          </cell>
          <cell r="B27">
            <v>4465</v>
          </cell>
          <cell r="C27">
            <v>4527</v>
          </cell>
          <cell r="D27">
            <v>4717</v>
          </cell>
          <cell r="E27">
            <v>4926</v>
          </cell>
          <cell r="F27">
            <v>5116</v>
          </cell>
          <cell r="G27">
            <v>4917</v>
          </cell>
          <cell r="H27">
            <v>4834</v>
          </cell>
          <cell r="I27">
            <v>4863</v>
          </cell>
          <cell r="J27">
            <v>4930</v>
          </cell>
          <cell r="K27">
            <v>4972</v>
          </cell>
          <cell r="L27">
            <v>4818</v>
          </cell>
          <cell r="M27">
            <v>4557</v>
          </cell>
          <cell r="N27">
            <v>57642</v>
          </cell>
        </row>
        <row r="29">
          <cell r="A29" t="str">
            <v xml:space="preserve">Total D.C. recoverable fuel cost </v>
          </cell>
        </row>
        <row r="30">
          <cell r="A30" t="str">
            <v xml:space="preserve">     included in cost of service</v>
          </cell>
          <cell r="B30">
            <v>21331</v>
          </cell>
          <cell r="C30">
            <v>20351</v>
          </cell>
          <cell r="D30">
            <v>19771</v>
          </cell>
          <cell r="E30">
            <v>18366</v>
          </cell>
          <cell r="F30">
            <v>20663</v>
          </cell>
          <cell r="G30">
            <v>23897</v>
          </cell>
          <cell r="H30">
            <v>25923</v>
          </cell>
          <cell r="I30">
            <v>25587</v>
          </cell>
          <cell r="J30">
            <v>23039</v>
          </cell>
          <cell r="K30">
            <v>19836</v>
          </cell>
          <cell r="L30">
            <v>20270</v>
          </cell>
          <cell r="M30">
            <v>22601</v>
          </cell>
          <cell r="N30">
            <v>261635</v>
          </cell>
        </row>
        <row r="32">
          <cell r="A32" t="str">
            <v>D.C. non-recoverable fuel cost included</v>
          </cell>
        </row>
        <row r="33">
          <cell r="A33" t="str">
            <v xml:space="preserve">     in cost of service:</v>
          </cell>
          <cell r="B33">
            <v>586</v>
          </cell>
          <cell r="C33">
            <v>596</v>
          </cell>
          <cell r="D33">
            <v>623</v>
          </cell>
          <cell r="E33">
            <v>652</v>
          </cell>
          <cell r="F33">
            <v>680</v>
          </cell>
          <cell r="G33">
            <v>653</v>
          </cell>
          <cell r="H33">
            <v>644</v>
          </cell>
          <cell r="I33">
            <v>650</v>
          </cell>
          <cell r="J33">
            <v>661</v>
          </cell>
          <cell r="K33">
            <v>669</v>
          </cell>
          <cell r="L33">
            <v>651</v>
          </cell>
          <cell r="M33">
            <v>617</v>
          </cell>
          <cell r="N33">
            <v>7682</v>
          </cell>
        </row>
        <row r="35">
          <cell r="A35" t="str">
            <v>Fuel cost in cost of service</v>
          </cell>
          <cell r="B35">
            <v>21917</v>
          </cell>
          <cell r="C35">
            <v>20947</v>
          </cell>
          <cell r="D35">
            <v>20394</v>
          </cell>
          <cell r="E35">
            <v>19018</v>
          </cell>
          <cell r="F35">
            <v>21343</v>
          </cell>
          <cell r="G35">
            <v>24550</v>
          </cell>
          <cell r="H35">
            <v>26567</v>
          </cell>
          <cell r="I35">
            <v>26237</v>
          </cell>
          <cell r="J35">
            <v>23700</v>
          </cell>
          <cell r="K35">
            <v>20505</v>
          </cell>
          <cell r="L35">
            <v>20921</v>
          </cell>
          <cell r="M35">
            <v>23218</v>
          </cell>
          <cell r="N35">
            <v>269317</v>
          </cell>
        </row>
        <row r="37">
          <cell r="A37" t="str">
            <v>Fuel to be recovered in FAC</v>
          </cell>
        </row>
        <row r="38">
          <cell r="A38" t="str">
            <v xml:space="preserve">      Net F &amp; I, incl EUM credits</v>
          </cell>
          <cell r="B38">
            <v>46121</v>
          </cell>
          <cell r="C38">
            <v>42817</v>
          </cell>
          <cell r="D38">
            <v>39573</v>
          </cell>
          <cell r="E38">
            <v>34369</v>
          </cell>
          <cell r="F38">
            <v>38642</v>
          </cell>
          <cell r="G38">
            <v>50431</v>
          </cell>
          <cell r="H38">
            <v>56390</v>
          </cell>
          <cell r="I38">
            <v>55219</v>
          </cell>
          <cell r="J38">
            <v>48129</v>
          </cell>
          <cell r="K38">
            <v>39759</v>
          </cell>
          <cell r="L38">
            <v>40022</v>
          </cell>
          <cell r="M38">
            <v>48622</v>
          </cell>
          <cell r="N38">
            <v>540094</v>
          </cell>
        </row>
        <row r="39">
          <cell r="A39" t="str">
            <v xml:space="preserve">      Capacity</v>
          </cell>
          <cell r="B39">
            <v>12360</v>
          </cell>
          <cell r="C39">
            <v>12360</v>
          </cell>
          <cell r="D39">
            <v>12360</v>
          </cell>
          <cell r="E39">
            <v>12360</v>
          </cell>
          <cell r="F39">
            <v>12360</v>
          </cell>
          <cell r="G39">
            <v>12387</v>
          </cell>
          <cell r="H39">
            <v>12387</v>
          </cell>
          <cell r="I39">
            <v>12387</v>
          </cell>
          <cell r="J39">
            <v>12387</v>
          </cell>
          <cell r="K39">
            <v>12368</v>
          </cell>
          <cell r="L39">
            <v>12360</v>
          </cell>
          <cell r="M39">
            <v>12355</v>
          </cell>
          <cell r="N39">
            <v>148431</v>
          </cell>
        </row>
        <row r="40">
          <cell r="B40">
            <v>58481</v>
          </cell>
          <cell r="C40">
            <v>55177</v>
          </cell>
          <cell r="D40">
            <v>51933</v>
          </cell>
          <cell r="E40">
            <v>46729</v>
          </cell>
          <cell r="F40">
            <v>51002</v>
          </cell>
          <cell r="G40">
            <v>62818</v>
          </cell>
          <cell r="H40">
            <v>68777</v>
          </cell>
          <cell r="I40">
            <v>67606</v>
          </cell>
          <cell r="J40">
            <v>60516</v>
          </cell>
          <cell r="K40">
            <v>52127</v>
          </cell>
          <cell r="L40">
            <v>52382</v>
          </cell>
          <cell r="M40">
            <v>60977</v>
          </cell>
          <cell r="N40">
            <v>688525</v>
          </cell>
        </row>
        <row r="41">
          <cell r="B41">
            <v>0.36128199999999999</v>
          </cell>
          <cell r="C41">
            <v>0.36627599999999999</v>
          </cell>
          <cell r="D41">
            <v>0.38165100000000002</v>
          </cell>
          <cell r="E41">
            <v>0.39855600000000002</v>
          </cell>
          <cell r="F41">
            <v>0.413937</v>
          </cell>
          <cell r="G41">
            <v>0.39697900000000003</v>
          </cell>
          <cell r="H41">
            <v>0.39024900000000001</v>
          </cell>
          <cell r="I41">
            <v>0.39258599999999999</v>
          </cell>
          <cell r="J41">
            <v>0.39800200000000002</v>
          </cell>
          <cell r="K41">
            <v>0.40197100000000002</v>
          </cell>
          <cell r="L41">
            <v>0.38983800000000002</v>
          </cell>
          <cell r="M41">
            <v>0.36885299999999999</v>
          </cell>
        </row>
        <row r="42">
          <cell r="A42" t="str">
            <v xml:space="preserve">      Net D.C. recoverable</v>
          </cell>
          <cell r="B42">
            <v>21128</v>
          </cell>
          <cell r="C42">
            <v>20210</v>
          </cell>
          <cell r="D42">
            <v>19820</v>
          </cell>
          <cell r="E42">
            <v>18624</v>
          </cell>
          <cell r="F42">
            <v>21112</v>
          </cell>
          <cell r="G42">
            <v>24937</v>
          </cell>
          <cell r="H42">
            <v>26840</v>
          </cell>
          <cell r="I42">
            <v>26541</v>
          </cell>
          <cell r="J42">
            <v>24085</v>
          </cell>
          <cell r="K42">
            <v>20954</v>
          </cell>
          <cell r="L42">
            <v>20420</v>
          </cell>
          <cell r="M42">
            <v>22492</v>
          </cell>
          <cell r="N42">
            <v>267163</v>
          </cell>
        </row>
        <row r="44">
          <cell r="A44" t="str">
            <v>D.C. fuel in base (per Revenue Analysis)</v>
          </cell>
          <cell r="B44">
            <v>21108</v>
          </cell>
          <cell r="C44">
            <v>19240</v>
          </cell>
          <cell r="D44">
            <v>19521</v>
          </cell>
          <cell r="E44">
            <v>18099</v>
          </cell>
          <cell r="F44">
            <v>20330</v>
          </cell>
          <cell r="G44">
            <v>22591</v>
          </cell>
          <cell r="H44">
            <v>26027</v>
          </cell>
          <cell r="I44">
            <v>25168</v>
          </cell>
          <cell r="J44">
            <v>20661</v>
          </cell>
          <cell r="K44">
            <v>18672</v>
          </cell>
          <cell r="L44">
            <v>18671</v>
          </cell>
          <cell r="M44">
            <v>20795</v>
          </cell>
          <cell r="N44">
            <v>250883</v>
          </cell>
        </row>
        <row r="46">
          <cell r="A46" t="str">
            <v xml:space="preserve">D.C. fuel revenue excl GRT </v>
          </cell>
          <cell r="B46">
            <v>20</v>
          </cell>
          <cell r="C46">
            <v>970</v>
          </cell>
          <cell r="D46">
            <v>299</v>
          </cell>
          <cell r="E46">
            <v>525</v>
          </cell>
          <cell r="F46">
            <v>782</v>
          </cell>
          <cell r="G46">
            <v>2346</v>
          </cell>
          <cell r="H46">
            <v>813</v>
          </cell>
          <cell r="I46">
            <v>1373</v>
          </cell>
          <cell r="J46">
            <v>3424</v>
          </cell>
          <cell r="K46">
            <v>2282</v>
          </cell>
          <cell r="L46">
            <v>1749</v>
          </cell>
          <cell r="M46">
            <v>1697</v>
          </cell>
          <cell r="N46">
            <v>16280</v>
          </cell>
        </row>
        <row r="47">
          <cell r="A47" t="str">
            <v>GRT</v>
          </cell>
          <cell r="B47">
            <v>2</v>
          </cell>
          <cell r="C47">
            <v>108</v>
          </cell>
          <cell r="D47">
            <v>33</v>
          </cell>
          <cell r="E47">
            <v>58</v>
          </cell>
          <cell r="F47">
            <v>87</v>
          </cell>
          <cell r="G47">
            <v>261</v>
          </cell>
          <cell r="H47">
            <v>90</v>
          </cell>
          <cell r="I47">
            <v>153</v>
          </cell>
          <cell r="J47">
            <v>380</v>
          </cell>
          <cell r="K47">
            <v>254</v>
          </cell>
          <cell r="L47">
            <v>194</v>
          </cell>
          <cell r="M47">
            <v>189</v>
          </cell>
          <cell r="N47">
            <v>1809</v>
          </cell>
        </row>
        <row r="48">
          <cell r="A48" t="str">
            <v>Fuel revenue currently included  in COS</v>
          </cell>
          <cell r="B48">
            <v>22</v>
          </cell>
          <cell r="C48">
            <v>1078</v>
          </cell>
          <cell r="D48">
            <v>332</v>
          </cell>
          <cell r="E48">
            <v>583</v>
          </cell>
          <cell r="F48">
            <v>869</v>
          </cell>
          <cell r="G48">
            <v>2607</v>
          </cell>
          <cell r="H48">
            <v>903</v>
          </cell>
          <cell r="I48">
            <v>1526</v>
          </cell>
          <cell r="J48">
            <v>3804</v>
          </cell>
          <cell r="K48">
            <v>2536</v>
          </cell>
          <cell r="L48">
            <v>1943</v>
          </cell>
          <cell r="M48">
            <v>1886</v>
          </cell>
          <cell r="N48">
            <v>16280</v>
          </cell>
        </row>
      </sheetData>
      <sheetData sheetId="10">
        <row r="3">
          <cell r="A3" t="str">
            <v>ANALYSIS OF OTHER O &amp; M</v>
          </cell>
        </row>
        <row r="5">
          <cell r="C5" t="str">
            <v xml:space="preserve"> 1996 DETAIL</v>
          </cell>
          <cell r="G5" t="str">
            <v>FC 951</v>
          </cell>
        </row>
        <row r="6">
          <cell r="C6" t="str">
            <v>12 mos. ended 12/31/1998</v>
          </cell>
          <cell r="G6" t="str">
            <v>12 mos. ended 12/31/1995</v>
          </cell>
          <cell r="N6" t="str">
            <v>Change due</v>
          </cell>
          <cell r="O6" t="str">
            <v>Change due</v>
          </cell>
        </row>
        <row r="7">
          <cell r="N7" t="str">
            <v xml:space="preserve">D </v>
          </cell>
          <cell r="O7" t="str">
            <v xml:space="preserve">D </v>
          </cell>
        </row>
        <row r="8">
          <cell r="C8" t="str">
            <v>System</v>
          </cell>
          <cell r="D8" t="str">
            <v>DC</v>
          </cell>
          <cell r="G8" t="str">
            <v>System</v>
          </cell>
          <cell r="H8" t="str">
            <v>DC</v>
          </cell>
          <cell r="K8" t="str">
            <v>System</v>
          </cell>
          <cell r="L8" t="str">
            <v>DC</v>
          </cell>
          <cell r="N8" t="str">
            <v>Costs</v>
          </cell>
          <cell r="O8" t="str">
            <v>Allocator</v>
          </cell>
          <cell r="P8" t="str">
            <v>Net</v>
          </cell>
          <cell r="Q8" t="str">
            <v>Check</v>
          </cell>
        </row>
        <row r="10">
          <cell r="A10" t="str">
            <v>Unadjusted</v>
          </cell>
          <cell r="C10">
            <v>313967</v>
          </cell>
          <cell r="D10">
            <v>121408</v>
          </cell>
          <cell r="E10">
            <v>0.38669999999999999</v>
          </cell>
          <cell r="G10">
            <v>301638</v>
          </cell>
          <cell r="H10">
            <v>118054</v>
          </cell>
          <cell r="I10">
            <v>0.39140000000000003</v>
          </cell>
          <cell r="K10">
            <v>12329</v>
          </cell>
          <cell r="L10">
            <v>3354</v>
          </cell>
          <cell r="N10">
            <v>4826</v>
          </cell>
          <cell r="O10">
            <v>-1476</v>
          </cell>
          <cell r="P10">
            <v>3350</v>
          </cell>
          <cell r="Q10">
            <v>3354</v>
          </cell>
        </row>
        <row r="11">
          <cell r="A11" t="str">
            <v>Contr Ctr Lease</v>
          </cell>
          <cell r="C11">
            <v>15251</v>
          </cell>
          <cell r="D11">
            <v>6014</v>
          </cell>
          <cell r="E11">
            <v>0.39433000000000001</v>
          </cell>
          <cell r="G11">
            <v>15251</v>
          </cell>
          <cell r="H11">
            <v>6055</v>
          </cell>
          <cell r="I11">
            <v>0.39700000000000002</v>
          </cell>
          <cell r="K11">
            <v>0</v>
          </cell>
          <cell r="L11">
            <v>-41</v>
          </cell>
          <cell r="N11">
            <v>0</v>
          </cell>
          <cell r="O11">
            <v>-41</v>
          </cell>
          <cell r="P11">
            <v>-41</v>
          </cell>
          <cell r="Q11">
            <v>41</v>
          </cell>
        </row>
        <row r="12">
          <cell r="C12">
            <v>329218</v>
          </cell>
          <cell r="D12">
            <v>127422</v>
          </cell>
          <cell r="E12">
            <v>0.38700000000000001</v>
          </cell>
          <cell r="G12">
            <v>316889</v>
          </cell>
          <cell r="H12">
            <v>124109</v>
          </cell>
        </row>
        <row r="14">
          <cell r="A14" t="str">
            <v>RMA's</v>
          </cell>
        </row>
        <row r="15">
          <cell r="B15" t="str">
            <v>Wages</v>
          </cell>
          <cell r="C15">
            <v>4582</v>
          </cell>
          <cell r="D15">
            <v>1774</v>
          </cell>
          <cell r="E15">
            <v>0.38716</v>
          </cell>
          <cell r="G15">
            <v>6130</v>
          </cell>
          <cell r="H15">
            <v>2389</v>
          </cell>
          <cell r="I15">
            <v>0.38969999999999999</v>
          </cell>
          <cell r="K15">
            <v>-1548</v>
          </cell>
          <cell r="L15">
            <v>-615</v>
          </cell>
        </row>
        <row r="16">
          <cell r="B16" t="str">
            <v>VSP</v>
          </cell>
          <cell r="C16">
            <v>-11996</v>
          </cell>
          <cell r="D16">
            <v>-4644</v>
          </cell>
          <cell r="E16">
            <v>0.38716</v>
          </cell>
          <cell r="G16">
            <v>-7999</v>
          </cell>
          <cell r="H16">
            <v>-3117</v>
          </cell>
          <cell r="I16">
            <v>0.38969999999999999</v>
          </cell>
          <cell r="K16">
            <v>-3997</v>
          </cell>
          <cell r="L16">
            <v>-1527</v>
          </cell>
        </row>
        <row r="17">
          <cell r="B17" t="str">
            <v>Restaffing</v>
          </cell>
          <cell r="C17">
            <v>8062</v>
          </cell>
          <cell r="D17">
            <v>3121</v>
          </cell>
          <cell r="E17">
            <v>0.38716</v>
          </cell>
          <cell r="G17">
            <v>0</v>
          </cell>
          <cell r="H17">
            <v>0</v>
          </cell>
          <cell r="K17">
            <v>8062</v>
          </cell>
          <cell r="L17">
            <v>3121</v>
          </cell>
        </row>
        <row r="18">
          <cell r="C18">
            <v>648</v>
          </cell>
          <cell r="D18">
            <v>251</v>
          </cell>
          <cell r="G18">
            <v>-1869</v>
          </cell>
          <cell r="H18">
            <v>-728</v>
          </cell>
        </row>
        <row r="19">
          <cell r="B19" t="str">
            <v>VSP</v>
          </cell>
          <cell r="C19">
            <v>2038</v>
          </cell>
          <cell r="D19">
            <v>789</v>
          </cell>
          <cell r="E19">
            <v>0.38716</v>
          </cell>
        </row>
        <row r="20">
          <cell r="B20" t="str">
            <v>Gainshare</v>
          </cell>
          <cell r="C20">
            <v>0</v>
          </cell>
          <cell r="D20">
            <v>0</v>
          </cell>
          <cell r="E20">
            <v>0.38716</v>
          </cell>
          <cell r="G20">
            <v>-3527</v>
          </cell>
          <cell r="H20">
            <v>-1374</v>
          </cell>
          <cell r="I20">
            <v>0.38969999999999999</v>
          </cell>
          <cell r="K20">
            <v>3527</v>
          </cell>
          <cell r="L20">
            <v>1374</v>
          </cell>
        </row>
        <row r="21">
          <cell r="B21" t="str">
            <v>Benefits</v>
          </cell>
          <cell r="C21">
            <v>2888</v>
          </cell>
          <cell r="D21">
            <v>1118</v>
          </cell>
          <cell r="E21">
            <v>0.38716</v>
          </cell>
          <cell r="K21">
            <v>2888</v>
          </cell>
          <cell r="L21">
            <v>1118</v>
          </cell>
        </row>
        <row r="22">
          <cell r="B22" t="str">
            <v>SERP</v>
          </cell>
          <cell r="C22">
            <v>-583</v>
          </cell>
          <cell r="D22">
            <v>-226</v>
          </cell>
          <cell r="E22">
            <v>0.38716</v>
          </cell>
          <cell r="G22">
            <v>-672</v>
          </cell>
          <cell r="H22">
            <v>-262</v>
          </cell>
          <cell r="I22">
            <v>0.38969999999999999</v>
          </cell>
          <cell r="K22">
            <v>89</v>
          </cell>
          <cell r="L22">
            <v>36</v>
          </cell>
        </row>
        <row r="23">
          <cell r="B23" t="str">
            <v>EPRI</v>
          </cell>
          <cell r="C23">
            <v>-3045</v>
          </cell>
          <cell r="D23">
            <v>-1179</v>
          </cell>
          <cell r="E23">
            <v>0.38716</v>
          </cell>
          <cell r="G23">
            <v>-216</v>
          </cell>
          <cell r="H23">
            <v>-84</v>
          </cell>
          <cell r="I23">
            <v>0.38969999999999999</v>
          </cell>
          <cell r="K23">
            <v>-2829</v>
          </cell>
          <cell r="L23">
            <v>-1095</v>
          </cell>
        </row>
        <row r="24">
          <cell r="B24" t="str">
            <v>Ind Contr</v>
          </cell>
          <cell r="C24">
            <v>-1233</v>
          </cell>
          <cell r="D24">
            <v>-477</v>
          </cell>
          <cell r="E24">
            <v>0.38716</v>
          </cell>
          <cell r="G24">
            <v>-1097</v>
          </cell>
          <cell r="H24">
            <v>-428</v>
          </cell>
          <cell r="I24">
            <v>0.38969999999999999</v>
          </cell>
          <cell r="K24">
            <v>-136</v>
          </cell>
          <cell r="L24">
            <v>-49</v>
          </cell>
        </row>
        <row r="25">
          <cell r="B25" t="str">
            <v>Adv</v>
          </cell>
          <cell r="C25">
            <v>-4423</v>
          </cell>
          <cell r="D25">
            <v>-1286</v>
          </cell>
          <cell r="E25">
            <v>0.29085</v>
          </cell>
          <cell r="G25">
            <v>-888</v>
          </cell>
          <cell r="H25">
            <v>-346</v>
          </cell>
          <cell r="I25">
            <v>0.38969999999999999</v>
          </cell>
          <cell r="K25">
            <v>-3535</v>
          </cell>
          <cell r="L25">
            <v>-940</v>
          </cell>
        </row>
        <row r="26">
          <cell r="B26" t="str">
            <v>Cust Dep Int</v>
          </cell>
          <cell r="C26">
            <v>505</v>
          </cell>
          <cell r="D26">
            <v>505</v>
          </cell>
          <cell r="E26">
            <v>1</v>
          </cell>
          <cell r="G26">
            <v>566</v>
          </cell>
          <cell r="H26">
            <v>566</v>
          </cell>
          <cell r="I26">
            <v>1</v>
          </cell>
          <cell r="K26">
            <v>-61</v>
          </cell>
          <cell r="L26">
            <v>-61</v>
          </cell>
        </row>
        <row r="27">
          <cell r="B27" t="str">
            <v>Reg</v>
          </cell>
          <cell r="C27">
            <v>48</v>
          </cell>
          <cell r="D27">
            <v>48</v>
          </cell>
          <cell r="E27">
            <v>1</v>
          </cell>
          <cell r="G27">
            <v>208</v>
          </cell>
          <cell r="H27">
            <v>208</v>
          </cell>
          <cell r="I27">
            <v>1</v>
          </cell>
          <cell r="K27">
            <v>-160</v>
          </cell>
          <cell r="L27">
            <v>-160</v>
          </cell>
        </row>
        <row r="28">
          <cell r="B28" t="str">
            <v>Y2K</v>
          </cell>
          <cell r="C28">
            <v>-1671</v>
          </cell>
          <cell r="D28">
            <v>-647</v>
          </cell>
          <cell r="E28">
            <v>0.38716</v>
          </cell>
          <cell r="K28">
            <v>-1671</v>
          </cell>
          <cell r="L28">
            <v>-647</v>
          </cell>
        </row>
        <row r="29">
          <cell r="B29" t="str">
            <v>PJM</v>
          </cell>
          <cell r="C29">
            <v>1998</v>
          </cell>
          <cell r="D29">
            <v>774</v>
          </cell>
          <cell r="E29">
            <v>0.38716</v>
          </cell>
          <cell r="K29">
            <v>1998</v>
          </cell>
          <cell r="L29">
            <v>774</v>
          </cell>
        </row>
        <row r="32">
          <cell r="B32" t="str">
            <v>subtotal RMA's</v>
          </cell>
          <cell r="C32">
            <v>-2830</v>
          </cell>
          <cell r="D32">
            <v>-330</v>
          </cell>
          <cell r="G32">
            <v>-7495</v>
          </cell>
          <cell r="H32">
            <v>-2448</v>
          </cell>
          <cell r="K32">
            <v>110</v>
          </cell>
          <cell r="L32">
            <v>350</v>
          </cell>
          <cell r="N32">
            <v>1856</v>
          </cell>
          <cell r="O32">
            <v>277</v>
          </cell>
          <cell r="P32">
            <v>2133</v>
          </cell>
          <cell r="Q32">
            <v>-2118</v>
          </cell>
        </row>
        <row r="35">
          <cell r="B35" t="str">
            <v>Total</v>
          </cell>
          <cell r="C35">
            <v>326388</v>
          </cell>
          <cell r="D35">
            <v>127092</v>
          </cell>
          <cell r="E35">
            <v>0.38940000000000002</v>
          </cell>
          <cell r="G35">
            <v>309394</v>
          </cell>
          <cell r="H35">
            <v>121661</v>
          </cell>
          <cell r="I35">
            <v>0.39319999999999999</v>
          </cell>
          <cell r="K35">
            <v>16994</v>
          </cell>
          <cell r="L35">
            <v>5431</v>
          </cell>
          <cell r="N35">
            <v>6682</v>
          </cell>
          <cell r="O35">
            <v>-1240</v>
          </cell>
          <cell r="P35">
            <v>5442</v>
          </cell>
          <cell r="Q35">
            <v>5431</v>
          </cell>
        </row>
      </sheetData>
      <sheetData sheetId="11">
        <row r="1">
          <cell r="O1" t="str">
            <v>POTOMAC ELECTRIC POWER COMPANY</v>
          </cell>
        </row>
        <row r="2">
          <cell r="O2" t="str">
            <v>District of Columbia</v>
          </cell>
        </row>
        <row r="3">
          <cell r="O3" t="str">
            <v>Analysis of Revenue Requirement -- F.C. 939 Per Order vs. Twelve Months Ended December 31, 1995</v>
          </cell>
        </row>
        <row r="5">
          <cell r="A5" t="str">
            <v>RECONCILIATION OF GROSS RECEIPTS TAX CALC</v>
          </cell>
          <cell r="J5">
            <v>36398.59824861111</v>
          </cell>
          <cell r="O5" t="str">
            <v>Summary of Gross Receipts Tax Calculation vs. Cost of Service</v>
          </cell>
          <cell r="AA5" t="str">
            <v>Analysis of F.C. 939 gross receipts tax - Impact of June 94 increase to 10%</v>
          </cell>
        </row>
        <row r="6">
          <cell r="J6">
            <v>36398.59824861111</v>
          </cell>
        </row>
        <row r="7">
          <cell r="O7" t="str">
            <v>Formal Case 939</v>
          </cell>
        </row>
        <row r="9">
          <cell r="D9" t="str">
            <v xml:space="preserve"> </v>
          </cell>
          <cell r="J9" t="str">
            <v>Revenue</v>
          </cell>
          <cell r="Q9" t="str">
            <v>Forfeited</v>
          </cell>
          <cell r="V9" t="str">
            <v>Calc rate</v>
          </cell>
          <cell r="W9" t="str">
            <v xml:space="preserve">GRT on </v>
          </cell>
          <cell r="X9" t="str">
            <v xml:space="preserve">GRT on </v>
          </cell>
          <cell r="Y9" t="str">
            <v xml:space="preserve">GRT on </v>
          </cell>
        </row>
        <row r="10">
          <cell r="D10" t="str">
            <v>1996</v>
          </cell>
          <cell r="F10" t="str">
            <v>1995</v>
          </cell>
          <cell r="H10" t="str">
            <v>Difference</v>
          </cell>
          <cell r="J10" t="str">
            <v>Requirement</v>
          </cell>
          <cell r="Q10" t="str">
            <v>Discounts</v>
          </cell>
          <cell r="R10" t="str">
            <v>rents, other</v>
          </cell>
          <cell r="U10" t="str">
            <v>Calc rate</v>
          </cell>
          <cell r="V10" t="str">
            <v>on  Rev</v>
          </cell>
          <cell r="W10" t="str">
            <v>Total Rev</v>
          </cell>
          <cell r="X10" t="str">
            <v xml:space="preserve"> Rev excl</v>
          </cell>
          <cell r="Y10" t="str">
            <v xml:space="preserve"> Rev excl</v>
          </cell>
        </row>
        <row r="11">
          <cell r="P11" t="str">
            <v>Sale of Elec</v>
          </cell>
          <cell r="Q11" t="str">
            <v>&amp; Misc</v>
          </cell>
          <cell r="R11" t="str">
            <v>(A/C 454,456)</v>
          </cell>
          <cell r="S11" t="str">
            <v>Total</v>
          </cell>
          <cell r="T11" t="str">
            <v>GRT</v>
          </cell>
          <cell r="U11" t="str">
            <v>on total Rev</v>
          </cell>
          <cell r="V11" t="str">
            <v>excl rents</v>
          </cell>
          <cell r="W11" t="str">
            <v>@ 10%</v>
          </cell>
          <cell r="X11" t="str">
            <v>rents@ 10%</v>
          </cell>
          <cell r="Y11" t="str">
            <v>rents@ avg</v>
          </cell>
          <cell r="Z11">
            <v>9.973333333333334E-2</v>
          </cell>
          <cell r="AB11" t="str">
            <v>rev subj to grt</v>
          </cell>
        </row>
        <row r="12">
          <cell r="A12" t="str">
            <v>Per Book GRT</v>
          </cell>
          <cell r="D12">
            <v>74456</v>
          </cell>
          <cell r="F12">
            <v>73033</v>
          </cell>
          <cell r="H12">
            <v>1423</v>
          </cell>
        </row>
        <row r="13">
          <cell r="O13" t="str">
            <v>January</v>
          </cell>
          <cell r="P13">
            <v>52664</v>
          </cell>
          <cell r="Q13">
            <v>151</v>
          </cell>
          <cell r="R13">
            <v>170</v>
          </cell>
          <cell r="S13">
            <v>52985</v>
          </cell>
          <cell r="T13">
            <v>5097</v>
          </cell>
          <cell r="U13">
            <v>9.6199999999999994E-2</v>
          </cell>
          <cell r="V13">
            <v>9.6500000000000002E-2</v>
          </cell>
          <cell r="W13">
            <v>5299</v>
          </cell>
          <cell r="X13">
            <v>5282</v>
          </cell>
          <cell r="Y13">
            <v>5267</v>
          </cell>
          <cell r="Z13">
            <v>170</v>
          </cell>
          <cell r="AA13" t="str">
            <v>January</v>
          </cell>
          <cell r="AB13">
            <v>52815</v>
          </cell>
        </row>
        <row r="14">
          <cell r="A14" t="str">
            <v>RMA's</v>
          </cell>
          <cell r="D14">
            <v>-666</v>
          </cell>
          <cell r="F14">
            <v>843</v>
          </cell>
          <cell r="O14" t="str">
            <v>February</v>
          </cell>
          <cell r="P14">
            <v>46992</v>
          </cell>
          <cell r="Q14">
            <v>154</v>
          </cell>
          <cell r="R14">
            <v>70</v>
          </cell>
          <cell r="S14">
            <v>47216</v>
          </cell>
          <cell r="T14">
            <v>4558</v>
          </cell>
          <cell r="U14">
            <v>9.6500000000000002E-2</v>
          </cell>
          <cell r="V14">
            <v>9.6699999999999994E-2</v>
          </cell>
          <cell r="W14">
            <v>4722</v>
          </cell>
          <cell r="X14">
            <v>4715</v>
          </cell>
          <cell r="Y14">
            <v>4702</v>
          </cell>
          <cell r="Z14">
            <v>144</v>
          </cell>
          <cell r="AA14" t="str">
            <v>February</v>
          </cell>
          <cell r="AB14">
            <v>47146</v>
          </cell>
        </row>
        <row r="15">
          <cell r="H15">
            <v>-1509</v>
          </cell>
          <cell r="O15" t="str">
            <v>March</v>
          </cell>
          <cell r="P15">
            <v>48772</v>
          </cell>
          <cell r="Q15">
            <v>121</v>
          </cell>
          <cell r="R15">
            <v>78</v>
          </cell>
          <cell r="S15">
            <v>48971</v>
          </cell>
          <cell r="T15">
            <v>4722</v>
          </cell>
          <cell r="U15">
            <v>9.64E-2</v>
          </cell>
          <cell r="V15">
            <v>9.6600000000000005E-2</v>
          </cell>
          <cell r="W15">
            <v>4897</v>
          </cell>
          <cell r="X15">
            <v>4889</v>
          </cell>
          <cell r="Y15">
            <v>4876</v>
          </cell>
          <cell r="Z15">
            <v>154</v>
          </cell>
          <cell r="AA15" t="str">
            <v>March</v>
          </cell>
          <cell r="AB15">
            <v>48893</v>
          </cell>
        </row>
        <row r="16">
          <cell r="A16" t="str">
            <v>Rate Relief</v>
          </cell>
          <cell r="O16" t="str">
            <v>April</v>
          </cell>
          <cell r="P16">
            <v>46322</v>
          </cell>
          <cell r="Q16">
            <v>140</v>
          </cell>
          <cell r="R16">
            <v>74</v>
          </cell>
          <cell r="S16">
            <v>46536</v>
          </cell>
          <cell r="T16">
            <v>4489</v>
          </cell>
          <cell r="U16">
            <v>9.6500000000000002E-2</v>
          </cell>
          <cell r="V16">
            <v>9.6600000000000005E-2</v>
          </cell>
          <cell r="W16">
            <v>4654</v>
          </cell>
          <cell r="X16">
            <v>4646</v>
          </cell>
          <cell r="Y16">
            <v>4634</v>
          </cell>
          <cell r="Z16">
            <v>145</v>
          </cell>
          <cell r="AA16" t="str">
            <v>April</v>
          </cell>
          <cell r="AB16">
            <v>46462</v>
          </cell>
        </row>
        <row r="17">
          <cell r="O17" t="str">
            <v>May</v>
          </cell>
          <cell r="P17">
            <v>58870</v>
          </cell>
          <cell r="Q17">
            <v>121</v>
          </cell>
          <cell r="R17">
            <v>79</v>
          </cell>
          <cell r="S17">
            <v>59070</v>
          </cell>
          <cell r="T17">
            <v>5706</v>
          </cell>
          <cell r="U17">
            <v>9.6600000000000005E-2</v>
          </cell>
          <cell r="V17">
            <v>9.6699999999999994E-2</v>
          </cell>
          <cell r="W17">
            <v>5907</v>
          </cell>
          <cell r="X17">
            <v>5899</v>
          </cell>
          <cell r="Y17">
            <v>5883</v>
          </cell>
          <cell r="Z17">
            <v>177</v>
          </cell>
          <cell r="AA17" t="str">
            <v>May</v>
          </cell>
          <cell r="AB17">
            <v>58991</v>
          </cell>
        </row>
        <row r="18">
          <cell r="A18" t="str">
            <v>Adjusted GRT (including surcharge)</v>
          </cell>
          <cell r="D18">
            <v>73790</v>
          </cell>
          <cell r="F18">
            <v>73876</v>
          </cell>
          <cell r="H18">
            <v>-86</v>
          </cell>
          <cell r="J18">
            <v>-86</v>
          </cell>
          <cell r="O18" t="str">
            <v>June</v>
          </cell>
          <cell r="P18">
            <v>84250</v>
          </cell>
          <cell r="Q18">
            <v>98</v>
          </cell>
          <cell r="R18">
            <v>148</v>
          </cell>
          <cell r="S18">
            <v>84496</v>
          </cell>
          <cell r="T18">
            <v>8526</v>
          </cell>
          <cell r="U18">
            <v>0.1009</v>
          </cell>
          <cell r="V18">
            <v>0.1011</v>
          </cell>
          <cell r="W18">
            <v>8450</v>
          </cell>
          <cell r="X18">
            <v>8435</v>
          </cell>
          <cell r="AA18" t="str">
            <v>June</v>
          </cell>
          <cell r="AB18">
            <v>84348</v>
          </cell>
        </row>
        <row r="19">
          <cell r="O19" t="str">
            <v>July</v>
          </cell>
          <cell r="P19">
            <v>91100</v>
          </cell>
          <cell r="Q19">
            <v>185</v>
          </cell>
          <cell r="R19">
            <v>63</v>
          </cell>
          <cell r="S19">
            <v>91348</v>
          </cell>
          <cell r="T19">
            <v>9112</v>
          </cell>
          <cell r="U19">
            <v>9.98E-2</v>
          </cell>
          <cell r="V19">
            <v>9.98E-2</v>
          </cell>
          <cell r="W19">
            <v>9135</v>
          </cell>
          <cell r="X19">
            <v>9129</v>
          </cell>
          <cell r="AA19" t="str">
            <v>July</v>
          </cell>
          <cell r="AB19">
            <v>91285</v>
          </cell>
        </row>
        <row r="20">
          <cell r="O20" t="str">
            <v>August</v>
          </cell>
          <cell r="P20">
            <v>84377</v>
          </cell>
          <cell r="Q20">
            <v>173</v>
          </cell>
          <cell r="R20">
            <v>61</v>
          </cell>
          <cell r="S20">
            <v>84611</v>
          </cell>
          <cell r="T20">
            <v>8439</v>
          </cell>
          <cell r="U20">
            <v>9.9699999999999997E-2</v>
          </cell>
          <cell r="V20">
            <v>9.98E-2</v>
          </cell>
          <cell r="W20">
            <v>8461</v>
          </cell>
          <cell r="X20">
            <v>8455</v>
          </cell>
          <cell r="AA20" t="str">
            <v>August</v>
          </cell>
          <cell r="AB20">
            <v>84550</v>
          </cell>
        </row>
        <row r="21">
          <cell r="A21" t="str">
            <v>Change in total D.C. operating rev</v>
          </cell>
          <cell r="D21">
            <v>754796</v>
          </cell>
          <cell r="F21">
            <v>742559</v>
          </cell>
          <cell r="O21" t="str">
            <v>September</v>
          </cell>
          <cell r="P21">
            <v>72823</v>
          </cell>
          <cell r="Q21">
            <v>150</v>
          </cell>
          <cell r="R21">
            <v>63</v>
          </cell>
          <cell r="S21">
            <v>73036</v>
          </cell>
          <cell r="T21">
            <v>7281</v>
          </cell>
          <cell r="U21">
            <v>9.9699999999999997E-2</v>
          </cell>
          <cell r="V21">
            <v>9.98E-2</v>
          </cell>
          <cell r="W21">
            <v>7304</v>
          </cell>
          <cell r="X21">
            <v>7297</v>
          </cell>
          <cell r="AA21" t="str">
            <v>September</v>
          </cell>
          <cell r="AB21">
            <v>72973</v>
          </cell>
        </row>
        <row r="22">
          <cell r="A22" t="str">
            <v xml:space="preserve">    less D.C. rent</v>
          </cell>
          <cell r="D22">
            <v>-519</v>
          </cell>
          <cell r="F22">
            <v>-624</v>
          </cell>
          <cell r="O22" t="str">
            <v>October</v>
          </cell>
          <cell r="P22">
            <v>56854</v>
          </cell>
          <cell r="Q22">
            <v>121</v>
          </cell>
          <cell r="R22">
            <v>62</v>
          </cell>
          <cell r="S22">
            <v>57037</v>
          </cell>
          <cell r="T22">
            <v>5681</v>
          </cell>
          <cell r="U22">
            <v>9.9599999999999994E-2</v>
          </cell>
          <cell r="V22">
            <v>9.9699999999999997E-2</v>
          </cell>
          <cell r="W22">
            <v>5704</v>
          </cell>
          <cell r="X22">
            <v>5698</v>
          </cell>
          <cell r="AA22" t="str">
            <v>October</v>
          </cell>
          <cell r="AB22">
            <v>56975</v>
          </cell>
        </row>
        <row r="23">
          <cell r="O23" t="str">
            <v>November</v>
          </cell>
          <cell r="P23">
            <v>45464</v>
          </cell>
          <cell r="Q23">
            <v>98</v>
          </cell>
          <cell r="R23">
            <v>65</v>
          </cell>
          <cell r="S23">
            <v>45627</v>
          </cell>
          <cell r="T23">
            <v>4540</v>
          </cell>
          <cell r="U23">
            <v>9.9500000000000005E-2</v>
          </cell>
          <cell r="V23">
            <v>9.9599999999999994E-2</v>
          </cell>
          <cell r="W23">
            <v>4563</v>
          </cell>
          <cell r="X23">
            <v>4556</v>
          </cell>
          <cell r="AA23" t="str">
            <v>November</v>
          </cell>
          <cell r="AB23">
            <v>45562</v>
          </cell>
        </row>
        <row r="24">
          <cell r="A24" t="str">
            <v>Pure change in rev excl. rent</v>
          </cell>
          <cell r="D24">
            <v>754277</v>
          </cell>
          <cell r="F24">
            <v>741935</v>
          </cell>
          <cell r="H24">
            <v>12342</v>
          </cell>
          <cell r="O24" t="str">
            <v>December</v>
          </cell>
          <cell r="P24">
            <v>51221</v>
          </cell>
          <cell r="Q24">
            <v>110</v>
          </cell>
          <cell r="R24">
            <v>64</v>
          </cell>
          <cell r="S24">
            <v>51395</v>
          </cell>
          <cell r="T24">
            <v>5117</v>
          </cell>
          <cell r="U24">
            <v>9.9599999999999994E-2</v>
          </cell>
          <cell r="V24">
            <v>9.9699999999999997E-2</v>
          </cell>
          <cell r="W24">
            <v>5140</v>
          </cell>
          <cell r="X24">
            <v>5133</v>
          </cell>
          <cell r="AA24" t="str">
            <v>December</v>
          </cell>
          <cell r="AB24">
            <v>51331</v>
          </cell>
        </row>
        <row r="26">
          <cell r="A26" t="str">
            <v>GRT rate</v>
          </cell>
          <cell r="D26">
            <v>0.1</v>
          </cell>
          <cell r="F26">
            <v>0.1</v>
          </cell>
          <cell r="P26">
            <v>739709</v>
          </cell>
          <cell r="Q26">
            <v>1622</v>
          </cell>
          <cell r="R26">
            <v>997</v>
          </cell>
          <cell r="S26">
            <v>742328</v>
          </cell>
          <cell r="T26">
            <v>73268</v>
          </cell>
          <cell r="W26">
            <v>74236</v>
          </cell>
          <cell r="X26">
            <v>74134</v>
          </cell>
          <cell r="Z26">
            <v>790</v>
          </cell>
        </row>
        <row r="27">
          <cell r="A27" t="str">
            <v>Change to GRT expense due to</v>
          </cell>
        </row>
        <row r="28">
          <cell r="A28" t="str">
            <v xml:space="preserve">      revenue change</v>
          </cell>
          <cell r="D28">
            <v>75428</v>
          </cell>
          <cell r="F28">
            <v>74194</v>
          </cell>
          <cell r="H28">
            <v>1234</v>
          </cell>
          <cell r="O28" t="str">
            <v>Less alocation of TEB rent</v>
          </cell>
          <cell r="S28">
            <v>-228</v>
          </cell>
        </row>
        <row r="29">
          <cell r="O29" t="str">
            <v>D.C. revenue in unadjusted cost of service</v>
          </cell>
          <cell r="S29">
            <v>742100</v>
          </cell>
        </row>
        <row r="30">
          <cell r="S30">
            <v>0.1</v>
          </cell>
        </row>
        <row r="31">
          <cell r="A31" t="str">
            <v>Net undefined change</v>
          </cell>
          <cell r="D31">
            <v>-1638</v>
          </cell>
          <cell r="F31">
            <v>-318</v>
          </cell>
          <cell r="H31">
            <v>-1320</v>
          </cell>
          <cell r="J31">
            <v>-1467</v>
          </cell>
          <cell r="O31" t="str">
            <v>GRT on cost of service revenue @ 10%</v>
          </cell>
          <cell r="S31">
            <v>74210</v>
          </cell>
        </row>
        <row r="33">
          <cell r="O33" t="str">
            <v>LESS:  GRT on D.C. rental income still in COS:</v>
          </cell>
        </row>
        <row r="34">
          <cell r="Q34">
            <v>0.1</v>
          </cell>
          <cell r="R34">
            <v>769</v>
          </cell>
          <cell r="S34">
            <v>-77</v>
          </cell>
        </row>
        <row r="35">
          <cell r="O35" t="str">
            <v>Unexplained difference (some of which may</v>
          </cell>
        </row>
        <row r="36">
          <cell r="O36" t="str">
            <v xml:space="preserve">        be due to deduction on GRT return of </v>
          </cell>
        </row>
        <row r="37">
          <cell r="B37" t="str">
            <v xml:space="preserve">NOTE:  Forfeited Discount &amp; Misc. Service revenues are subject to GRT;  rent collected in  </v>
          </cell>
          <cell r="O37" t="str">
            <v xml:space="preserve">        bad debt expense</v>
          </cell>
          <cell r="S37">
            <v>-865</v>
          </cell>
        </row>
        <row r="38">
          <cell r="B38" t="str">
            <v xml:space="preserve">                                the District falls under the property tax return</v>
          </cell>
        </row>
        <row r="39">
          <cell r="O39" t="str">
            <v>GRT per unadjusted cost of service</v>
          </cell>
          <cell r="S39">
            <v>73268</v>
          </cell>
        </row>
        <row r="40">
          <cell r="Q40" t="str">
            <v>Revenue</v>
          </cell>
          <cell r="R40" t="str">
            <v>GRT @ 10%</v>
          </cell>
        </row>
        <row r="41">
          <cell r="P41" t="str">
            <v>RMA's</v>
          </cell>
          <cell r="Q41">
            <v>887</v>
          </cell>
          <cell r="R41">
            <v>89</v>
          </cell>
        </row>
        <row r="42">
          <cell r="P42" t="str">
            <v>Rate Relief</v>
          </cell>
          <cell r="Q42">
            <v>27887</v>
          </cell>
          <cell r="R42">
            <v>2789</v>
          </cell>
        </row>
        <row r="43">
          <cell r="S43">
            <v>2878</v>
          </cell>
        </row>
        <row r="44">
          <cell r="O44" t="str">
            <v>GRT per fully adjusted cost of service</v>
          </cell>
          <cell r="S44">
            <v>76146</v>
          </cell>
        </row>
        <row r="53">
          <cell r="O53" t="str">
            <v>POTOMAC ELECTRIC POWER COMPANY</v>
          </cell>
        </row>
        <row r="54">
          <cell r="O54" t="str">
            <v>District of Columbia</v>
          </cell>
        </row>
        <row r="55">
          <cell r="O55" t="str">
            <v>Analysis of Revenue Requirement -- F.C. 939 Per Order vs. Twelve Months Ended December 31, 1995</v>
          </cell>
        </row>
        <row r="57">
          <cell r="O57" t="str">
            <v>Summary of Gross Receipts Tax Calculation vs. Cost of Service</v>
          </cell>
        </row>
        <row r="59">
          <cell r="O59" t="str">
            <v>12 Months Ended December 31, 1995</v>
          </cell>
        </row>
        <row r="60">
          <cell r="Z60" t="str">
            <v xml:space="preserve">GRT on </v>
          </cell>
        </row>
        <row r="61">
          <cell r="Q61" t="str">
            <v>ECRR CCRF</v>
          </cell>
          <cell r="R61" t="str">
            <v>Forfeited</v>
          </cell>
          <cell r="X61" t="str">
            <v>Calc rate</v>
          </cell>
          <cell r="Y61" t="str">
            <v xml:space="preserve">GRT on </v>
          </cell>
          <cell r="Z61" t="str">
            <v xml:space="preserve"> Rev excl</v>
          </cell>
          <cell r="AA61" t="str">
            <v xml:space="preserve">GRT on </v>
          </cell>
        </row>
        <row r="62">
          <cell r="Q62" t="str">
            <v xml:space="preserve">incl in </v>
          </cell>
          <cell r="R62" t="str">
            <v>Discounts</v>
          </cell>
          <cell r="S62" t="str">
            <v>rents, other</v>
          </cell>
          <cell r="W62" t="str">
            <v>Calc rate</v>
          </cell>
          <cell r="X62" t="str">
            <v>on  Rev</v>
          </cell>
          <cell r="Y62" t="str">
            <v>Total Rev</v>
          </cell>
          <cell r="Z62" t="str">
            <v>ECRR CCRF</v>
          </cell>
          <cell r="AA62" t="str">
            <v xml:space="preserve"> Rev excl</v>
          </cell>
        </row>
        <row r="63">
          <cell r="P63" t="str">
            <v>Sale of Elec</v>
          </cell>
          <cell r="Q63" t="str">
            <v>Sale of Elec</v>
          </cell>
          <cell r="R63" t="str">
            <v>&amp; Misc</v>
          </cell>
          <cell r="S63" t="str">
            <v>(A/C 454,456)</v>
          </cell>
          <cell r="T63" t="str">
            <v>Total</v>
          </cell>
          <cell r="U63" t="str">
            <v>GRT</v>
          </cell>
          <cell r="W63" t="str">
            <v>on total Rev</v>
          </cell>
          <cell r="X63" t="str">
            <v>excl rents</v>
          </cell>
          <cell r="Y63" t="str">
            <v>@ 10%</v>
          </cell>
          <cell r="Z63" t="str">
            <v>&amp; rents@ 10%</v>
          </cell>
          <cell r="AA63" t="str">
            <v>rents@ 10%</v>
          </cell>
        </row>
        <row r="65">
          <cell r="O65" t="str">
            <v>January</v>
          </cell>
          <cell r="P65">
            <v>46286</v>
          </cell>
          <cell r="R65">
            <v>153</v>
          </cell>
          <cell r="S65">
            <v>61</v>
          </cell>
          <cell r="T65">
            <v>46500</v>
          </cell>
          <cell r="U65">
            <v>4609</v>
          </cell>
          <cell r="W65">
            <v>9.9099999999999994E-2</v>
          </cell>
          <cell r="X65">
            <v>9.9199999999999997E-2</v>
          </cell>
          <cell r="Y65">
            <v>4650</v>
          </cell>
          <cell r="Z65">
            <v>4644</v>
          </cell>
          <cell r="AA65">
            <v>4644</v>
          </cell>
        </row>
        <row r="66">
          <cell r="O66" t="str">
            <v>February</v>
          </cell>
          <cell r="P66">
            <v>46718</v>
          </cell>
          <cell r="R66">
            <v>132</v>
          </cell>
          <cell r="S66">
            <v>69</v>
          </cell>
          <cell r="T66">
            <v>46919</v>
          </cell>
          <cell r="U66">
            <v>4665</v>
          </cell>
          <cell r="W66">
            <v>9.9400000000000002E-2</v>
          </cell>
          <cell r="X66">
            <v>9.9599999999999994E-2</v>
          </cell>
          <cell r="Y66">
            <v>4692</v>
          </cell>
          <cell r="Z66">
            <v>4685</v>
          </cell>
          <cell r="AA66">
            <v>4685</v>
          </cell>
        </row>
        <row r="67">
          <cell r="O67" t="str">
            <v>March</v>
          </cell>
          <cell r="P67">
            <v>45720</v>
          </cell>
          <cell r="R67">
            <v>173</v>
          </cell>
          <cell r="S67">
            <v>85</v>
          </cell>
          <cell r="T67">
            <v>45978</v>
          </cell>
          <cell r="U67">
            <v>4566</v>
          </cell>
          <cell r="W67">
            <v>9.9299999999999999E-2</v>
          </cell>
          <cell r="X67">
            <v>9.9500000000000005E-2</v>
          </cell>
          <cell r="Y67">
            <v>4598</v>
          </cell>
          <cell r="Z67">
            <v>4589</v>
          </cell>
          <cell r="AA67">
            <v>4589</v>
          </cell>
        </row>
        <row r="68">
          <cell r="O68" t="str">
            <v>April</v>
          </cell>
          <cell r="P68">
            <v>43862</v>
          </cell>
          <cell r="R68">
            <v>193</v>
          </cell>
          <cell r="S68">
            <v>58</v>
          </cell>
          <cell r="T68">
            <v>44113</v>
          </cell>
          <cell r="U68">
            <v>4378</v>
          </cell>
          <cell r="W68">
            <v>9.9199999999999997E-2</v>
          </cell>
          <cell r="X68">
            <v>9.9400000000000002E-2</v>
          </cell>
          <cell r="Y68">
            <v>4411</v>
          </cell>
          <cell r="Z68">
            <v>4406</v>
          </cell>
          <cell r="AA68">
            <v>4406</v>
          </cell>
        </row>
        <row r="69">
          <cell r="O69" t="str">
            <v>May</v>
          </cell>
          <cell r="P69">
            <v>55767</v>
          </cell>
          <cell r="R69">
            <v>142</v>
          </cell>
          <cell r="S69">
            <v>70</v>
          </cell>
          <cell r="T69">
            <v>55979</v>
          </cell>
          <cell r="U69">
            <v>5569</v>
          </cell>
          <cell r="W69">
            <v>9.9500000000000005E-2</v>
          </cell>
          <cell r="X69">
            <v>9.9599999999999994E-2</v>
          </cell>
          <cell r="Y69">
            <v>5598</v>
          </cell>
          <cell r="Z69">
            <v>5591</v>
          </cell>
          <cell r="AA69">
            <v>5591</v>
          </cell>
        </row>
        <row r="70">
          <cell r="O70" t="str">
            <v>June</v>
          </cell>
          <cell r="P70">
            <v>74626</v>
          </cell>
          <cell r="R70">
            <v>148</v>
          </cell>
          <cell r="S70">
            <v>72</v>
          </cell>
          <cell r="T70">
            <v>74846</v>
          </cell>
          <cell r="U70">
            <v>7457</v>
          </cell>
          <cell r="W70">
            <v>9.9599999999999994E-2</v>
          </cell>
          <cell r="X70">
            <v>9.9699999999999997E-2</v>
          </cell>
          <cell r="Y70">
            <v>7485</v>
          </cell>
          <cell r="Z70">
            <v>7477</v>
          </cell>
          <cell r="AA70">
            <v>7477</v>
          </cell>
        </row>
        <row r="71">
          <cell r="O71" t="str">
            <v>July</v>
          </cell>
          <cell r="P71">
            <v>93894</v>
          </cell>
          <cell r="Q71">
            <v>581</v>
          </cell>
          <cell r="R71">
            <v>189</v>
          </cell>
          <cell r="S71">
            <v>66</v>
          </cell>
          <cell r="T71">
            <v>94149</v>
          </cell>
          <cell r="U71">
            <v>9394</v>
          </cell>
          <cell r="V71">
            <v>58</v>
          </cell>
          <cell r="W71">
            <v>9.98E-2</v>
          </cell>
          <cell r="X71">
            <v>9.98E-2</v>
          </cell>
          <cell r="Y71">
            <v>9415</v>
          </cell>
          <cell r="Z71">
            <v>9350</v>
          </cell>
          <cell r="AA71">
            <v>9408</v>
          </cell>
        </row>
        <row r="72">
          <cell r="O72" t="str">
            <v>August</v>
          </cell>
          <cell r="P72">
            <v>97484</v>
          </cell>
          <cell r="Q72">
            <v>879</v>
          </cell>
          <cell r="R72">
            <v>206</v>
          </cell>
          <cell r="S72">
            <v>68</v>
          </cell>
          <cell r="T72">
            <v>97758</v>
          </cell>
          <cell r="U72">
            <v>9742</v>
          </cell>
          <cell r="V72">
            <v>88</v>
          </cell>
          <cell r="W72">
            <v>9.9699999999999997E-2</v>
          </cell>
          <cell r="X72">
            <v>9.9699999999999997E-2</v>
          </cell>
          <cell r="Y72">
            <v>9776</v>
          </cell>
          <cell r="Z72">
            <v>9681</v>
          </cell>
          <cell r="AA72">
            <v>9769</v>
          </cell>
        </row>
        <row r="73">
          <cell r="O73" t="str">
            <v>September</v>
          </cell>
          <cell r="P73">
            <v>75406</v>
          </cell>
          <cell r="Q73">
            <v>673</v>
          </cell>
          <cell r="R73">
            <v>314</v>
          </cell>
          <cell r="S73">
            <v>77</v>
          </cell>
          <cell r="T73">
            <v>75797</v>
          </cell>
          <cell r="U73">
            <v>7552</v>
          </cell>
          <cell r="V73">
            <v>67</v>
          </cell>
          <cell r="W73">
            <v>9.9599999999999994E-2</v>
          </cell>
          <cell r="X73">
            <v>9.9699999999999997E-2</v>
          </cell>
          <cell r="Y73">
            <v>7580</v>
          </cell>
          <cell r="Z73">
            <v>7505</v>
          </cell>
          <cell r="AA73">
            <v>7572</v>
          </cell>
        </row>
        <row r="74">
          <cell r="O74" t="str">
            <v>October</v>
          </cell>
          <cell r="P74">
            <v>56308</v>
          </cell>
          <cell r="Q74">
            <v>620</v>
          </cell>
          <cell r="R74">
            <v>349</v>
          </cell>
          <cell r="S74">
            <v>66</v>
          </cell>
          <cell r="T74">
            <v>56723</v>
          </cell>
          <cell r="U74">
            <v>5631</v>
          </cell>
          <cell r="V74">
            <v>62</v>
          </cell>
          <cell r="W74">
            <v>9.9299999999999999E-2</v>
          </cell>
          <cell r="X74">
            <v>9.9400000000000002E-2</v>
          </cell>
          <cell r="Y74">
            <v>5672</v>
          </cell>
          <cell r="Z74">
            <v>5604</v>
          </cell>
          <cell r="AA74">
            <v>5666</v>
          </cell>
        </row>
        <row r="75">
          <cell r="O75" t="str">
            <v>November</v>
          </cell>
          <cell r="P75">
            <v>47232</v>
          </cell>
          <cell r="Q75">
            <v>613</v>
          </cell>
          <cell r="R75">
            <v>384</v>
          </cell>
          <cell r="S75">
            <v>77</v>
          </cell>
          <cell r="T75">
            <v>47693</v>
          </cell>
          <cell r="U75">
            <v>4738</v>
          </cell>
          <cell r="V75">
            <v>61</v>
          </cell>
          <cell r="W75">
            <v>9.9299999999999999E-2</v>
          </cell>
          <cell r="X75">
            <v>9.9500000000000005E-2</v>
          </cell>
          <cell r="Y75">
            <v>4769</v>
          </cell>
          <cell r="Z75">
            <v>4700</v>
          </cell>
          <cell r="AA75">
            <v>4762</v>
          </cell>
        </row>
        <row r="76">
          <cell r="O76" t="str">
            <v>December</v>
          </cell>
          <cell r="P76">
            <v>51424</v>
          </cell>
          <cell r="Q76">
            <v>695</v>
          </cell>
          <cell r="R76">
            <v>345</v>
          </cell>
          <cell r="S76">
            <v>70</v>
          </cell>
          <cell r="T76">
            <v>51839</v>
          </cell>
          <cell r="U76">
            <v>5138</v>
          </cell>
          <cell r="V76">
            <v>70</v>
          </cell>
          <cell r="W76">
            <v>9.9099999999999994E-2</v>
          </cell>
          <cell r="X76">
            <v>9.9199999999999997E-2</v>
          </cell>
          <cell r="Y76">
            <v>5184</v>
          </cell>
          <cell r="Z76">
            <v>5107</v>
          </cell>
          <cell r="AA76">
            <v>5177</v>
          </cell>
        </row>
        <row r="78">
          <cell r="P78">
            <v>734727</v>
          </cell>
          <cell r="Q78">
            <v>4061</v>
          </cell>
          <cell r="R78">
            <v>2728</v>
          </cell>
          <cell r="S78">
            <v>839</v>
          </cell>
          <cell r="T78">
            <v>738294</v>
          </cell>
          <cell r="U78">
            <v>73439</v>
          </cell>
          <cell r="V78">
            <v>406</v>
          </cell>
          <cell r="Y78">
            <v>73830</v>
          </cell>
          <cell r="Z78">
            <v>73339</v>
          </cell>
          <cell r="AA78">
            <v>73746</v>
          </cell>
        </row>
        <row r="79">
          <cell r="O79" t="str">
            <v>Less ECRR CCRF</v>
          </cell>
          <cell r="T79">
            <v>-4061</v>
          </cell>
        </row>
        <row r="80">
          <cell r="O80" t="str">
            <v>Less alocation of TEB rent</v>
          </cell>
          <cell r="T80">
            <v>-100</v>
          </cell>
        </row>
        <row r="81">
          <cell r="O81" t="str">
            <v>D.C. revenue in unadjusted cost of service</v>
          </cell>
          <cell r="T81">
            <v>734133</v>
          </cell>
        </row>
        <row r="82">
          <cell r="T82">
            <v>0.1</v>
          </cell>
        </row>
        <row r="83">
          <cell r="O83" t="str">
            <v>GRT on cost of service revenue @ 10%</v>
          </cell>
          <cell r="T83">
            <v>73413</v>
          </cell>
        </row>
        <row r="85">
          <cell r="O85" t="str">
            <v>LESS:  GRT on D.C. rental income still in COS:</v>
          </cell>
        </row>
        <row r="86">
          <cell r="R86">
            <v>0.1</v>
          </cell>
          <cell r="S86">
            <v>739</v>
          </cell>
          <cell r="T86">
            <v>-74</v>
          </cell>
        </row>
        <row r="87">
          <cell r="O87" t="str">
            <v>Unexplained difference (some of which may</v>
          </cell>
        </row>
        <row r="88">
          <cell r="O88" t="str">
            <v xml:space="preserve">        be due to deduction on GRT return of </v>
          </cell>
        </row>
        <row r="89">
          <cell r="O89" t="str">
            <v xml:space="preserve">        bad debt expense</v>
          </cell>
          <cell r="T89">
            <v>-306</v>
          </cell>
        </row>
        <row r="91">
          <cell r="O91" t="str">
            <v>GRT per unadjusted cost of service</v>
          </cell>
          <cell r="T91">
            <v>73033</v>
          </cell>
        </row>
        <row r="92">
          <cell r="R92" t="str">
            <v>Revenue</v>
          </cell>
          <cell r="S92" t="str">
            <v>GRT @ 10%</v>
          </cell>
        </row>
        <row r="93">
          <cell r="P93" t="str">
            <v>RMA's</v>
          </cell>
          <cell r="R93">
            <v>8427</v>
          </cell>
          <cell r="S93">
            <v>843</v>
          </cell>
        </row>
        <row r="95">
          <cell r="T95">
            <v>843</v>
          </cell>
        </row>
        <row r="96">
          <cell r="O96" t="str">
            <v>GRT per fully adjusted cost of service</v>
          </cell>
          <cell r="T96">
            <v>73876</v>
          </cell>
        </row>
      </sheetData>
      <sheetData sheetId="12">
        <row r="2">
          <cell r="A2" t="str">
            <v xml:space="preserve">   EFFECT OF CHANGE IN PRO-FORMA INTEREST</v>
          </cell>
          <cell r="J2">
            <v>36398.59824861111</v>
          </cell>
        </row>
        <row r="3">
          <cell r="J3">
            <v>36398.59824861111</v>
          </cell>
        </row>
        <row r="5">
          <cell r="D5" t="str">
            <v>1996</v>
          </cell>
          <cell r="F5" t="str">
            <v>1995</v>
          </cell>
          <cell r="H5" t="str">
            <v>Difference</v>
          </cell>
          <cell r="J5" t="str">
            <v>Rev Req</v>
          </cell>
        </row>
        <row r="7">
          <cell r="A7" t="str">
            <v>Adjusted Rate Base</v>
          </cell>
          <cell r="D7">
            <v>1659044</v>
          </cell>
          <cell r="F7">
            <v>1659834</v>
          </cell>
          <cell r="H7">
            <v>-790</v>
          </cell>
        </row>
        <row r="8">
          <cell r="A8" t="str">
            <v>Weighted Cost of Debt</v>
          </cell>
          <cell r="D8">
            <v>3.5099999999999999E-2</v>
          </cell>
          <cell r="F8">
            <v>3.5099999999999999E-2</v>
          </cell>
        </row>
        <row r="9">
          <cell r="A9" t="str">
            <v>Pro-forma interest</v>
          </cell>
          <cell r="D9">
            <v>58232</v>
          </cell>
          <cell r="F9">
            <v>58260</v>
          </cell>
          <cell r="H9">
            <v>-28</v>
          </cell>
        </row>
        <row r="10">
          <cell r="A10" t="str">
            <v>ccrf debt</v>
          </cell>
          <cell r="D10">
            <v>-1945</v>
          </cell>
          <cell r="F10">
            <v>-984</v>
          </cell>
          <cell r="H10">
            <v>-961</v>
          </cell>
        </row>
        <row r="11">
          <cell r="D11">
            <v>56287</v>
          </cell>
          <cell r="F11">
            <v>57276</v>
          </cell>
          <cell r="H11">
            <v>-989</v>
          </cell>
        </row>
        <row r="14">
          <cell r="B14" t="str">
            <v>Change in DCIT</v>
          </cell>
          <cell r="D14">
            <v>-5615</v>
          </cell>
          <cell r="F14">
            <v>-5713</v>
          </cell>
          <cell r="H14">
            <v>99</v>
          </cell>
          <cell r="J14">
            <v>122</v>
          </cell>
        </row>
        <row r="16">
          <cell r="B16" t="str">
            <v>Change in FIT</v>
          </cell>
          <cell r="D16">
            <v>-17681</v>
          </cell>
          <cell r="F16">
            <v>-17992</v>
          </cell>
          <cell r="H16">
            <v>311</v>
          </cell>
          <cell r="J16">
            <v>591</v>
          </cell>
        </row>
        <row r="19">
          <cell r="A19" t="str">
            <v>ANALYSIS OF CHANGE</v>
          </cell>
        </row>
        <row r="21">
          <cell r="A21" t="str">
            <v>Change due to Rate Base:</v>
          </cell>
        </row>
        <row r="22">
          <cell r="B22" t="str">
            <v xml:space="preserve">      DCIT  =  747 x .0351 x .09975</v>
          </cell>
          <cell r="H22">
            <v>3</v>
          </cell>
          <cell r="J22">
            <v>4</v>
          </cell>
        </row>
        <row r="23">
          <cell r="B23" t="str">
            <v xml:space="preserve">      FIT  =  747 x .0351 x .3150875</v>
          </cell>
          <cell r="H23">
            <v>9</v>
          </cell>
          <cell r="J23">
            <v>17</v>
          </cell>
        </row>
        <row r="24">
          <cell r="J24">
            <v>21</v>
          </cell>
        </row>
        <row r="26">
          <cell r="A26" t="str">
            <v>Change due to CCRF</v>
          </cell>
        </row>
        <row r="27">
          <cell r="B27" t="str">
            <v xml:space="preserve">      DCIT  =  961  x .09975</v>
          </cell>
          <cell r="H27">
            <v>96</v>
          </cell>
          <cell r="J27">
            <v>118</v>
          </cell>
        </row>
        <row r="28">
          <cell r="B28" t="str">
            <v xml:space="preserve">      FIT  =  961 x .3150875</v>
          </cell>
          <cell r="H28">
            <v>302</v>
          </cell>
          <cell r="J28">
            <v>574</v>
          </cell>
        </row>
        <row r="29">
          <cell r="J29">
            <v>692</v>
          </cell>
        </row>
        <row r="31">
          <cell r="A31" t="str">
            <v>Change due to Embedded Cost of Debt</v>
          </cell>
        </row>
        <row r="32">
          <cell r="B32" t="str">
            <v xml:space="preserve">      DCIT  =  (.0351 - .0351) x 1,640,272 x .099755</v>
          </cell>
          <cell r="H32">
            <v>0</v>
          </cell>
          <cell r="J32">
            <v>0</v>
          </cell>
        </row>
        <row r="33">
          <cell r="B33" t="str">
            <v xml:space="preserve">      FIT  =  (.0351 - .0351) x 1,640,272 x ..3150875</v>
          </cell>
          <cell r="H33">
            <v>0</v>
          </cell>
          <cell r="J33">
            <v>0</v>
          </cell>
        </row>
        <row r="35">
          <cell r="B35" t="str">
            <v>Total</v>
          </cell>
          <cell r="J35">
            <v>0</v>
          </cell>
        </row>
        <row r="39">
          <cell r="B39" t="str">
            <v>Total DCIT</v>
          </cell>
          <cell r="H39">
            <v>99</v>
          </cell>
          <cell r="J39">
            <v>122</v>
          </cell>
        </row>
        <row r="42">
          <cell r="B42" t="str">
            <v>Total FIT</v>
          </cell>
          <cell r="H42">
            <v>311</v>
          </cell>
          <cell r="J42">
            <v>591</v>
          </cell>
        </row>
        <row r="45">
          <cell r="A45" t="str">
            <v>EFFECT OF CHANGE IN ALLOWED RATE OF RETURN</v>
          </cell>
        </row>
        <row r="47">
          <cell r="D47" t="str">
            <v>F.C. No.</v>
          </cell>
          <cell r="L47" t="str">
            <v>Revenue</v>
          </cell>
        </row>
        <row r="48">
          <cell r="D48" t="str">
            <v>939</v>
          </cell>
          <cell r="F48" t="str">
            <v>1995</v>
          </cell>
          <cell r="H48" t="str">
            <v>Difference</v>
          </cell>
          <cell r="J48" t="str">
            <v>Rate Base</v>
          </cell>
          <cell r="L48" t="str">
            <v>Requirement</v>
          </cell>
        </row>
        <row r="50">
          <cell r="A50" t="str">
            <v>After-tax weighted cost of debt</v>
          </cell>
          <cell r="D50">
            <v>2.0500000000000001E-2</v>
          </cell>
          <cell r="F50">
            <v>2.0500000000000001E-2</v>
          </cell>
          <cell r="H50">
            <v>0</v>
          </cell>
          <cell r="J50">
            <v>1659834</v>
          </cell>
          <cell r="L50">
            <v>0</v>
          </cell>
        </row>
        <row r="52">
          <cell r="A52" t="str">
            <v>Weighted cost of equity</v>
          </cell>
          <cell r="D52">
            <v>5.5800000000000002E-2</v>
          </cell>
          <cell r="F52">
            <v>5.5800000000000002E-2</v>
          </cell>
          <cell r="H52">
            <v>0</v>
          </cell>
          <cell r="J52">
            <v>1659834</v>
          </cell>
          <cell r="L52">
            <v>0</v>
          </cell>
        </row>
        <row r="55">
          <cell r="B55" t="str">
            <v>Total allowed rate of return</v>
          </cell>
          <cell r="D55">
            <v>7.6300000000000007E-2</v>
          </cell>
          <cell r="F55">
            <v>7.6300000000000007E-2</v>
          </cell>
          <cell r="H55">
            <v>0</v>
          </cell>
          <cell r="J55">
            <v>1659834</v>
          </cell>
          <cell r="L55">
            <v>0</v>
          </cell>
        </row>
        <row r="59">
          <cell r="L59">
            <v>0</v>
          </cell>
          <cell r="N59">
            <v>0</v>
          </cell>
          <cell r="P59">
            <v>0</v>
          </cell>
        </row>
        <row r="61">
          <cell r="L61" t="str">
            <v>_</v>
          </cell>
          <cell r="N61" t="str">
            <v>_</v>
          </cell>
          <cell r="P61" t="str">
            <v>_</v>
          </cell>
        </row>
        <row r="63">
          <cell r="L63" t="str">
            <v>_</v>
          </cell>
          <cell r="N63" t="str">
            <v>_</v>
          </cell>
          <cell r="P63" t="str">
            <v>_</v>
          </cell>
        </row>
        <row r="65">
          <cell r="A65" t="str">
            <v xml:space="preserve">   EFFECT OF CHANGE IN PRO-FORMA INTEREST</v>
          </cell>
          <cell r="J65">
            <v>36398.59824861111</v>
          </cell>
        </row>
        <row r="66">
          <cell r="J66">
            <v>36398.59824861111</v>
          </cell>
        </row>
        <row r="68">
          <cell r="D68" t="str">
            <v>1995</v>
          </cell>
          <cell r="F68" t="str">
            <v>1998</v>
          </cell>
          <cell r="H68" t="str">
            <v>Difference</v>
          </cell>
          <cell r="J68" t="str">
            <v>Rev Req</v>
          </cell>
        </row>
        <row r="70">
          <cell r="A70" t="str">
            <v>Adjusted Rate Base</v>
          </cell>
          <cell r="D70">
            <v>1659834</v>
          </cell>
          <cell r="F70">
            <v>1686069</v>
          </cell>
          <cell r="H70">
            <v>26235</v>
          </cell>
        </row>
        <row r="71">
          <cell r="A71" t="str">
            <v>Weighted Cost of Debt</v>
          </cell>
          <cell r="D71">
            <v>3.5099999999999999E-2</v>
          </cell>
          <cell r="F71">
            <v>3.5200000000000002E-2</v>
          </cell>
        </row>
        <row r="72">
          <cell r="A72" t="str">
            <v>Pro-forma interest</v>
          </cell>
          <cell r="D72">
            <v>58260</v>
          </cell>
          <cell r="F72">
            <v>59350</v>
          </cell>
          <cell r="H72">
            <v>1090</v>
          </cell>
        </row>
        <row r="77">
          <cell r="B77" t="str">
            <v>Change in DCIT</v>
          </cell>
          <cell r="D77">
            <v>-5811</v>
          </cell>
          <cell r="F77">
            <v>-5920</v>
          </cell>
          <cell r="H77">
            <v>-109</v>
          </cell>
          <cell r="J77">
            <v>-135</v>
          </cell>
        </row>
        <row r="79">
          <cell r="B79" t="str">
            <v>Change in FIT</v>
          </cell>
          <cell r="D79">
            <v>-18301</v>
          </cell>
          <cell r="F79">
            <v>-18643</v>
          </cell>
          <cell r="H79">
            <v>-342</v>
          </cell>
          <cell r="J79">
            <v>-649</v>
          </cell>
        </row>
        <row r="82">
          <cell r="A82" t="str">
            <v>ANALYSIS OF CHANGE</v>
          </cell>
        </row>
        <row r="84">
          <cell r="A84" t="str">
            <v>Change due to Rate Base:</v>
          </cell>
        </row>
        <row r="85">
          <cell r="B85" t="str">
            <v xml:space="preserve">      DCIT  =  44,589 x .0351 x .09975</v>
          </cell>
          <cell r="H85">
            <v>-92</v>
          </cell>
          <cell r="J85">
            <v>-114</v>
          </cell>
        </row>
        <row r="86">
          <cell r="B86" t="str">
            <v xml:space="preserve">      FIT  =  44,589 x .0351 x .3150875</v>
          </cell>
          <cell r="H86">
            <v>-290</v>
          </cell>
          <cell r="J86">
            <v>-551</v>
          </cell>
        </row>
        <row r="88">
          <cell r="J88">
            <v>-665</v>
          </cell>
        </row>
        <row r="91">
          <cell r="A91" t="str">
            <v>Change due to Embedded Cost of Debt</v>
          </cell>
        </row>
        <row r="92">
          <cell r="B92" t="str">
            <v xml:space="preserve">      DCIT  =  (.0352 - .0351) x 1,686,069 x .099755</v>
          </cell>
          <cell r="H92">
            <v>17</v>
          </cell>
          <cell r="J92">
            <v>21</v>
          </cell>
        </row>
        <row r="93">
          <cell r="B93" t="str">
            <v xml:space="preserve">      FIT  =  (.0352 - .0351) x 1,686,069 x ..3150875</v>
          </cell>
          <cell r="H93">
            <v>53</v>
          </cell>
          <cell r="J93">
            <v>101</v>
          </cell>
        </row>
        <row r="95">
          <cell r="B95" t="str">
            <v>Total</v>
          </cell>
          <cell r="J95">
            <v>122</v>
          </cell>
        </row>
        <row r="99">
          <cell r="B99" t="str">
            <v>Total DCIT</v>
          </cell>
          <cell r="H99">
            <v>-75</v>
          </cell>
          <cell r="J99">
            <v>-93</v>
          </cell>
        </row>
        <row r="102">
          <cell r="B102" t="str">
            <v>Total FIT</v>
          </cell>
          <cell r="H102">
            <v>-237</v>
          </cell>
          <cell r="J102">
            <v>-450</v>
          </cell>
        </row>
        <row r="105">
          <cell r="A105" t="str">
            <v>EFFECT OF CHANGE IN ALLOWED RATE OF RETURN</v>
          </cell>
        </row>
        <row r="107">
          <cell r="L107" t="str">
            <v>Revenue</v>
          </cell>
        </row>
        <row r="108">
          <cell r="D108" t="str">
            <v>1995</v>
          </cell>
          <cell r="F108" t="str">
            <v>1995</v>
          </cell>
          <cell r="H108" t="str">
            <v>Difference</v>
          </cell>
          <cell r="J108" t="str">
            <v>Rate Base</v>
          </cell>
          <cell r="L108" t="str">
            <v>Requirement</v>
          </cell>
        </row>
        <row r="110">
          <cell r="A110" t="str">
            <v>After-tax weighted cost of debt</v>
          </cell>
          <cell r="D110">
            <v>2.0500000000000001E-2</v>
          </cell>
          <cell r="F110">
            <v>2.06E-2</v>
          </cell>
          <cell r="H110">
            <v>9.9999999999999395E-5</v>
          </cell>
          <cell r="J110">
            <v>1686069</v>
          </cell>
          <cell r="L110">
            <v>169</v>
          </cell>
        </row>
        <row r="112">
          <cell r="A112" t="str">
            <v>Weighted cost of equity</v>
          </cell>
          <cell r="D112">
            <v>5.5800000000000002E-2</v>
          </cell>
          <cell r="F112">
            <v>5.5400000000000005E-2</v>
          </cell>
          <cell r="H112">
            <v>-3.9999999999999758E-4</v>
          </cell>
          <cell r="J112">
            <v>1686069</v>
          </cell>
          <cell r="L112">
            <v>-674</v>
          </cell>
        </row>
        <row r="115">
          <cell r="B115" t="str">
            <v>Total allowed rate of return</v>
          </cell>
          <cell r="D115">
            <v>7.6300000000000007E-2</v>
          </cell>
          <cell r="F115">
            <v>7.6000000000000012E-2</v>
          </cell>
          <cell r="H115">
            <v>-2.9999999999999472E-4</v>
          </cell>
          <cell r="J115">
            <v>1686069</v>
          </cell>
          <cell r="L115">
            <v>-506</v>
          </cell>
        </row>
        <row r="117">
          <cell r="L117">
            <v>-505</v>
          </cell>
        </row>
      </sheetData>
      <sheetData sheetId="13">
        <row r="2">
          <cell r="A2" t="str">
            <v>RECONCILIATION OF D.C. INCOME TAX CALCULATION</v>
          </cell>
        </row>
      </sheetData>
      <sheetData sheetId="14">
        <row r="1">
          <cell r="J1" t="str">
            <v>AJK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ycharts.com/indicators/sandp_500_book_value_per_share" TargetMode="External"/><Relationship Id="rId2" Type="http://schemas.openxmlformats.org/officeDocument/2006/relationships/hyperlink" Target="https://www.treasury.gov/Pages/default.aspx" TargetMode="External"/><Relationship Id="rId1" Type="http://schemas.openxmlformats.org/officeDocument/2006/relationships/hyperlink" Target="https://ycharts.com/indicators/reports/sp_500_earnings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ome.treasury.gov/resource-center/data-chart-center/interest-rates/TextView?type=daily_treasury_long_term_rate&amp;field_tdr_date_value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A26FE-819E-4DCC-9D15-CA838C9F9857}">
  <dimension ref="A1:E11"/>
  <sheetViews>
    <sheetView tabSelected="1" zoomScaleNormal="100" workbookViewId="0">
      <selection sqref="A1:A2"/>
    </sheetView>
  </sheetViews>
  <sheetFormatPr defaultRowHeight="14.5" x14ac:dyDescent="0.35"/>
  <cols>
    <col min="2" max="2" width="14.26953125" customWidth="1"/>
    <col min="3" max="3" width="10.81640625" customWidth="1"/>
    <col min="5" max="5" width="13.26953125" customWidth="1"/>
  </cols>
  <sheetData>
    <row r="1" spans="1:5" x14ac:dyDescent="0.35">
      <c r="A1" t="s">
        <v>142</v>
      </c>
    </row>
    <row r="2" spans="1:5" x14ac:dyDescent="0.35">
      <c r="A2" t="s">
        <v>170</v>
      </c>
    </row>
    <row r="3" spans="1:5" x14ac:dyDescent="0.35">
      <c r="A3" t="s">
        <v>143</v>
      </c>
    </row>
    <row r="4" spans="1:5" x14ac:dyDescent="0.35">
      <c r="A4" t="s">
        <v>144</v>
      </c>
    </row>
    <row r="6" spans="1:5" x14ac:dyDescent="0.35">
      <c r="B6" s="53" t="s">
        <v>145</v>
      </c>
    </row>
    <row r="7" spans="1:5" x14ac:dyDescent="0.35">
      <c r="B7" s="53"/>
    </row>
    <row r="8" spans="1:5" x14ac:dyDescent="0.35">
      <c r="C8" s="53" t="s">
        <v>147</v>
      </c>
      <c r="D8" s="53" t="s">
        <v>149</v>
      </c>
      <c r="E8" s="53" t="s">
        <v>150</v>
      </c>
    </row>
    <row r="9" spans="1:5" x14ac:dyDescent="0.35">
      <c r="B9" s="53" t="s">
        <v>0</v>
      </c>
      <c r="C9" s="54">
        <f>'Sh 2 ROE'!D12</f>
        <v>0.109</v>
      </c>
      <c r="D9" s="55">
        <v>0.66</v>
      </c>
      <c r="E9" s="54">
        <f>C9*D9</f>
        <v>7.1940000000000004E-2</v>
      </c>
    </row>
    <row r="10" spans="1:5" x14ac:dyDescent="0.35">
      <c r="B10" s="91" t="s">
        <v>148</v>
      </c>
      <c r="C10" s="58">
        <v>5.2200000000000003E-2</v>
      </c>
      <c r="D10" s="122">
        <v>0.34</v>
      </c>
      <c r="E10" s="58">
        <f>C10*D10</f>
        <v>1.7748000000000003E-2</v>
      </c>
    </row>
    <row r="11" spans="1:5" x14ac:dyDescent="0.35">
      <c r="B11" s="53" t="s">
        <v>151</v>
      </c>
      <c r="E11" s="60">
        <f>SUM(E9:E10)</f>
        <v>8.9688000000000004E-2</v>
      </c>
    </row>
  </sheetData>
  <pageMargins left="0.7" right="0.7" top="0.75" bottom="0.75" header="0.3" footer="0.3"/>
  <pageSetup orientation="portrait" r:id="rId1"/>
  <headerFooter>
    <oddHeader>&amp;RExh. MJR-1T, Rowell WP3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6F36-FF43-4CD0-89B0-3B9075904773}">
  <dimension ref="A1:D12"/>
  <sheetViews>
    <sheetView tabSelected="1" zoomScaleNormal="100" workbookViewId="0">
      <selection sqref="A1:A2"/>
    </sheetView>
  </sheetViews>
  <sheetFormatPr defaultRowHeight="14.5" x14ac:dyDescent="0.35"/>
  <cols>
    <col min="2" max="2" width="21.453125" customWidth="1"/>
    <col min="3" max="3" width="14.1796875" bestFit="1" customWidth="1"/>
  </cols>
  <sheetData>
    <row r="1" spans="1:4" x14ac:dyDescent="0.35">
      <c r="A1" s="124" t="s">
        <v>142</v>
      </c>
    </row>
    <row r="2" spans="1:4" x14ac:dyDescent="0.35">
      <c r="A2" s="124" t="s">
        <v>170</v>
      </c>
    </row>
    <row r="3" spans="1:4" x14ac:dyDescent="0.35">
      <c r="A3" t="s">
        <v>152</v>
      </c>
    </row>
    <row r="4" spans="1:4" x14ac:dyDescent="0.35">
      <c r="A4" t="s">
        <v>153</v>
      </c>
    </row>
    <row r="6" spans="1:4" x14ac:dyDescent="0.35">
      <c r="B6" s="53" t="s">
        <v>154</v>
      </c>
      <c r="C6" s="53" t="s">
        <v>166</v>
      </c>
      <c r="D6" s="53" t="s">
        <v>21</v>
      </c>
    </row>
    <row r="7" spans="1:4" x14ac:dyDescent="0.35">
      <c r="B7" t="s">
        <v>140</v>
      </c>
      <c r="C7" t="s">
        <v>167</v>
      </c>
      <c r="D7" s="54">
        <f>'Sh 3 COMPE'!N20</f>
        <v>0.10569333333333333</v>
      </c>
    </row>
    <row r="8" spans="1:4" x14ac:dyDescent="0.35">
      <c r="B8" t="s">
        <v>77</v>
      </c>
      <c r="C8" t="s">
        <v>168</v>
      </c>
      <c r="D8" s="54">
        <f>'Sh 6 DCF'!G19</f>
        <v>0.10135169424107314</v>
      </c>
    </row>
    <row r="9" spans="1:4" x14ac:dyDescent="0.35">
      <c r="B9" s="59" t="s">
        <v>118</v>
      </c>
      <c r="C9" s="59" t="s">
        <v>169</v>
      </c>
      <c r="D9" s="58">
        <f>'Sh 8 CAPM'!J17</f>
        <v>0.10827809667511205</v>
      </c>
    </row>
    <row r="10" spans="1:4" x14ac:dyDescent="0.35">
      <c r="B10" t="s">
        <v>21</v>
      </c>
      <c r="D10" s="54">
        <f>AVERAGE(D7:D9)</f>
        <v>0.10510770808317284</v>
      </c>
    </row>
    <row r="12" spans="1:4" x14ac:dyDescent="0.35">
      <c r="B12" t="s">
        <v>146</v>
      </c>
      <c r="D12" s="54">
        <v>0.109</v>
      </c>
    </row>
  </sheetData>
  <pageMargins left="0.7" right="0.7" top="0.75" bottom="0.75" header="0.3" footer="0.3"/>
  <pageSetup orientation="portrait" r:id="rId1"/>
  <headerFooter>
    <oddHeader>&amp;RExh. MJR-1T, Rowell WP3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864E-1465-4F51-A60A-266C2BE5326E}">
  <sheetPr>
    <tabColor theme="4" tint="0.79998168889431442"/>
  </sheetPr>
  <dimension ref="A1:AJ180"/>
  <sheetViews>
    <sheetView tabSelected="1" zoomScale="90" zoomScaleNormal="90" workbookViewId="0">
      <selection sqref="A1:A2"/>
    </sheetView>
  </sheetViews>
  <sheetFormatPr defaultColWidth="12.54296875" defaultRowHeight="15.5" x14ac:dyDescent="0.35"/>
  <cols>
    <col min="1" max="1" width="12.54296875" style="3"/>
    <col min="2" max="2" width="8.81640625" style="3" customWidth="1"/>
    <col min="3" max="3" width="13.54296875" style="3" customWidth="1"/>
    <col min="4" max="5" width="11.1796875" style="3" customWidth="1"/>
    <col min="6" max="6" width="11.26953125" style="3" customWidth="1"/>
    <col min="7" max="10" width="11.1796875" style="3" customWidth="1"/>
    <col min="11" max="11" width="10.81640625" style="3" bestFit="1" customWidth="1"/>
    <col min="12" max="12" width="12" style="3" bestFit="1" customWidth="1"/>
    <col min="13" max="13" width="14.26953125" style="3" customWidth="1"/>
    <col min="14" max="14" width="14.81640625" style="3" customWidth="1"/>
    <col min="15" max="16" width="11.1796875" style="3" customWidth="1"/>
    <col min="17" max="17" width="12.81640625" style="3" customWidth="1"/>
    <col min="18" max="18" width="12.7265625" style="5" customWidth="1"/>
    <col min="19" max="19" width="15.453125" style="5" customWidth="1"/>
    <col min="20" max="20" width="11.1796875" style="5" customWidth="1"/>
    <col min="21" max="23" width="11.26953125" style="5" customWidth="1"/>
    <col min="24" max="24" width="2.54296875" style="5" customWidth="1"/>
    <col min="25" max="27" width="11.26953125" style="5" customWidth="1"/>
    <col min="28" max="33" width="12.54296875" style="5" customWidth="1"/>
    <col min="34" max="34" width="12.54296875" style="3" customWidth="1"/>
    <col min="35" max="16384" width="12.54296875" style="3"/>
  </cols>
  <sheetData>
    <row r="1" spans="1:36" s="5" customFormat="1" ht="15.75" customHeight="1" x14ac:dyDescent="0.35">
      <c r="A1" s="123" t="s">
        <v>142</v>
      </c>
      <c r="C1" s="2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3"/>
      <c r="Q1" s="3"/>
      <c r="R1" s="3"/>
      <c r="T1" s="6"/>
      <c r="U1" s="4"/>
      <c r="AI1" s="3"/>
      <c r="AJ1" s="3"/>
    </row>
    <row r="2" spans="1:36" s="5" customFormat="1" ht="15.75" customHeight="1" x14ac:dyDescent="0.35">
      <c r="A2" s="123" t="s">
        <v>170</v>
      </c>
      <c r="C2" s="2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3"/>
      <c r="P2" s="3"/>
      <c r="Q2" s="3"/>
      <c r="R2" s="3"/>
      <c r="T2" s="6"/>
      <c r="U2" s="4"/>
      <c r="AI2" s="3"/>
      <c r="AJ2" s="3"/>
    </row>
    <row r="3" spans="1:36" s="5" customFormat="1" ht="15.75" customHeight="1" x14ac:dyDescent="0.35">
      <c r="A3" s="1" t="s">
        <v>155</v>
      </c>
      <c r="C3" s="2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3"/>
      <c r="P3" s="3"/>
      <c r="Q3" s="3"/>
      <c r="R3" s="3"/>
      <c r="T3" s="6"/>
      <c r="U3" s="4"/>
      <c r="AI3" s="3"/>
      <c r="AJ3" s="3"/>
    </row>
    <row r="4" spans="1:36" s="5" customFormat="1" x14ac:dyDescent="0.35">
      <c r="A4" s="1" t="s">
        <v>156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AI4" s="3"/>
      <c r="AJ4" s="3"/>
    </row>
    <row r="5" spans="1:36" s="5" customFormat="1" ht="20.25" customHeight="1" x14ac:dyDescent="0.35">
      <c r="B5" s="3"/>
      <c r="C5" s="125" t="s">
        <v>162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7"/>
      <c r="P5" s="7"/>
      <c r="Q5" s="7"/>
      <c r="R5" s="7"/>
      <c r="AI5" s="3"/>
      <c r="AJ5" s="3"/>
    </row>
    <row r="6" spans="1:36" s="5" customFormat="1" x14ac:dyDescent="0.35">
      <c r="A6" s="43" t="s">
        <v>46</v>
      </c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I6" s="3"/>
      <c r="AJ6" s="3"/>
    </row>
    <row r="7" spans="1:36" s="5" customFormat="1" x14ac:dyDescent="0.35">
      <c r="A7" s="18" t="s">
        <v>47</v>
      </c>
      <c r="B7" s="3"/>
      <c r="C7" s="3"/>
      <c r="D7" s="3"/>
      <c r="E7" s="3"/>
      <c r="F7" s="3"/>
      <c r="G7" s="3"/>
      <c r="H7" s="3"/>
      <c r="I7" s="3"/>
      <c r="J7" s="3"/>
      <c r="K7" s="3"/>
      <c r="L7" s="8"/>
      <c r="M7" s="9"/>
      <c r="N7" s="10" t="s">
        <v>13</v>
      </c>
      <c r="AC7" s="3"/>
      <c r="AD7" s="3"/>
    </row>
    <row r="8" spans="1:36" s="5" customFormat="1" x14ac:dyDescent="0.35">
      <c r="A8" s="25">
        <v>1</v>
      </c>
      <c r="B8" s="3"/>
      <c r="D8" s="11"/>
      <c r="E8" s="11"/>
      <c r="F8" s="11"/>
      <c r="G8" s="11"/>
      <c r="H8" s="12"/>
      <c r="I8" s="11"/>
      <c r="J8" s="11"/>
      <c r="K8" s="11"/>
      <c r="L8" s="13" t="s">
        <v>14</v>
      </c>
      <c r="M8" s="14" t="s">
        <v>14</v>
      </c>
      <c r="N8" s="15" t="s">
        <v>15</v>
      </c>
      <c r="AC8" s="3"/>
      <c r="AD8" s="3"/>
    </row>
    <row r="9" spans="1:36" s="5" customFormat="1" x14ac:dyDescent="0.35">
      <c r="A9" s="25">
        <f>+A8+1</f>
        <v>2</v>
      </c>
      <c r="B9" s="3"/>
      <c r="D9" s="129" t="s">
        <v>16</v>
      </c>
      <c r="E9" s="129"/>
      <c r="F9" s="129"/>
      <c r="G9" s="129"/>
      <c r="H9" s="129"/>
      <c r="I9" s="126" t="s">
        <v>17</v>
      </c>
      <c r="J9" s="127"/>
      <c r="K9" s="128"/>
      <c r="L9" s="14" t="s">
        <v>18</v>
      </c>
      <c r="M9" s="14" t="s">
        <v>19</v>
      </c>
      <c r="N9" s="15" t="s">
        <v>20</v>
      </c>
      <c r="AC9" s="3"/>
      <c r="AD9" s="3"/>
    </row>
    <row r="10" spans="1:36" s="5" customFormat="1" x14ac:dyDescent="0.35">
      <c r="A10" s="25">
        <f>+A9+1</f>
        <v>3</v>
      </c>
      <c r="B10" s="3"/>
      <c r="D10" s="3"/>
      <c r="E10" s="3"/>
      <c r="F10" s="3"/>
      <c r="G10" s="3"/>
      <c r="H10" s="16"/>
      <c r="I10" s="17"/>
      <c r="J10" s="16"/>
      <c r="K10" s="21" t="s">
        <v>129</v>
      </c>
      <c r="L10" s="14" t="s">
        <v>21</v>
      </c>
      <c r="M10" s="14" t="s">
        <v>22</v>
      </c>
      <c r="N10" s="15" t="s">
        <v>23</v>
      </c>
      <c r="AC10" s="3"/>
      <c r="AD10" s="3"/>
    </row>
    <row r="11" spans="1:36" s="5" customFormat="1" x14ac:dyDescent="0.35">
      <c r="A11" s="25">
        <f>+A10+1</f>
        <v>4</v>
      </c>
      <c r="B11" s="3"/>
      <c r="C11" s="18" t="s">
        <v>24</v>
      </c>
      <c r="D11" s="19">
        <v>2019</v>
      </c>
      <c r="E11" s="19">
        <v>2020</v>
      </c>
      <c r="F11" s="19">
        <v>2021</v>
      </c>
      <c r="G11" s="19">
        <v>2022</v>
      </c>
      <c r="H11" s="19">
        <v>2023</v>
      </c>
      <c r="I11" s="20">
        <v>2024</v>
      </c>
      <c r="J11" s="19">
        <v>2025</v>
      </c>
      <c r="K11" s="21">
        <v>2029</v>
      </c>
      <c r="L11" s="22" t="s">
        <v>130</v>
      </c>
      <c r="M11" s="22" t="s">
        <v>131</v>
      </c>
      <c r="N11" s="15" t="s">
        <v>21</v>
      </c>
      <c r="AC11" s="3"/>
      <c r="AD11" s="3"/>
    </row>
    <row r="12" spans="1:36" s="5" customFormat="1" x14ac:dyDescent="0.35">
      <c r="A12" s="25">
        <f>+A11+1</f>
        <v>5</v>
      </c>
      <c r="B12" s="3"/>
      <c r="C12" s="3"/>
      <c r="G12" s="3"/>
      <c r="H12" s="3"/>
      <c r="I12" s="23"/>
      <c r="J12" s="3"/>
      <c r="K12" s="24"/>
      <c r="N12" s="24"/>
      <c r="AC12" s="3"/>
      <c r="AD12" s="3"/>
    </row>
    <row r="13" spans="1:36" s="5" customFormat="1" x14ac:dyDescent="0.35">
      <c r="A13" s="25">
        <f>+A12+1</f>
        <v>6</v>
      </c>
      <c r="B13" s="25" t="s">
        <v>2</v>
      </c>
      <c r="C13" s="3" t="s">
        <v>25</v>
      </c>
      <c r="D13" s="26">
        <v>0.14000000000000001</v>
      </c>
      <c r="E13" s="26">
        <v>0.13500000000000001</v>
      </c>
      <c r="F13" s="26">
        <v>0.13800000000000001</v>
      </c>
      <c r="G13" s="26">
        <v>0.11</v>
      </c>
      <c r="H13" s="27">
        <v>0.161</v>
      </c>
      <c r="I13" s="28">
        <v>0.13500000000000001</v>
      </c>
      <c r="J13" s="27">
        <v>0.14000000000000001</v>
      </c>
      <c r="K13" s="29">
        <v>0.14000000000000001</v>
      </c>
      <c r="L13" s="26">
        <f>AVERAGE(D13:H13)</f>
        <v>0.1368</v>
      </c>
      <c r="M13" s="26">
        <f>AVERAGE(I13:K13)</f>
        <v>0.13833333333333334</v>
      </c>
      <c r="N13" s="29">
        <f>AVERAGE(L13:M13)</f>
        <v>0.13756666666666667</v>
      </c>
      <c r="AC13" s="3"/>
      <c r="AD13" s="3"/>
    </row>
    <row r="14" spans="1:36" s="5" customFormat="1" x14ac:dyDescent="0.35">
      <c r="A14" s="25">
        <f t="shared" ref="A14:A24" si="0">+A13+1</f>
        <v>7</v>
      </c>
      <c r="B14" s="25" t="s">
        <v>11</v>
      </c>
      <c r="C14" s="3" t="s">
        <v>12</v>
      </c>
      <c r="D14" s="26">
        <v>0.10100000000000001</v>
      </c>
      <c r="E14" s="26">
        <v>0.11</v>
      </c>
      <c r="F14" s="26">
        <v>0.17299999999999999</v>
      </c>
      <c r="G14" s="26">
        <v>0.107</v>
      </c>
      <c r="H14" s="27">
        <v>9.6000000000000002E-2</v>
      </c>
      <c r="I14" s="28">
        <v>0.1</v>
      </c>
      <c r="J14" s="27">
        <v>0.1</v>
      </c>
      <c r="K14" s="29">
        <v>0.11</v>
      </c>
      <c r="L14" s="26">
        <f>AVERAGE(D14:H14)</f>
        <v>0.11739999999999999</v>
      </c>
      <c r="M14" s="26">
        <f>AVERAGE(I14:K14)</f>
        <v>0.10333333333333333</v>
      </c>
      <c r="N14" s="29">
        <f t="shared" ref="N14:N18" si="1">AVERAGE(L14:M14)</f>
        <v>0.11036666666666667</v>
      </c>
      <c r="AC14" s="3"/>
      <c r="AD14" s="3"/>
    </row>
    <row r="15" spans="1:36" s="5" customFormat="1" x14ac:dyDescent="0.35">
      <c r="A15" s="25">
        <f t="shared" si="0"/>
        <v>8</v>
      </c>
      <c r="B15" s="25" t="s">
        <v>4</v>
      </c>
      <c r="C15" s="3" t="s">
        <v>26</v>
      </c>
      <c r="D15" s="26">
        <v>5.8000000000000003E-2</v>
      </c>
      <c r="E15" s="26">
        <v>6.0999999999999999E-2</v>
      </c>
      <c r="F15" s="26">
        <v>8.3000000000000004E-2</v>
      </c>
      <c r="G15" s="26">
        <v>8.6999999999999994E-2</v>
      </c>
      <c r="H15" s="27">
        <v>8.5000000000000006E-2</v>
      </c>
      <c r="I15" s="28">
        <v>8.5000000000000006E-2</v>
      </c>
      <c r="J15" s="27">
        <v>0.09</v>
      </c>
      <c r="K15" s="29">
        <v>9.5000000000000001E-2</v>
      </c>
      <c r="L15" s="26">
        <f>AVERAGE(D15:H15)</f>
        <v>7.4800000000000005E-2</v>
      </c>
      <c r="M15" s="26">
        <f>AVERAGE(I15:K15)</f>
        <v>9.0000000000000011E-2</v>
      </c>
      <c r="N15" s="29">
        <f>AVERAGE(L15:M15)</f>
        <v>8.2400000000000001E-2</v>
      </c>
      <c r="AC15" s="3"/>
      <c r="AD15" s="3"/>
    </row>
    <row r="16" spans="1:36" s="5" customFormat="1" x14ac:dyDescent="0.35">
      <c r="A16" s="25">
        <f t="shared" si="0"/>
        <v>9</v>
      </c>
      <c r="B16" s="25" t="s">
        <v>7</v>
      </c>
      <c r="C16" s="3" t="s">
        <v>8</v>
      </c>
      <c r="D16" s="26">
        <v>9.2999999999999999E-2</v>
      </c>
      <c r="E16" s="26">
        <v>9.9000000000000005E-2</v>
      </c>
      <c r="F16" s="27">
        <v>9.5000000000000001E-2</v>
      </c>
      <c r="G16" s="27">
        <v>9.6000000000000002E-2</v>
      </c>
      <c r="H16" s="31">
        <v>7.1999999999999995E-2</v>
      </c>
      <c r="I16" s="28" t="s">
        <v>27</v>
      </c>
      <c r="J16" s="27" t="s">
        <v>27</v>
      </c>
      <c r="K16" s="29" t="s">
        <v>27</v>
      </c>
      <c r="L16" s="26"/>
      <c r="M16" s="26"/>
      <c r="N16" s="29"/>
      <c r="V16" s="30"/>
      <c r="AC16" s="3"/>
      <c r="AD16" s="3"/>
    </row>
    <row r="17" spans="1:36" s="5" customFormat="1" x14ac:dyDescent="0.35">
      <c r="A17" s="25">
        <f t="shared" si="0"/>
        <v>10</v>
      </c>
      <c r="B17" s="25" t="s">
        <v>3</v>
      </c>
      <c r="C17" s="3" t="s">
        <v>28</v>
      </c>
      <c r="D17" s="26">
        <v>8.1000000000000003E-2</v>
      </c>
      <c r="E17" s="26">
        <v>0.105</v>
      </c>
      <c r="F17" s="26">
        <v>8.5999999999999993E-2</v>
      </c>
      <c r="G17" s="26">
        <v>7.2999999999999995E-2</v>
      </c>
      <c r="H17" s="27">
        <v>3.5999999999999997E-2</v>
      </c>
      <c r="I17" s="28">
        <v>0.13</v>
      </c>
      <c r="J17" s="27">
        <v>0.105</v>
      </c>
      <c r="K17" s="29">
        <v>9.5000000000000001E-2</v>
      </c>
      <c r="L17" s="26">
        <f>AVERAGE(D17:H17)</f>
        <v>7.6200000000000004E-2</v>
      </c>
      <c r="M17" s="26">
        <f>AVERAGE(I17:K17)</f>
        <v>0.10999999999999999</v>
      </c>
      <c r="N17" s="29">
        <f t="shared" si="1"/>
        <v>9.3099999999999988E-2</v>
      </c>
      <c r="AC17" s="3"/>
      <c r="AD17" s="3"/>
    </row>
    <row r="18" spans="1:36" s="5" customFormat="1" x14ac:dyDescent="0.35">
      <c r="A18" s="25">
        <f t="shared" si="0"/>
        <v>11</v>
      </c>
      <c r="B18" s="25" t="s">
        <v>9</v>
      </c>
      <c r="C18" s="3" t="s">
        <v>10</v>
      </c>
      <c r="D18" s="26">
        <v>0.104</v>
      </c>
      <c r="E18" s="26">
        <v>0.11</v>
      </c>
      <c r="F18" s="26">
        <v>9.9000000000000005E-2</v>
      </c>
      <c r="G18" s="26">
        <v>0.105</v>
      </c>
      <c r="H18" s="27">
        <v>7.3999999999999996E-2</v>
      </c>
      <c r="I18" s="28">
        <v>0.105</v>
      </c>
      <c r="J18" s="27">
        <v>0.105</v>
      </c>
      <c r="K18" s="29">
        <v>0.125</v>
      </c>
      <c r="L18" s="26">
        <f>AVERAGE(D18:H18)</f>
        <v>9.8400000000000001E-2</v>
      </c>
      <c r="M18" s="26">
        <f>AVERAGE(I18:K18)</f>
        <v>0.11166666666666665</v>
      </c>
      <c r="N18" s="29">
        <f t="shared" si="1"/>
        <v>0.10503333333333333</v>
      </c>
      <c r="AC18" s="3"/>
      <c r="AD18" s="3"/>
    </row>
    <row r="19" spans="1:36" s="5" customFormat="1" x14ac:dyDescent="0.35">
      <c r="A19" s="25">
        <f t="shared" si="0"/>
        <v>12</v>
      </c>
      <c r="B19" s="56" t="s">
        <v>5</v>
      </c>
      <c r="C19" s="57" t="s">
        <v>6</v>
      </c>
      <c r="D19" s="107">
        <v>0.107</v>
      </c>
      <c r="E19" s="107">
        <v>0.11600000000000001</v>
      </c>
      <c r="F19" s="107">
        <v>0.111</v>
      </c>
      <c r="G19" s="116">
        <v>9.5000000000000001E-2</v>
      </c>
      <c r="H19" s="116">
        <v>0.107</v>
      </c>
      <c r="I19" s="117" t="s">
        <v>27</v>
      </c>
      <c r="J19" s="116" t="s">
        <v>27</v>
      </c>
      <c r="K19" s="108" t="s">
        <v>27</v>
      </c>
      <c r="L19" s="107"/>
      <c r="M19" s="107"/>
      <c r="N19" s="108"/>
      <c r="AC19" s="3"/>
      <c r="AD19" s="3"/>
    </row>
    <row r="20" spans="1:36" s="5" customFormat="1" x14ac:dyDescent="0.35">
      <c r="A20" s="25">
        <f t="shared" si="0"/>
        <v>13</v>
      </c>
      <c r="B20" s="3"/>
      <c r="C20" s="3" t="s">
        <v>21</v>
      </c>
      <c r="D20" s="26">
        <f>AVERAGE(D13:D19)</f>
        <v>9.7714285714285726E-2</v>
      </c>
      <c r="E20" s="26">
        <f t="shared" ref="E20:N20" si="2">AVERAGE(E13:E19)</f>
        <v>0.10514285714285714</v>
      </c>
      <c r="F20" s="26">
        <f t="shared" si="2"/>
        <v>0.11214285714285713</v>
      </c>
      <c r="G20" s="26">
        <f t="shared" si="2"/>
        <v>9.6142857142857155E-2</v>
      </c>
      <c r="H20" s="26">
        <f t="shared" si="2"/>
        <v>9.014285714285715E-2</v>
      </c>
      <c r="I20" s="26">
        <f t="shared" si="2"/>
        <v>0.11100000000000002</v>
      </c>
      <c r="J20" s="26">
        <f t="shared" si="2"/>
        <v>0.10800000000000001</v>
      </c>
      <c r="K20" s="26">
        <f t="shared" si="2"/>
        <v>0.11299999999999999</v>
      </c>
      <c r="L20" s="26">
        <f t="shared" si="2"/>
        <v>0.10071999999999999</v>
      </c>
      <c r="M20" s="26">
        <f t="shared" si="2"/>
        <v>0.11066666666666666</v>
      </c>
      <c r="N20" s="73">
        <f t="shared" si="2"/>
        <v>0.10569333333333333</v>
      </c>
      <c r="P20" s="32"/>
      <c r="AC20" s="3"/>
      <c r="AD20" s="3"/>
    </row>
    <row r="21" spans="1:36" s="5" customFormat="1" x14ac:dyDescent="0.35">
      <c r="A21" s="25">
        <f t="shared" si="0"/>
        <v>14</v>
      </c>
      <c r="B21" s="3"/>
      <c r="D21" s="3"/>
      <c r="E21" s="3"/>
      <c r="F21" s="3"/>
      <c r="G21" s="3"/>
      <c r="J21" s="3"/>
      <c r="K21" s="3"/>
      <c r="AC21" s="3"/>
      <c r="AD21" s="3"/>
    </row>
    <row r="22" spans="1:36" s="5" customFormat="1" x14ac:dyDescent="0.35">
      <c r="A22" s="25">
        <f t="shared" si="0"/>
        <v>15</v>
      </c>
      <c r="B22" s="3"/>
      <c r="C22" s="3" t="s">
        <v>132</v>
      </c>
      <c r="D22" s="3"/>
      <c r="E22" s="3"/>
      <c r="F22" s="3"/>
      <c r="G22" s="3"/>
      <c r="H22" s="5" t="s">
        <v>30</v>
      </c>
      <c r="O22" s="3"/>
      <c r="AC22" s="3"/>
      <c r="AD22" s="3"/>
    </row>
    <row r="23" spans="1:36" s="5" customFormat="1" x14ac:dyDescent="0.35">
      <c r="A23" s="25">
        <f t="shared" si="0"/>
        <v>16</v>
      </c>
      <c r="B23" s="3"/>
      <c r="C23" s="3"/>
      <c r="D23" s="3"/>
      <c r="E23" s="3"/>
      <c r="F23" s="3"/>
      <c r="G23" s="3"/>
      <c r="O23" s="3"/>
      <c r="P23" s="3"/>
      <c r="R23" s="32"/>
      <c r="AI23" s="3"/>
      <c r="AJ23" s="3"/>
    </row>
    <row r="24" spans="1:36" s="5" customFormat="1" x14ac:dyDescent="0.35">
      <c r="A24" s="25">
        <f t="shared" si="0"/>
        <v>17</v>
      </c>
      <c r="B24" s="3"/>
      <c r="C24" s="3"/>
      <c r="D24" s="3"/>
      <c r="E24" s="3"/>
      <c r="F24" s="3"/>
      <c r="G24" s="3"/>
      <c r="M24" s="31"/>
      <c r="O24" s="3"/>
      <c r="P24" s="3"/>
      <c r="R24" s="32"/>
      <c r="AI24" s="3"/>
      <c r="AJ24" s="3"/>
    </row>
    <row r="25" spans="1:36" s="5" customFormat="1" x14ac:dyDescent="0.35">
      <c r="A25" s="25"/>
      <c r="B25" s="3"/>
      <c r="C25" s="3"/>
      <c r="D25" s="3"/>
      <c r="E25" s="3"/>
      <c r="F25" s="3"/>
      <c r="G25" s="3"/>
      <c r="O25" s="3"/>
      <c r="P25" s="3"/>
      <c r="R25" s="32"/>
      <c r="AI25" s="3"/>
      <c r="AJ25" s="3"/>
    </row>
    <row r="26" spans="1:36" s="5" customFormat="1" x14ac:dyDescent="0.35">
      <c r="A26" s="25"/>
      <c r="B26" s="3"/>
      <c r="C26" s="3"/>
      <c r="D26" s="3"/>
      <c r="E26" s="3"/>
      <c r="F26" s="3"/>
      <c r="G26" s="3"/>
      <c r="O26" s="3"/>
      <c r="P26" s="3"/>
      <c r="R26" s="32"/>
      <c r="AI26" s="3"/>
      <c r="AJ26" s="3"/>
    </row>
    <row r="27" spans="1:36" s="5" customFormat="1" x14ac:dyDescent="0.35">
      <c r="A27" s="25"/>
      <c r="B27" s="3"/>
      <c r="C27" s="3"/>
      <c r="D27" s="3"/>
      <c r="E27" s="3"/>
      <c r="F27" s="3"/>
      <c r="G27" s="3"/>
      <c r="O27" s="3"/>
      <c r="P27" s="3"/>
      <c r="R27" s="32"/>
      <c r="AI27" s="3"/>
      <c r="AJ27" s="3"/>
    </row>
    <row r="28" spans="1:36" s="5" customFormat="1" x14ac:dyDescent="0.35">
      <c r="A28" s="25"/>
      <c r="B28" s="3"/>
      <c r="C28" s="3"/>
      <c r="D28" s="3"/>
      <c r="E28" s="3"/>
      <c r="F28" s="3"/>
      <c r="G28" s="3"/>
      <c r="O28" s="3"/>
      <c r="P28" s="3"/>
      <c r="R28" s="32"/>
      <c r="AI28" s="3"/>
      <c r="AJ28" s="3"/>
    </row>
    <row r="29" spans="1:36" s="5" customFormat="1" x14ac:dyDescent="0.35">
      <c r="A29" s="25"/>
      <c r="B29" s="3"/>
      <c r="C29" s="3"/>
      <c r="D29" s="3"/>
      <c r="E29" s="3"/>
      <c r="F29" s="3"/>
      <c r="G29" s="3"/>
      <c r="O29" s="3"/>
      <c r="P29" s="3"/>
      <c r="R29" s="32"/>
      <c r="AI29" s="3"/>
      <c r="AJ29" s="3"/>
    </row>
    <row r="30" spans="1:36" s="5" customFormat="1" x14ac:dyDescent="0.35">
      <c r="A30" s="25"/>
      <c r="B30" s="3"/>
      <c r="C30" s="3"/>
      <c r="D30" s="3"/>
      <c r="E30" s="3"/>
      <c r="F30" s="3"/>
      <c r="G30" s="3"/>
      <c r="O30" s="3"/>
      <c r="P30" s="3"/>
      <c r="R30" s="32"/>
      <c r="AI30" s="3"/>
      <c r="AJ30" s="3"/>
    </row>
    <row r="31" spans="1:36" s="5" customFormat="1" x14ac:dyDescent="0.35">
      <c r="A31" s="25"/>
      <c r="B31" s="3"/>
      <c r="C31" s="3"/>
      <c r="D31" s="3"/>
      <c r="E31" s="3"/>
      <c r="F31" s="3"/>
      <c r="G31" s="3"/>
      <c r="O31" s="3"/>
      <c r="P31" s="3"/>
      <c r="R31" s="32"/>
      <c r="AI31" s="3"/>
      <c r="AJ31" s="3"/>
    </row>
    <row r="32" spans="1:36" s="5" customFormat="1" x14ac:dyDescent="0.35">
      <c r="A32" s="2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R32" s="32"/>
      <c r="AI32" s="3"/>
      <c r="AJ32" s="3"/>
    </row>
    <row r="33" spans="1:36" s="5" customFormat="1" x14ac:dyDescent="0.35">
      <c r="A33" s="25"/>
      <c r="B33" s="3"/>
      <c r="C33" s="3"/>
      <c r="D33" s="26"/>
      <c r="E33" s="3"/>
      <c r="F33" s="3"/>
      <c r="G33" s="3"/>
      <c r="H33" s="3"/>
      <c r="I33" s="3"/>
      <c r="J33" s="3"/>
      <c r="K33" s="3"/>
      <c r="L33" s="3"/>
      <c r="M33" s="3"/>
      <c r="N33" s="3"/>
      <c r="P33" s="3"/>
      <c r="R33" s="32"/>
      <c r="AI33" s="3"/>
      <c r="AJ33" s="3"/>
    </row>
    <row r="34" spans="1:36" s="5" customFormat="1" x14ac:dyDescent="0.35">
      <c r="A34" s="25"/>
      <c r="B34" s="3"/>
      <c r="C34" s="3"/>
      <c r="D34" s="3"/>
      <c r="E34" s="26"/>
      <c r="F34" s="26"/>
      <c r="G34" s="26"/>
      <c r="O34" s="3"/>
      <c r="Q34" s="3"/>
      <c r="R34" s="3"/>
      <c r="S34" s="3"/>
      <c r="AE34" s="16"/>
      <c r="AI34" s="3"/>
      <c r="AJ34" s="3"/>
    </row>
    <row r="35" spans="1:36" s="5" customFormat="1" x14ac:dyDescent="0.35">
      <c r="A35" s="25"/>
      <c r="B35" s="3"/>
      <c r="C35" s="3"/>
      <c r="D35" s="36"/>
      <c r="E35" s="36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AE35" s="35"/>
      <c r="AI35" s="3"/>
      <c r="AJ35" s="3"/>
    </row>
    <row r="36" spans="1:36" s="5" customFormat="1" x14ac:dyDescent="0.35">
      <c r="A36" s="25"/>
      <c r="C36" s="3"/>
      <c r="D36" s="36"/>
      <c r="E36" s="36"/>
      <c r="F36" s="37"/>
      <c r="G36" s="3"/>
      <c r="H36" s="3"/>
      <c r="I36" s="3"/>
      <c r="J36" s="3"/>
      <c r="K36" s="3"/>
      <c r="L36" s="3"/>
      <c r="M36" s="3"/>
      <c r="N36" s="3"/>
      <c r="P36" s="3"/>
      <c r="AE36" s="3"/>
      <c r="AI36" s="3"/>
      <c r="AJ36" s="3"/>
    </row>
    <row r="37" spans="1:36" s="5" customFormat="1" x14ac:dyDescent="0.35">
      <c r="A37" s="25"/>
      <c r="C37" s="3"/>
      <c r="D37" s="36"/>
      <c r="E37" s="36"/>
      <c r="F37" s="37"/>
      <c r="G37" s="3"/>
      <c r="H37" s="3"/>
      <c r="I37" s="3"/>
      <c r="J37" s="3"/>
      <c r="K37" s="3"/>
      <c r="L37" s="3"/>
      <c r="M37" s="3"/>
      <c r="N37" s="3"/>
      <c r="Q37" s="3"/>
      <c r="R37" s="3"/>
      <c r="S37" s="3"/>
      <c r="AE37" s="32"/>
      <c r="AI37" s="3"/>
      <c r="AJ37" s="3"/>
    </row>
    <row r="38" spans="1:36" s="5" customFormat="1" x14ac:dyDescent="0.35">
      <c r="A38" s="25"/>
      <c r="C38" s="3"/>
      <c r="D38" s="36"/>
      <c r="E38" s="36"/>
      <c r="F38" s="37"/>
      <c r="G38" s="3"/>
      <c r="H38" s="3"/>
      <c r="I38" s="3"/>
      <c r="J38" s="3"/>
      <c r="K38" s="3"/>
      <c r="L38" s="3"/>
      <c r="M38" s="3"/>
      <c r="N38" s="3"/>
      <c r="Q38" s="3"/>
      <c r="R38" s="3"/>
      <c r="S38" s="3"/>
      <c r="AE38" s="32"/>
      <c r="AI38" s="3"/>
      <c r="AJ38" s="3"/>
    </row>
    <row r="39" spans="1:36" s="5" customFormat="1" x14ac:dyDescent="0.35">
      <c r="A39" s="25"/>
      <c r="C39" s="3"/>
      <c r="D39" s="39"/>
      <c r="E39" s="39"/>
      <c r="F39" s="37"/>
      <c r="G39" s="26"/>
      <c r="H39" s="32"/>
      <c r="I39" s="32"/>
      <c r="J39" s="32"/>
      <c r="K39" s="32"/>
      <c r="L39" s="32"/>
      <c r="M39" s="32"/>
      <c r="Q39" s="3"/>
      <c r="R39" s="38"/>
      <c r="S39" s="38"/>
      <c r="AE39" s="32"/>
      <c r="AI39" s="3"/>
      <c r="AJ39" s="3"/>
    </row>
    <row r="40" spans="1:36" s="5" customFormat="1" x14ac:dyDescent="0.35">
      <c r="A40" s="25"/>
      <c r="C40" s="3"/>
      <c r="D40" s="36"/>
      <c r="E40" s="39"/>
      <c r="F40" s="37"/>
      <c r="G40" s="3"/>
      <c r="H40" s="32"/>
      <c r="I40" s="32"/>
      <c r="J40" s="32"/>
      <c r="K40" s="32"/>
      <c r="L40" s="32"/>
      <c r="M40" s="32"/>
      <c r="O40" s="3"/>
      <c r="Q40" s="3"/>
      <c r="R40" s="3"/>
      <c r="S40" s="3"/>
      <c r="AE40" s="32"/>
      <c r="AI40" s="3"/>
      <c r="AJ40" s="3"/>
    </row>
    <row r="41" spans="1:36" s="5" customFormat="1" x14ac:dyDescent="0.35">
      <c r="A41" s="25"/>
      <c r="C41" s="3"/>
      <c r="D41" s="39"/>
      <c r="E41" s="39"/>
      <c r="F41" s="37"/>
      <c r="G41" s="26"/>
      <c r="H41" s="26"/>
      <c r="I41" s="26"/>
      <c r="J41" s="40"/>
      <c r="K41" s="26"/>
      <c r="L41" s="26"/>
      <c r="M41" s="26"/>
      <c r="O41" s="3"/>
      <c r="P41" s="3"/>
      <c r="Q41" s="3"/>
      <c r="R41" s="31"/>
      <c r="S41" s="32"/>
      <c r="AE41" s="32"/>
      <c r="AI41" s="3"/>
      <c r="AJ41" s="3"/>
    </row>
    <row r="42" spans="1:36" s="5" customFormat="1" x14ac:dyDescent="0.35">
      <c r="A42" s="25"/>
      <c r="C42" s="3"/>
      <c r="D42" s="39"/>
      <c r="E42" s="39"/>
      <c r="F42" s="37"/>
      <c r="G42" s="26"/>
      <c r="H42" s="31"/>
      <c r="I42" s="31"/>
      <c r="J42" s="31"/>
      <c r="K42" s="31"/>
      <c r="L42" s="31"/>
      <c r="M42" s="31"/>
      <c r="N42" s="31"/>
      <c r="O42" s="26"/>
      <c r="P42" s="3"/>
      <c r="Q42" s="3"/>
      <c r="R42" s="32"/>
      <c r="AE42" s="32"/>
      <c r="AI42" s="3"/>
      <c r="AJ42" s="3"/>
    </row>
    <row r="43" spans="1:36" s="5" customFormat="1" x14ac:dyDescent="0.35">
      <c r="A43" s="25"/>
      <c r="C43" s="3"/>
      <c r="D43" s="26"/>
      <c r="E43" s="26"/>
      <c r="F43" s="26"/>
      <c r="G43" s="26"/>
      <c r="I43" s="31"/>
      <c r="J43" s="31"/>
      <c r="K43" s="31"/>
      <c r="L43" s="31"/>
      <c r="M43" s="31"/>
      <c r="N43" s="31"/>
      <c r="O43" s="3"/>
      <c r="P43" s="26"/>
      <c r="Q43" s="3"/>
      <c r="R43" s="41"/>
      <c r="S43" s="42"/>
      <c r="AE43" s="32"/>
      <c r="AI43" s="3"/>
      <c r="AJ43" s="3"/>
    </row>
    <row r="44" spans="1:36" s="5" customFormat="1" x14ac:dyDescent="0.35">
      <c r="A44" s="25"/>
      <c r="C44" s="3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3"/>
      <c r="P44" s="3"/>
      <c r="Q44" s="3"/>
      <c r="R44" s="32"/>
      <c r="AE44" s="32"/>
      <c r="AI44" s="3"/>
      <c r="AJ44" s="3"/>
    </row>
    <row r="45" spans="1:36" s="5" customFormat="1" x14ac:dyDescent="0.35">
      <c r="A45" s="2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6"/>
      <c r="P45" s="3"/>
      <c r="Q45" s="31"/>
      <c r="R45" s="31"/>
      <c r="S45" s="32"/>
      <c r="AE45" s="32"/>
      <c r="AI45" s="3"/>
      <c r="AJ45" s="3"/>
    </row>
    <row r="46" spans="1:36" s="5" customFormat="1" x14ac:dyDescent="0.35">
      <c r="A46" s="25"/>
      <c r="B46" s="3"/>
      <c r="C46" s="3"/>
      <c r="D46" s="3"/>
      <c r="E46" s="3"/>
      <c r="F46" s="3"/>
      <c r="G46" s="32"/>
      <c r="H46" s="32"/>
      <c r="I46" s="32"/>
      <c r="J46" s="31"/>
      <c r="N46" s="3"/>
      <c r="O46" s="3"/>
      <c r="P46" s="26"/>
      <c r="Q46" s="26"/>
      <c r="R46" s="26"/>
      <c r="AE46" s="3"/>
      <c r="AI46" s="3"/>
      <c r="AJ46" s="3"/>
    </row>
    <row r="47" spans="1:36" s="5" customFormat="1" x14ac:dyDescent="0.35">
      <c r="A47" s="25"/>
      <c r="B47" s="3"/>
      <c r="C47" s="3"/>
      <c r="D47" s="3"/>
      <c r="E47" s="3"/>
      <c r="F47" s="3"/>
      <c r="G47" s="32"/>
      <c r="H47" s="32"/>
      <c r="I47" s="32"/>
      <c r="J47" s="31"/>
      <c r="K47" s="3"/>
      <c r="L47" s="3"/>
      <c r="N47" s="3"/>
      <c r="O47" s="3"/>
      <c r="P47" s="3"/>
      <c r="Q47" s="32"/>
      <c r="AD47" s="3"/>
      <c r="AH47" s="3"/>
      <c r="AI47" s="3"/>
    </row>
    <row r="48" spans="1:36" s="5" customFormat="1" x14ac:dyDescent="0.35">
      <c r="A48" s="25"/>
      <c r="B48" s="3"/>
      <c r="C48" s="26"/>
      <c r="D48" s="26"/>
      <c r="E48" s="26"/>
      <c r="F48" s="26"/>
      <c r="G48" s="32"/>
      <c r="H48" s="32"/>
      <c r="I48" s="31"/>
      <c r="J48" s="31"/>
      <c r="N48" s="3"/>
      <c r="O48" s="3"/>
      <c r="Q48" s="32"/>
      <c r="AD48" s="26"/>
      <c r="AH48" s="3"/>
      <c r="AI48" s="3"/>
    </row>
    <row r="49" spans="1:35" s="5" customFormat="1" x14ac:dyDescent="0.35">
      <c r="A49" s="2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8"/>
      <c r="AD49" s="26"/>
      <c r="AH49" s="3"/>
      <c r="AI49" s="3"/>
    </row>
    <row r="50" spans="1:35" s="5" customFormat="1" x14ac:dyDescent="0.35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AD50" s="26"/>
      <c r="AH50" s="3"/>
      <c r="AI50" s="3"/>
    </row>
    <row r="51" spans="1:35" s="5" customFormat="1" x14ac:dyDescent="0.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P51" s="3"/>
      <c r="Q51" s="3"/>
      <c r="AD51" s="26"/>
      <c r="AH51" s="3"/>
      <c r="AI51" s="3"/>
    </row>
    <row r="52" spans="1:35" s="5" customFormat="1" x14ac:dyDescent="0.3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P52" s="3"/>
      <c r="Q52" s="3"/>
      <c r="AD52" s="3"/>
      <c r="AH52" s="3"/>
      <c r="AI52" s="3"/>
    </row>
    <row r="53" spans="1:35" s="5" customFormat="1" x14ac:dyDescent="0.3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AH53" s="3"/>
      <c r="AI53" s="3"/>
    </row>
    <row r="54" spans="1:35" s="5" customFormat="1" x14ac:dyDescent="0.3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Q54" s="3"/>
      <c r="R54" s="3"/>
      <c r="S54" s="16"/>
      <c r="AH54" s="3"/>
      <c r="AI54" s="3"/>
    </row>
    <row r="55" spans="1:35" s="5" customFormat="1" x14ac:dyDescent="0.3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P55" s="3"/>
      <c r="Q55" s="3"/>
      <c r="AH55" s="3"/>
      <c r="AI55" s="3"/>
    </row>
    <row r="56" spans="1:35" s="5" customFormat="1" x14ac:dyDescent="0.3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2"/>
      <c r="P56" s="3"/>
      <c r="Q56" s="3"/>
      <c r="AH56" s="3"/>
      <c r="AI56" s="3"/>
    </row>
    <row r="57" spans="1:35" s="5" customFormat="1" x14ac:dyDescent="0.3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2"/>
      <c r="O57" s="32"/>
      <c r="P57" s="3"/>
      <c r="Q57" s="3"/>
      <c r="AH57" s="3"/>
      <c r="AI57" s="3"/>
    </row>
    <row r="58" spans="1:35" s="5" customFormat="1" x14ac:dyDescent="0.3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2"/>
      <c r="O58" s="32"/>
      <c r="P58" s="3"/>
      <c r="Q58" s="3"/>
      <c r="AH58" s="3"/>
      <c r="AI58" s="3"/>
    </row>
    <row r="59" spans="1:35" s="5" customFormat="1" x14ac:dyDescent="0.3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2"/>
      <c r="O59" s="32"/>
      <c r="P59" s="3"/>
      <c r="Q59" s="3"/>
      <c r="AH59" s="3"/>
      <c r="AI59" s="3"/>
    </row>
    <row r="60" spans="1:35" s="5" customFormat="1" x14ac:dyDescent="0.3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2"/>
      <c r="O60" s="32"/>
      <c r="P60" s="3"/>
      <c r="Q60" s="3"/>
      <c r="AH60" s="3"/>
      <c r="AI60" s="3"/>
    </row>
    <row r="61" spans="1:35" s="5" customFormat="1" x14ac:dyDescent="0.3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2"/>
      <c r="O61" s="32"/>
      <c r="P61" s="3"/>
      <c r="Q61" s="3"/>
      <c r="AH61" s="3"/>
      <c r="AI61" s="3"/>
    </row>
    <row r="62" spans="1:35" s="5" customFormat="1" x14ac:dyDescent="0.3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2"/>
      <c r="O62" s="32"/>
      <c r="P62" s="3"/>
      <c r="Q62" s="3"/>
      <c r="AH62" s="3"/>
      <c r="AI62" s="3"/>
    </row>
    <row r="63" spans="1:35" s="5" customFormat="1" x14ac:dyDescent="0.3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1"/>
      <c r="O63" s="32"/>
      <c r="P63" s="3"/>
      <c r="Q63" s="3"/>
      <c r="AH63" s="3"/>
      <c r="AI63" s="3"/>
    </row>
    <row r="64" spans="1:35" s="5" customFormat="1" x14ac:dyDescent="0.3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O64" s="31"/>
      <c r="P64" s="3"/>
      <c r="Q64" s="3"/>
      <c r="AH64" s="3"/>
      <c r="AI64" s="3"/>
    </row>
    <row r="65" spans="2:35" s="5" customFormat="1" x14ac:dyDescent="0.3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P65" s="3"/>
      <c r="Q65" s="3"/>
      <c r="AH65" s="3"/>
      <c r="AI65" s="3"/>
    </row>
    <row r="66" spans="2:35" s="5" customFormat="1" x14ac:dyDescent="0.3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P66" s="3"/>
      <c r="Q66" s="3"/>
      <c r="AH66" s="3"/>
      <c r="AI66" s="3"/>
    </row>
    <row r="67" spans="2:35" s="5" customFormat="1" x14ac:dyDescent="0.3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P67" s="3"/>
      <c r="Q67" s="3"/>
      <c r="AH67" s="3"/>
      <c r="AI67" s="3"/>
    </row>
    <row r="68" spans="2:35" s="5" customFormat="1" x14ac:dyDescent="0.3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P68" s="3"/>
      <c r="Q68" s="3"/>
      <c r="AH68" s="3"/>
      <c r="AI68" s="3"/>
    </row>
    <row r="69" spans="2:35" s="5" customFormat="1" x14ac:dyDescent="0.3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P69" s="3"/>
      <c r="Q69" s="3"/>
      <c r="AH69" s="3"/>
      <c r="AI69" s="3"/>
    </row>
    <row r="70" spans="2:35" s="5" customFormat="1" x14ac:dyDescent="0.3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2"/>
      <c r="P70" s="3"/>
      <c r="Q70" s="3"/>
      <c r="AH70" s="3"/>
      <c r="AI70" s="3"/>
    </row>
    <row r="71" spans="2:35" s="5" customFormat="1" x14ac:dyDescent="0.3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O71" s="32"/>
      <c r="P71" s="3"/>
      <c r="Q71" s="3"/>
      <c r="AH71" s="3"/>
      <c r="AI71" s="3"/>
    </row>
    <row r="72" spans="2:35" s="5" customFormat="1" x14ac:dyDescent="0.3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P72" s="3"/>
      <c r="Q72" s="3"/>
      <c r="AH72" s="3"/>
      <c r="AI72" s="3"/>
    </row>
    <row r="73" spans="2:35" s="5" customFormat="1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AH73" s="3"/>
      <c r="AI73" s="3"/>
    </row>
    <row r="77" spans="2:35" x14ac:dyDescent="0.35">
      <c r="B77" s="5"/>
      <c r="N77" s="5"/>
    </row>
    <row r="78" spans="2:35" x14ac:dyDescent="0.35">
      <c r="B78" s="5"/>
      <c r="N78" s="5"/>
      <c r="O78" s="5"/>
    </row>
    <row r="79" spans="2:35" s="5" customFormat="1" x14ac:dyDescent="0.3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P79" s="3"/>
      <c r="Q79" s="3"/>
      <c r="AH79" s="3"/>
      <c r="AI79" s="3"/>
    </row>
    <row r="80" spans="2:35" s="5" customFormat="1" x14ac:dyDescent="0.3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P80" s="3"/>
      <c r="Q80" s="3"/>
      <c r="AH80" s="3"/>
      <c r="AI80" s="3"/>
    </row>
    <row r="81" spans="2:35" s="5" customFormat="1" x14ac:dyDescent="0.3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P81" s="3"/>
      <c r="Q81" s="3"/>
      <c r="AH81" s="3"/>
      <c r="AI81" s="3"/>
    </row>
    <row r="82" spans="2:35" s="5" customFormat="1" x14ac:dyDescent="0.3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P82" s="3"/>
      <c r="Q82" s="3"/>
      <c r="AH82" s="3"/>
      <c r="AI82" s="3"/>
    </row>
    <row r="83" spans="2:35" s="5" customFormat="1" x14ac:dyDescent="0.3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P83" s="3"/>
      <c r="Q83" s="3"/>
      <c r="AH83" s="3"/>
      <c r="AI83" s="3"/>
    </row>
    <row r="84" spans="2:35" s="5" customFormat="1" x14ac:dyDescent="0.3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P84" s="3"/>
      <c r="Q84" s="3"/>
      <c r="AH84" s="3"/>
      <c r="AI84" s="3"/>
    </row>
    <row r="85" spans="2:35" s="5" customFormat="1" x14ac:dyDescent="0.3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P85" s="3"/>
      <c r="Q85" s="3"/>
      <c r="AH85" s="3"/>
      <c r="AI85" s="3"/>
    </row>
    <row r="86" spans="2:35" x14ac:dyDescent="0.35">
      <c r="N86" s="5"/>
      <c r="O86" s="5"/>
    </row>
    <row r="87" spans="2:35" x14ac:dyDescent="0.35">
      <c r="N87" s="5"/>
      <c r="O87" s="5"/>
    </row>
    <row r="88" spans="2:35" x14ac:dyDescent="0.35">
      <c r="N88" s="5"/>
      <c r="O88" s="5"/>
    </row>
    <row r="89" spans="2:35" x14ac:dyDescent="0.35">
      <c r="N89" s="5"/>
      <c r="O89" s="5"/>
    </row>
    <row r="90" spans="2:35" x14ac:dyDescent="0.35">
      <c r="N90" s="5"/>
      <c r="O90" s="5"/>
    </row>
    <row r="91" spans="2:35" x14ac:dyDescent="0.35">
      <c r="N91" s="5"/>
      <c r="O91" s="5"/>
    </row>
    <row r="92" spans="2:35" x14ac:dyDescent="0.35">
      <c r="N92" s="5"/>
      <c r="O92" s="5"/>
    </row>
    <row r="93" spans="2:35" x14ac:dyDescent="0.35">
      <c r="N93" s="5"/>
      <c r="O93" s="5"/>
    </row>
    <row r="94" spans="2:35" x14ac:dyDescent="0.35">
      <c r="N94" s="5"/>
      <c r="O94" s="5"/>
    </row>
    <row r="95" spans="2:35" x14ac:dyDescent="0.35">
      <c r="O95" s="5"/>
    </row>
    <row r="96" spans="2:35" x14ac:dyDescent="0.35">
      <c r="B96" s="2" t="s">
        <v>31</v>
      </c>
      <c r="L96" s="43" t="s">
        <v>21</v>
      </c>
      <c r="M96" s="43"/>
    </row>
    <row r="97" spans="2:13" x14ac:dyDescent="0.35">
      <c r="B97" s="18" t="s">
        <v>24</v>
      </c>
      <c r="C97" s="19" t="e">
        <f>#REF!+1</f>
        <v>#REF!</v>
      </c>
      <c r="D97" s="19" t="e">
        <f t="shared" ref="D97:I97" si="3">C97+1</f>
        <v>#REF!</v>
      </c>
      <c r="E97" s="19" t="e">
        <f t="shared" si="3"/>
        <v>#REF!</v>
      </c>
      <c r="F97" s="19" t="e">
        <f t="shared" si="3"/>
        <v>#REF!</v>
      </c>
      <c r="G97" s="19" t="e">
        <f t="shared" si="3"/>
        <v>#REF!</v>
      </c>
      <c r="H97" s="19" t="e">
        <f t="shared" si="3"/>
        <v>#REF!</v>
      </c>
      <c r="I97" s="19" t="e">
        <f t="shared" si="3"/>
        <v>#REF!</v>
      </c>
      <c r="J97" s="19">
        <v>2000</v>
      </c>
      <c r="K97" s="19">
        <v>2001</v>
      </c>
      <c r="L97" s="44" t="s">
        <v>32</v>
      </c>
      <c r="M97" s="44"/>
    </row>
    <row r="98" spans="2:13" x14ac:dyDescent="0.35">
      <c r="C98" s="16"/>
    </row>
    <row r="99" spans="2:13" x14ac:dyDescent="0.35">
      <c r="B99" s="3" t="s">
        <v>25</v>
      </c>
      <c r="C99" s="26">
        <v>0.11700000000000001</v>
      </c>
      <c r="D99" s="26">
        <v>9.5000000000000001E-2</v>
      </c>
      <c r="E99" s="26">
        <v>0.10299999999999999</v>
      </c>
      <c r="F99" s="26">
        <v>0.1</v>
      </c>
      <c r="G99" s="26">
        <v>9.4E-2</v>
      </c>
      <c r="H99" s="26">
        <v>9.5000000000000001E-2</v>
      </c>
      <c r="I99" s="26">
        <v>0.10199999999999999</v>
      </c>
      <c r="J99" s="26">
        <v>9.6000000000000002E-2</v>
      </c>
      <c r="K99" s="26">
        <v>0.105</v>
      </c>
      <c r="L99" s="26">
        <f t="shared" ref="L99:L107" si="4">AVERAGE(C99:K99)</f>
        <v>0.10077777777777777</v>
      </c>
      <c r="M99" s="26"/>
    </row>
    <row r="100" spans="2:13" x14ac:dyDescent="0.35">
      <c r="B100" s="3" t="s">
        <v>12</v>
      </c>
      <c r="C100" s="26">
        <v>0.113</v>
      </c>
      <c r="D100" s="26">
        <v>0.108</v>
      </c>
      <c r="E100" s="26">
        <v>0.113</v>
      </c>
      <c r="F100" s="26">
        <v>0.104</v>
      </c>
      <c r="G100" s="26">
        <v>0.105</v>
      </c>
      <c r="H100" s="26">
        <v>0.107</v>
      </c>
      <c r="I100" s="26">
        <v>9.5000000000000001E-2</v>
      </c>
      <c r="J100" s="26">
        <v>9.5000000000000001E-2</v>
      </c>
      <c r="K100" s="26">
        <v>9.7000000000000003E-2</v>
      </c>
      <c r="L100" s="26">
        <f t="shared" si="4"/>
        <v>0.1041111111111111</v>
      </c>
      <c r="M100" s="26"/>
    </row>
    <row r="101" spans="2:13" x14ac:dyDescent="0.35">
      <c r="B101" s="3" t="s">
        <v>33</v>
      </c>
      <c r="C101" s="26">
        <v>0.114</v>
      </c>
      <c r="D101" s="26">
        <v>0.112</v>
      </c>
      <c r="E101" s="26">
        <v>0.12</v>
      </c>
      <c r="F101" s="26">
        <v>0.11799999999999999</v>
      </c>
      <c r="G101" s="26">
        <v>0.125</v>
      </c>
      <c r="H101" s="26">
        <v>0.14199999999999999</v>
      </c>
      <c r="I101" s="26">
        <v>0.13800000000000001</v>
      </c>
      <c r="J101" s="26">
        <v>0.13</v>
      </c>
      <c r="K101" s="26">
        <v>0.14000000000000001</v>
      </c>
      <c r="L101" s="26">
        <f t="shared" si="4"/>
        <v>0.12655555555555556</v>
      </c>
      <c r="M101" s="26"/>
    </row>
    <row r="102" spans="2:13" x14ac:dyDescent="0.35">
      <c r="B102" s="3" t="s">
        <v>34</v>
      </c>
      <c r="C102" s="26"/>
      <c r="D102" s="26"/>
      <c r="E102" s="26"/>
      <c r="F102" s="26"/>
      <c r="G102" s="26"/>
      <c r="H102" s="26">
        <v>9.8000000000000004E-2</v>
      </c>
      <c r="I102" s="26">
        <v>9.7000000000000003E-2</v>
      </c>
      <c r="J102" s="26">
        <v>8.1000000000000003E-2</v>
      </c>
      <c r="K102" s="26">
        <v>9.4E-2</v>
      </c>
      <c r="L102" s="26">
        <f t="shared" si="4"/>
        <v>9.2499999999999999E-2</v>
      </c>
      <c r="M102" s="26"/>
    </row>
    <row r="103" spans="2:13" x14ac:dyDescent="0.35">
      <c r="B103" s="3" t="s">
        <v>28</v>
      </c>
      <c r="C103" s="26">
        <v>0.126</v>
      </c>
      <c r="D103" s="26">
        <v>0.106</v>
      </c>
      <c r="E103" s="26">
        <v>0.1</v>
      </c>
      <c r="F103" s="26">
        <v>0.126</v>
      </c>
      <c r="G103" s="26">
        <v>0.14499999999999999</v>
      </c>
      <c r="H103" s="26">
        <v>0.11</v>
      </c>
      <c r="I103" s="26">
        <v>0.114</v>
      </c>
      <c r="J103" s="26">
        <v>0.10299999999999999</v>
      </c>
      <c r="K103" s="26">
        <v>7.4999999999999997E-2</v>
      </c>
      <c r="L103" s="26">
        <f t="shared" si="4"/>
        <v>0.11166666666666665</v>
      </c>
      <c r="M103" s="26"/>
    </row>
    <row r="104" spans="2:13" x14ac:dyDescent="0.35">
      <c r="B104" s="3" t="s">
        <v>35</v>
      </c>
      <c r="C104" s="26">
        <v>0.125</v>
      </c>
      <c r="D104" s="26">
        <v>0.126</v>
      </c>
      <c r="E104" s="26">
        <v>0.127</v>
      </c>
      <c r="F104" s="26">
        <v>0.124</v>
      </c>
      <c r="G104" s="26">
        <v>0.123</v>
      </c>
      <c r="H104" s="26">
        <v>0.122</v>
      </c>
      <c r="I104" s="26">
        <v>0.124</v>
      </c>
      <c r="J104" s="26">
        <v>0.11799999999999999</v>
      </c>
      <c r="K104" s="26">
        <v>0.13300000000000001</v>
      </c>
      <c r="L104" s="26">
        <f t="shared" si="4"/>
        <v>0.12466666666666665</v>
      </c>
      <c r="M104" s="26"/>
    </row>
    <row r="105" spans="2:13" x14ac:dyDescent="0.35">
      <c r="B105" s="3" t="s">
        <v>10</v>
      </c>
      <c r="C105" s="26">
        <v>0.126</v>
      </c>
      <c r="D105" s="26">
        <v>0.121</v>
      </c>
      <c r="E105" s="26">
        <v>0.12</v>
      </c>
      <c r="F105" s="26">
        <v>0.10299999999999999</v>
      </c>
      <c r="G105" s="26">
        <v>0.112</v>
      </c>
      <c r="H105" s="26">
        <v>0.107</v>
      </c>
      <c r="I105" s="26">
        <v>0.10199999999999999</v>
      </c>
      <c r="J105" s="26">
        <v>6.5000000000000002E-2</v>
      </c>
      <c r="K105" s="26">
        <v>0.09</v>
      </c>
      <c r="L105" s="26">
        <f t="shared" si="4"/>
        <v>0.1051111111111111</v>
      </c>
      <c r="M105" s="26"/>
    </row>
    <row r="106" spans="2:13" x14ac:dyDescent="0.35">
      <c r="B106" s="3" t="s">
        <v>36</v>
      </c>
      <c r="C106" s="26">
        <v>0.11799999999999999</v>
      </c>
      <c r="D106" s="26">
        <v>9.6000000000000002E-2</v>
      </c>
      <c r="E106" s="26">
        <v>0.108</v>
      </c>
      <c r="F106" s="26">
        <v>0.16200000000000001</v>
      </c>
      <c r="G106" s="26">
        <v>0.12</v>
      </c>
      <c r="H106" s="26">
        <v>0.11600000000000001</v>
      </c>
      <c r="I106" s="26">
        <v>0.111</v>
      </c>
      <c r="J106" s="26">
        <v>9.6000000000000002E-2</v>
      </c>
      <c r="K106" s="26">
        <v>9.5000000000000001E-2</v>
      </c>
      <c r="L106" s="26">
        <f t="shared" si="4"/>
        <v>0.11355555555555556</v>
      </c>
      <c r="M106" s="26"/>
    </row>
    <row r="107" spans="2:13" x14ac:dyDescent="0.35">
      <c r="B107" s="3" t="s">
        <v>6</v>
      </c>
      <c r="C107" s="26">
        <v>0.126</v>
      </c>
      <c r="D107" s="26">
        <v>0.11700000000000001</v>
      </c>
      <c r="E107" s="26">
        <v>0.107</v>
      </c>
      <c r="F107" s="26">
        <v>0.111</v>
      </c>
      <c r="G107" s="26">
        <v>0.109</v>
      </c>
      <c r="H107" s="26">
        <v>0.10299999999999999</v>
      </c>
      <c r="I107" s="26">
        <v>0.10299999999999999</v>
      </c>
      <c r="J107" s="26">
        <v>0.11899999999999999</v>
      </c>
      <c r="K107" s="26">
        <v>0.115</v>
      </c>
      <c r="L107" s="26">
        <f t="shared" si="4"/>
        <v>0.11222222222222222</v>
      </c>
      <c r="M107" s="26"/>
    </row>
    <row r="108" spans="2:13" x14ac:dyDescent="0.35">
      <c r="B108" s="45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2:13" x14ac:dyDescent="0.35">
      <c r="C109" s="26"/>
      <c r="D109" s="26"/>
      <c r="E109" s="26"/>
      <c r="F109" s="26"/>
      <c r="G109" s="26"/>
      <c r="H109" s="26"/>
      <c r="I109" s="26"/>
      <c r="J109" s="26"/>
      <c r="K109" s="26"/>
      <c r="L109" s="47"/>
    </row>
    <row r="110" spans="2:13" x14ac:dyDescent="0.35">
      <c r="B110" s="3" t="s">
        <v>37</v>
      </c>
      <c r="C110" s="26">
        <f t="shared" ref="C110:L110" si="5">AVERAGE(C99:C107)</f>
        <v>0.120625</v>
      </c>
      <c r="D110" s="26">
        <f t="shared" si="5"/>
        <v>0.11012499999999999</v>
      </c>
      <c r="E110" s="26">
        <f t="shared" si="5"/>
        <v>0.11224999999999999</v>
      </c>
      <c r="F110" s="26">
        <f t="shared" si="5"/>
        <v>0.11850000000000001</v>
      </c>
      <c r="G110" s="26">
        <f t="shared" si="5"/>
        <v>0.11662499999999999</v>
      </c>
      <c r="H110" s="26">
        <f t="shared" si="5"/>
        <v>0.1111111111111111</v>
      </c>
      <c r="I110" s="26">
        <f t="shared" si="5"/>
        <v>0.10955555555555556</v>
      </c>
      <c r="J110" s="26">
        <f t="shared" si="5"/>
        <v>0.10033333333333333</v>
      </c>
      <c r="K110" s="26">
        <f t="shared" si="5"/>
        <v>0.10488888888888888</v>
      </c>
      <c r="L110" s="26">
        <f t="shared" si="5"/>
        <v>0.11012962962962963</v>
      </c>
      <c r="M110" s="26"/>
    </row>
    <row r="111" spans="2:13" x14ac:dyDescent="0.35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26"/>
    </row>
    <row r="112" spans="2:13" x14ac:dyDescent="0.3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2:13" x14ac:dyDescent="0.35">
      <c r="B113" s="3" t="s">
        <v>29</v>
      </c>
      <c r="C113" s="26">
        <f t="shared" ref="C113:L113" si="6">MEDIAN(C99:C107)</f>
        <v>0.1215</v>
      </c>
      <c r="D113" s="26">
        <f t="shared" si="6"/>
        <v>0.11</v>
      </c>
      <c r="E113" s="26">
        <f t="shared" si="6"/>
        <v>0.1105</v>
      </c>
      <c r="F113" s="26">
        <f t="shared" si="6"/>
        <v>0.11449999999999999</v>
      </c>
      <c r="G113" s="26">
        <f t="shared" si="6"/>
        <v>0.11599999999999999</v>
      </c>
      <c r="H113" s="26">
        <f t="shared" si="6"/>
        <v>0.107</v>
      </c>
      <c r="I113" s="26">
        <f t="shared" si="6"/>
        <v>0.10299999999999999</v>
      </c>
      <c r="J113" s="26">
        <f t="shared" si="6"/>
        <v>9.6000000000000002E-2</v>
      </c>
      <c r="K113" s="26">
        <f t="shared" si="6"/>
        <v>9.7000000000000003E-2</v>
      </c>
      <c r="L113" s="26">
        <f t="shared" si="6"/>
        <v>0.11166666666666665</v>
      </c>
      <c r="M113" s="26"/>
    </row>
    <row r="114" spans="2:13" ht="16" thickBot="1" x14ac:dyDescent="0.4">
      <c r="B114" s="33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26"/>
    </row>
    <row r="115" spans="2:13" ht="16" thickTop="1" x14ac:dyDescent="0.3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2:13" x14ac:dyDescent="0.35">
      <c r="B116" s="3" t="s">
        <v>38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2:13" x14ac:dyDescent="0.35">
      <c r="I117" s="16"/>
      <c r="J117" s="16"/>
      <c r="K117" s="16"/>
      <c r="L117" s="16"/>
      <c r="M117" s="16"/>
    </row>
    <row r="118" spans="2:13" x14ac:dyDescent="0.35">
      <c r="B118" s="18" t="s">
        <v>24</v>
      </c>
      <c r="I118" s="43" t="s">
        <v>21</v>
      </c>
    </row>
    <row r="119" spans="2:13" x14ac:dyDescent="0.35">
      <c r="C119" s="19">
        <v>2003</v>
      </c>
      <c r="D119" s="19">
        <v>2004</v>
      </c>
      <c r="E119" s="19">
        <v>2005</v>
      </c>
      <c r="F119" s="19">
        <v>2006</v>
      </c>
      <c r="G119" s="19">
        <v>2007</v>
      </c>
      <c r="H119" s="19">
        <v>2008</v>
      </c>
      <c r="I119" s="44" t="s">
        <v>39</v>
      </c>
    </row>
    <row r="120" spans="2:13" x14ac:dyDescent="0.35">
      <c r="B120" s="16"/>
    </row>
    <row r="121" spans="2:13" x14ac:dyDescent="0.35">
      <c r="B121" s="3" t="s">
        <v>25</v>
      </c>
      <c r="C121" s="26">
        <v>5.6000000000000001E-2</v>
      </c>
      <c r="D121" s="26">
        <v>0.08</v>
      </c>
      <c r="E121" s="26">
        <v>0.104</v>
      </c>
      <c r="F121" s="26">
        <v>8.2000000000000003E-2</v>
      </c>
      <c r="G121" s="26">
        <v>9.2999999999999999E-2</v>
      </c>
      <c r="H121" s="26">
        <v>7.1999999999999995E-2</v>
      </c>
      <c r="I121" s="32">
        <f>AVERAGE(C121:H121)</f>
        <v>8.1166666666666679E-2</v>
      </c>
    </row>
    <row r="122" spans="2:13" x14ac:dyDescent="0.35">
      <c r="B122" s="3" t="s">
        <v>12</v>
      </c>
      <c r="C122" s="26"/>
      <c r="D122" s="26"/>
      <c r="I122" s="32" t="s">
        <v>31</v>
      </c>
    </row>
    <row r="123" spans="2:13" x14ac:dyDescent="0.35">
      <c r="B123" s="3" t="s">
        <v>33</v>
      </c>
      <c r="C123" s="26">
        <v>0.123</v>
      </c>
      <c r="D123" s="26">
        <v>0.114</v>
      </c>
      <c r="E123" s="26">
        <v>0.115</v>
      </c>
      <c r="F123" s="26">
        <v>0.11</v>
      </c>
      <c r="G123" s="26">
        <v>0.1</v>
      </c>
      <c r="H123" s="26">
        <v>9.6000000000000002E-2</v>
      </c>
      <c r="I123" s="32">
        <f t="shared" ref="I123:I129" si="7">AVERAGE(C123:H123)</f>
        <v>0.10966666666666665</v>
      </c>
    </row>
    <row r="124" spans="2:13" x14ac:dyDescent="0.35">
      <c r="B124" s="3" t="s">
        <v>34</v>
      </c>
      <c r="C124" s="26">
        <v>7.3999999999999996E-2</v>
      </c>
      <c r="D124" s="26">
        <v>7.5999999999999998E-2</v>
      </c>
      <c r="E124" s="26">
        <v>8.8999999999999996E-2</v>
      </c>
      <c r="F124" s="26">
        <v>0.10199999999999999</v>
      </c>
      <c r="G124" s="26">
        <v>8.5000000000000006E-2</v>
      </c>
      <c r="H124" s="26">
        <v>7.3999999999999996E-2</v>
      </c>
      <c r="I124" s="32">
        <f t="shared" si="7"/>
        <v>8.3333333333333329E-2</v>
      </c>
    </row>
    <row r="125" spans="2:13" x14ac:dyDescent="0.35">
      <c r="B125" s="3" t="s">
        <v>28</v>
      </c>
      <c r="C125" s="26">
        <v>8.6999999999999994E-2</v>
      </c>
      <c r="D125" s="26">
        <v>9.8000000000000004E-2</v>
      </c>
      <c r="E125" s="26">
        <v>9.2999999999999999E-2</v>
      </c>
      <c r="F125" s="26">
        <v>7.5999999999999998E-2</v>
      </c>
      <c r="G125" s="26">
        <v>4.9000000000000002E-2</v>
      </c>
      <c r="H125" s="26">
        <v>0.10100000000000001</v>
      </c>
      <c r="I125" s="32">
        <f t="shared" si="7"/>
        <v>8.4000000000000005E-2</v>
      </c>
    </row>
    <row r="126" spans="2:13" x14ac:dyDescent="0.35">
      <c r="B126" s="3" t="s">
        <v>35</v>
      </c>
      <c r="C126" s="26">
        <v>0.112</v>
      </c>
      <c r="D126" s="26">
        <v>0.114</v>
      </c>
      <c r="E126" s="26">
        <v>0.12</v>
      </c>
      <c r="F126" s="26">
        <v>7.4999999999999997E-2</v>
      </c>
      <c r="G126" s="26">
        <v>8.8999999999999996E-2</v>
      </c>
      <c r="H126" s="26">
        <v>9.1999999999999998E-2</v>
      </c>
      <c r="I126" s="32">
        <f t="shared" si="7"/>
        <v>0.10033333333333333</v>
      </c>
    </row>
    <row r="127" spans="2:13" x14ac:dyDescent="0.35">
      <c r="B127" s="3" t="s">
        <v>10</v>
      </c>
      <c r="C127" s="26">
        <v>8.2000000000000003E-2</v>
      </c>
      <c r="D127" s="26">
        <v>8.3000000000000004E-2</v>
      </c>
      <c r="E127" s="26">
        <v>8.4000000000000005E-2</v>
      </c>
      <c r="F127" s="26">
        <v>8.5999999999999993E-2</v>
      </c>
      <c r="G127" s="26">
        <v>8.7999999999999995E-2</v>
      </c>
      <c r="H127" s="26">
        <v>8.7999999999999995E-2</v>
      </c>
      <c r="I127" s="32">
        <f t="shared" si="7"/>
        <v>8.5166666666666654E-2</v>
      </c>
    </row>
    <row r="128" spans="2:13" x14ac:dyDescent="0.35">
      <c r="B128" s="3" t="s">
        <v>36</v>
      </c>
      <c r="C128" s="26">
        <v>9.8000000000000004E-2</v>
      </c>
      <c r="D128" s="26">
        <v>0.113</v>
      </c>
      <c r="E128" s="26">
        <v>0.115</v>
      </c>
      <c r="F128" s="26">
        <v>0.182</v>
      </c>
      <c r="G128" s="26">
        <v>8.3000000000000004E-2</v>
      </c>
      <c r="H128" s="26">
        <v>0.112</v>
      </c>
      <c r="I128" s="32">
        <f t="shared" si="7"/>
        <v>0.11716666666666666</v>
      </c>
    </row>
    <row r="129" spans="2:13" x14ac:dyDescent="0.35">
      <c r="B129" s="3" t="s">
        <v>6</v>
      </c>
      <c r="C129" s="26">
        <v>0.11700000000000001</v>
      </c>
      <c r="D129" s="26">
        <v>0.122</v>
      </c>
      <c r="E129" s="26">
        <v>0.11799999999999999</v>
      </c>
      <c r="F129" s="26">
        <v>0.105</v>
      </c>
      <c r="G129" s="26">
        <v>9.7000000000000003E-2</v>
      </c>
      <c r="H129" s="26">
        <v>9.4E-2</v>
      </c>
      <c r="I129" s="32">
        <f t="shared" si="7"/>
        <v>0.10883333333333332</v>
      </c>
      <c r="L129" s="32" t="s">
        <v>31</v>
      </c>
      <c r="M129" s="32"/>
    </row>
    <row r="130" spans="2:13" x14ac:dyDescent="0.35">
      <c r="B130" s="45"/>
      <c r="C130" s="45"/>
      <c r="D130" s="45"/>
      <c r="E130" s="46"/>
      <c r="F130" s="46"/>
      <c r="G130" s="46"/>
      <c r="H130" s="46"/>
      <c r="I130" s="45"/>
    </row>
    <row r="131" spans="2:13" x14ac:dyDescent="0.35">
      <c r="L131" s="31" t="s">
        <v>31</v>
      </c>
      <c r="M131" s="31"/>
    </row>
    <row r="132" spans="2:13" x14ac:dyDescent="0.35">
      <c r="B132" s="3" t="s">
        <v>37</v>
      </c>
      <c r="C132" s="26">
        <f t="shared" ref="C132:I132" si="8">AVERAGE(C121:C129)</f>
        <v>9.3624999999999986E-2</v>
      </c>
      <c r="D132" s="26">
        <f t="shared" si="8"/>
        <v>9.9999999999999992E-2</v>
      </c>
      <c r="E132" s="26">
        <f t="shared" si="8"/>
        <v>0.10475</v>
      </c>
      <c r="F132" s="26">
        <f t="shared" si="8"/>
        <v>0.10225000000000001</v>
      </c>
      <c r="G132" s="26">
        <f t="shared" si="8"/>
        <v>8.5499999999999993E-2</v>
      </c>
      <c r="H132" s="26">
        <f t="shared" si="8"/>
        <v>9.1124999999999984E-2</v>
      </c>
      <c r="I132" s="26">
        <f t="shared" si="8"/>
        <v>9.6208333333333326E-2</v>
      </c>
    </row>
    <row r="133" spans="2:13" x14ac:dyDescent="0.35">
      <c r="B133" s="45"/>
      <c r="C133" s="46"/>
      <c r="D133" s="46"/>
      <c r="E133" s="46"/>
      <c r="F133" s="46"/>
      <c r="G133" s="46"/>
      <c r="H133" s="46"/>
      <c r="I133" s="46"/>
    </row>
    <row r="134" spans="2:13" x14ac:dyDescent="0.35">
      <c r="C134" s="26"/>
      <c r="D134" s="26"/>
      <c r="E134" s="26"/>
      <c r="F134" s="26"/>
      <c r="G134" s="26"/>
      <c r="H134" s="26"/>
      <c r="I134" s="26"/>
    </row>
    <row r="135" spans="2:13" x14ac:dyDescent="0.35">
      <c r="B135" s="3" t="s">
        <v>29</v>
      </c>
      <c r="C135" s="26">
        <f t="shared" ref="C135:I135" si="9">MEDIAN(C121:C129)</f>
        <v>9.2499999999999999E-2</v>
      </c>
      <c r="D135" s="26">
        <f t="shared" si="9"/>
        <v>0.10550000000000001</v>
      </c>
      <c r="E135" s="26">
        <f t="shared" si="9"/>
        <v>0.1095</v>
      </c>
      <c r="F135" s="26">
        <f t="shared" si="9"/>
        <v>9.4E-2</v>
      </c>
      <c r="G135" s="26">
        <f t="shared" si="9"/>
        <v>8.8499999999999995E-2</v>
      </c>
      <c r="H135" s="26">
        <f t="shared" si="9"/>
        <v>9.2999999999999999E-2</v>
      </c>
      <c r="I135" s="26">
        <f t="shared" si="9"/>
        <v>9.2749999999999999E-2</v>
      </c>
    </row>
    <row r="136" spans="2:13" x14ac:dyDescent="0.35">
      <c r="B136" s="45"/>
      <c r="C136" s="46"/>
      <c r="D136" s="46"/>
      <c r="E136" s="46"/>
      <c r="F136" s="46"/>
      <c r="G136" s="46"/>
      <c r="H136" s="46"/>
      <c r="I136" s="45"/>
    </row>
    <row r="137" spans="2:13" x14ac:dyDescent="0.35">
      <c r="C137" s="26"/>
      <c r="D137" s="26"/>
      <c r="E137" s="26"/>
      <c r="F137" s="26"/>
      <c r="G137" s="26"/>
      <c r="H137" s="26"/>
    </row>
    <row r="138" spans="2:13" x14ac:dyDescent="0.35">
      <c r="C138" s="16"/>
      <c r="D138" s="16"/>
      <c r="G138" s="43" t="s">
        <v>21</v>
      </c>
      <c r="I138" s="16"/>
      <c r="J138" s="43" t="s">
        <v>40</v>
      </c>
      <c r="K138" s="16"/>
      <c r="L138" s="16"/>
      <c r="M138" s="16"/>
    </row>
    <row r="139" spans="2:13" x14ac:dyDescent="0.35">
      <c r="B139" s="18" t="s">
        <v>24</v>
      </c>
      <c r="C139" s="19">
        <v>2010</v>
      </c>
      <c r="D139" s="19">
        <v>2011</v>
      </c>
      <c r="E139" s="19">
        <v>2012</v>
      </c>
      <c r="F139" s="19">
        <v>2013</v>
      </c>
      <c r="G139" s="44" t="s">
        <v>41</v>
      </c>
      <c r="H139" s="19">
        <v>2014</v>
      </c>
      <c r="I139" s="19">
        <v>2015</v>
      </c>
      <c r="J139" s="19">
        <v>2018</v>
      </c>
      <c r="K139" s="16"/>
      <c r="L139" s="16"/>
      <c r="M139" s="16"/>
    </row>
    <row r="140" spans="2:13" x14ac:dyDescent="0.35">
      <c r="G140" s="16"/>
      <c r="H140" s="16"/>
      <c r="I140" s="16"/>
      <c r="J140" s="16"/>
      <c r="K140" s="16"/>
      <c r="L140" s="16"/>
      <c r="M140" s="16"/>
    </row>
    <row r="141" spans="2:13" x14ac:dyDescent="0.35">
      <c r="B141" s="3" t="s">
        <v>25</v>
      </c>
      <c r="C141" s="26">
        <v>0.09</v>
      </c>
      <c r="D141" s="26">
        <v>0.11700000000000001</v>
      </c>
      <c r="E141" s="26">
        <v>0.11799999999999999</v>
      </c>
      <c r="F141" s="26">
        <v>0.127</v>
      </c>
      <c r="G141" s="32">
        <f t="shared" ref="G141:G149" si="10">AVERAGE(C141:F141)</f>
        <v>0.113</v>
      </c>
      <c r="H141" s="26">
        <v>0.115</v>
      </c>
      <c r="I141" s="26">
        <v>0.125</v>
      </c>
      <c r="J141" s="26">
        <v>0.125</v>
      </c>
      <c r="K141" s="16"/>
      <c r="L141" s="16"/>
      <c r="M141" s="16"/>
    </row>
    <row r="142" spans="2:13" x14ac:dyDescent="0.35">
      <c r="B142" s="3" t="s">
        <v>12</v>
      </c>
      <c r="C142" s="26">
        <v>9.6000000000000002E-2</v>
      </c>
      <c r="D142" s="26">
        <v>0.158</v>
      </c>
      <c r="E142" s="26">
        <v>9.9000000000000005E-2</v>
      </c>
      <c r="F142" s="26">
        <v>7.8E-2</v>
      </c>
      <c r="G142" s="32">
        <f t="shared" si="10"/>
        <v>0.10775</v>
      </c>
      <c r="H142" s="26">
        <v>0.09</v>
      </c>
      <c r="I142" s="26">
        <v>9.5000000000000001E-2</v>
      </c>
      <c r="J142" s="26">
        <v>0.105</v>
      </c>
      <c r="K142" s="16"/>
      <c r="L142" s="16"/>
      <c r="M142" s="16"/>
    </row>
    <row r="143" spans="2:13" x14ac:dyDescent="0.35">
      <c r="B143" s="3" t="s">
        <v>33</v>
      </c>
      <c r="C143" s="26">
        <v>0.109</v>
      </c>
      <c r="D143" s="26">
        <v>0.11799999999999999</v>
      </c>
      <c r="E143" s="26">
        <v>0.13</v>
      </c>
      <c r="F143" s="26">
        <v>0.13400000000000001</v>
      </c>
      <c r="G143" s="32">
        <f t="shared" si="10"/>
        <v>0.12275</v>
      </c>
      <c r="H143" s="26">
        <v>0.13500000000000001</v>
      </c>
      <c r="I143" s="26">
        <v>0.14499999999999999</v>
      </c>
      <c r="J143" s="26">
        <v>0.14000000000000001</v>
      </c>
      <c r="K143" s="16"/>
      <c r="L143" s="16"/>
      <c r="M143" s="16"/>
    </row>
    <row r="144" spans="2:13" x14ac:dyDescent="0.35">
      <c r="B144" s="3" t="s">
        <v>34</v>
      </c>
      <c r="C144" s="26">
        <v>8.2000000000000003E-2</v>
      </c>
      <c r="D144" s="26">
        <v>6.5000000000000002E-2</v>
      </c>
      <c r="E144" s="26">
        <v>8.6999999999999994E-2</v>
      </c>
      <c r="F144" s="26">
        <v>6.8000000000000005E-2</v>
      </c>
      <c r="G144" s="32">
        <f t="shared" si="10"/>
        <v>7.5500000000000012E-2</v>
      </c>
      <c r="H144" s="26"/>
      <c r="I144" s="26"/>
      <c r="J144" s="26"/>
      <c r="K144" s="16"/>
      <c r="L144" s="16"/>
      <c r="M144" s="16"/>
    </row>
    <row r="145" spans="2:13" x14ac:dyDescent="0.35">
      <c r="B145" s="3" t="s">
        <v>28</v>
      </c>
      <c r="C145" s="26">
        <v>8.7999999999999995E-2</v>
      </c>
      <c r="D145" s="26">
        <v>8.5000000000000006E-2</v>
      </c>
      <c r="E145" s="26">
        <v>9.8000000000000004E-2</v>
      </c>
      <c r="F145" s="26">
        <v>7.9000000000000001E-2</v>
      </c>
      <c r="G145" s="32">
        <f t="shared" si="10"/>
        <v>8.7500000000000008E-2</v>
      </c>
      <c r="H145" s="26">
        <v>0.08</v>
      </c>
      <c r="I145" s="26">
        <v>0.09</v>
      </c>
      <c r="J145" s="26">
        <v>0.1</v>
      </c>
      <c r="K145" s="16"/>
      <c r="L145" s="16"/>
      <c r="M145" s="16"/>
    </row>
    <row r="146" spans="2:13" x14ac:dyDescent="0.35">
      <c r="B146" s="3" t="s">
        <v>35</v>
      </c>
      <c r="C146" s="26">
        <v>8.7999999999999995E-2</v>
      </c>
      <c r="D146" s="26">
        <v>9.7000000000000003E-2</v>
      </c>
      <c r="E146" s="26">
        <v>0.112</v>
      </c>
      <c r="F146" s="26">
        <v>9.1999999999999998E-2</v>
      </c>
      <c r="G146" s="32">
        <f t="shared" si="10"/>
        <v>9.7250000000000003E-2</v>
      </c>
      <c r="H146" s="26">
        <v>9.5000000000000001E-2</v>
      </c>
      <c r="I146" s="26">
        <v>0.1</v>
      </c>
      <c r="J146" s="26">
        <v>0.1</v>
      </c>
      <c r="K146" s="16"/>
      <c r="L146" s="16"/>
      <c r="M146" s="16"/>
    </row>
    <row r="147" spans="2:13" x14ac:dyDescent="0.35">
      <c r="B147" s="3" t="s">
        <v>10</v>
      </c>
      <c r="C147" s="26">
        <v>0.09</v>
      </c>
      <c r="D147" s="26">
        <v>7.5999999999999998E-2</v>
      </c>
      <c r="E147" s="26">
        <v>7.4999999999999997E-2</v>
      </c>
      <c r="F147" s="26">
        <v>8.6999999999999994E-2</v>
      </c>
      <c r="G147" s="32">
        <f t="shared" si="10"/>
        <v>8.199999999999999E-2</v>
      </c>
      <c r="H147" s="26">
        <v>0.09</v>
      </c>
      <c r="I147" s="26">
        <v>9.5000000000000001E-2</v>
      </c>
      <c r="J147" s="26">
        <v>9.5000000000000001E-2</v>
      </c>
      <c r="K147" s="16"/>
      <c r="L147" s="16"/>
      <c r="M147" s="16"/>
    </row>
    <row r="148" spans="2:13" x14ac:dyDescent="0.35">
      <c r="B148" s="3" t="s">
        <v>36</v>
      </c>
      <c r="C148" s="26">
        <v>9.6000000000000002E-2</v>
      </c>
      <c r="D148" s="26">
        <v>0.08</v>
      </c>
      <c r="E148" s="26">
        <v>8.5999999999999993E-2</v>
      </c>
      <c r="F148" s="26">
        <v>7.2999999999999995E-2</v>
      </c>
      <c r="G148" s="32">
        <f t="shared" si="10"/>
        <v>8.3750000000000005E-2</v>
      </c>
      <c r="H148" s="26">
        <v>7.4999999999999997E-2</v>
      </c>
      <c r="I148" s="26">
        <v>0.08</v>
      </c>
      <c r="J148" s="26">
        <v>0.08</v>
      </c>
      <c r="K148" s="16"/>
      <c r="L148" s="16"/>
      <c r="M148" s="16"/>
    </row>
    <row r="149" spans="2:13" x14ac:dyDescent="0.35">
      <c r="B149" s="3" t="s">
        <v>6</v>
      </c>
      <c r="C149" s="26">
        <v>0.1</v>
      </c>
      <c r="D149" s="26">
        <v>9.7000000000000003E-2</v>
      </c>
      <c r="E149" s="26">
        <v>9.0999999999999998E-2</v>
      </c>
      <c r="F149" s="26">
        <v>9.2999999999999999E-2</v>
      </c>
      <c r="G149" s="32">
        <f t="shared" si="10"/>
        <v>9.5250000000000001E-2</v>
      </c>
      <c r="H149" s="26">
        <v>0.11</v>
      </c>
      <c r="I149" s="26">
        <v>0.125</v>
      </c>
      <c r="J149" s="26">
        <v>0.125</v>
      </c>
      <c r="K149" s="16"/>
      <c r="L149" s="16"/>
      <c r="M149" s="16"/>
    </row>
    <row r="150" spans="2:13" x14ac:dyDescent="0.35">
      <c r="B150" s="45"/>
      <c r="C150" s="49"/>
      <c r="D150" s="49"/>
      <c r="E150" s="49"/>
      <c r="F150" s="49"/>
      <c r="G150" s="49"/>
      <c r="H150" s="46"/>
      <c r="I150" s="46"/>
      <c r="J150" s="46"/>
      <c r="K150" s="16"/>
      <c r="L150" s="16"/>
      <c r="M150" s="16"/>
    </row>
    <row r="151" spans="2:13" x14ac:dyDescent="0.35"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35">
      <c r="B152" s="3" t="s">
        <v>37</v>
      </c>
      <c r="C152" s="26">
        <f t="shared" ref="C152:J152" si="11">AVERAGE(C141:C149)</f>
        <v>9.3222222222222206E-2</v>
      </c>
      <c r="D152" s="26">
        <f t="shared" si="11"/>
        <v>9.9222222222222212E-2</v>
      </c>
      <c r="E152" s="26">
        <f t="shared" si="11"/>
        <v>9.9555555555555536E-2</v>
      </c>
      <c r="F152" s="26">
        <f t="shared" si="11"/>
        <v>9.2333333333333323E-2</v>
      </c>
      <c r="G152" s="26">
        <f t="shared" si="11"/>
        <v>9.6083333333333326E-2</v>
      </c>
      <c r="H152" s="26">
        <f t="shared" si="11"/>
        <v>9.8749999999999991E-2</v>
      </c>
      <c r="I152" s="26">
        <f t="shared" si="11"/>
        <v>0.10687499999999998</v>
      </c>
      <c r="J152" s="26">
        <f t="shared" si="11"/>
        <v>0.10874999999999999</v>
      </c>
      <c r="L152" s="3" t="s">
        <v>31</v>
      </c>
    </row>
    <row r="153" spans="2:13" x14ac:dyDescent="0.35">
      <c r="B153" s="45"/>
      <c r="C153" s="45"/>
      <c r="D153" s="45"/>
      <c r="E153" s="45"/>
      <c r="F153" s="45"/>
      <c r="G153" s="45"/>
      <c r="H153" s="45"/>
      <c r="I153" s="45"/>
      <c r="J153" s="45"/>
    </row>
    <row r="155" spans="2:13" x14ac:dyDescent="0.35">
      <c r="B155" s="3" t="s">
        <v>29</v>
      </c>
      <c r="C155" s="26">
        <f t="shared" ref="C155:J155" si="12">MEDIAN(C141:C149)</f>
        <v>0.09</v>
      </c>
      <c r="D155" s="26">
        <f t="shared" si="12"/>
        <v>9.7000000000000003E-2</v>
      </c>
      <c r="E155" s="26">
        <f t="shared" si="12"/>
        <v>9.8000000000000004E-2</v>
      </c>
      <c r="F155" s="26">
        <f t="shared" si="12"/>
        <v>8.6999999999999994E-2</v>
      </c>
      <c r="G155" s="26">
        <f t="shared" si="12"/>
        <v>9.5250000000000001E-2</v>
      </c>
      <c r="H155" s="26">
        <f t="shared" si="12"/>
        <v>9.2499999999999999E-2</v>
      </c>
      <c r="I155" s="26">
        <f t="shared" si="12"/>
        <v>9.7500000000000003E-2</v>
      </c>
      <c r="J155" s="26">
        <f t="shared" si="12"/>
        <v>0.10250000000000001</v>
      </c>
    </row>
    <row r="156" spans="2:13" x14ac:dyDescent="0.35">
      <c r="B156" s="45"/>
      <c r="C156" s="45"/>
      <c r="D156" s="45"/>
      <c r="E156" s="45"/>
      <c r="F156" s="45"/>
      <c r="G156" s="45"/>
      <c r="H156" s="45"/>
      <c r="I156" s="45"/>
      <c r="J156" s="45"/>
    </row>
    <row r="163" spans="2:13" x14ac:dyDescent="0.35">
      <c r="B163" s="18" t="s">
        <v>24</v>
      </c>
      <c r="C163" s="5"/>
      <c r="D163" s="19">
        <v>2009</v>
      </c>
      <c r="E163" s="19">
        <v>2010</v>
      </c>
      <c r="F163" s="19">
        <v>2011</v>
      </c>
      <c r="G163" s="19">
        <v>2012</v>
      </c>
      <c r="H163" s="19">
        <v>2013</v>
      </c>
      <c r="I163" s="19">
        <v>2014</v>
      </c>
      <c r="J163" s="19">
        <v>2015</v>
      </c>
      <c r="K163" s="19">
        <v>2016</v>
      </c>
      <c r="L163" s="19">
        <v>2020</v>
      </c>
      <c r="M163" s="19"/>
    </row>
    <row r="164" spans="2:13" x14ac:dyDescent="0.3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2:13" x14ac:dyDescent="0.35">
      <c r="B165" s="3" t="s">
        <v>25</v>
      </c>
      <c r="C165" s="5"/>
      <c r="D165" s="26">
        <v>8.2000000000000003E-2</v>
      </c>
      <c r="E165" s="26">
        <v>0.11</v>
      </c>
      <c r="F165" s="26">
        <v>0.10299999999999999</v>
      </c>
      <c r="G165" s="26">
        <v>0.11899999999999999</v>
      </c>
      <c r="H165" s="26">
        <v>0.127</v>
      </c>
      <c r="I165" s="26">
        <v>0.12</v>
      </c>
      <c r="J165" s="26">
        <v>0.125</v>
      </c>
      <c r="K165" s="26">
        <v>0.13</v>
      </c>
      <c r="L165" s="26">
        <v>0.14499999999999999</v>
      </c>
      <c r="M165" s="26"/>
    </row>
    <row r="166" spans="2:13" x14ac:dyDescent="0.35">
      <c r="B166" s="3" t="s">
        <v>12</v>
      </c>
      <c r="C166" s="5"/>
      <c r="D166" s="26">
        <v>5.1999999999999998E-2</v>
      </c>
      <c r="E166" s="26">
        <v>6.5000000000000002E-2</v>
      </c>
      <c r="F166" s="26">
        <v>7.1999999999999995E-2</v>
      </c>
      <c r="G166" s="26">
        <v>8.4000000000000005E-2</v>
      </c>
      <c r="H166" s="26">
        <v>7.8E-2</v>
      </c>
      <c r="I166" s="26">
        <v>8.6999999999999994E-2</v>
      </c>
      <c r="J166" s="26">
        <v>0.09</v>
      </c>
      <c r="K166" s="26">
        <v>0.09</v>
      </c>
      <c r="L166" s="26">
        <v>0.09</v>
      </c>
      <c r="M166" s="26"/>
    </row>
    <row r="167" spans="2:13" x14ac:dyDescent="0.35">
      <c r="B167" s="3" t="s">
        <v>33</v>
      </c>
      <c r="C167" s="5"/>
      <c r="D167" s="26">
        <v>9.4E-2</v>
      </c>
      <c r="E167" s="26">
        <v>0.106</v>
      </c>
      <c r="F167" s="26">
        <v>0.11600000000000001</v>
      </c>
      <c r="G167" s="26">
        <v>0.11</v>
      </c>
      <c r="H167" s="26">
        <v>0.13400000000000001</v>
      </c>
      <c r="I167" s="26">
        <v>0.129</v>
      </c>
      <c r="J167" s="26">
        <v>0.125</v>
      </c>
      <c r="K167" s="26">
        <v>0.13</v>
      </c>
      <c r="L167" s="26">
        <v>0.14000000000000001</v>
      </c>
      <c r="M167" s="26"/>
    </row>
    <row r="168" spans="2:13" x14ac:dyDescent="0.35">
      <c r="B168" s="3" t="s">
        <v>34</v>
      </c>
      <c r="C168" s="5"/>
      <c r="D168" s="26">
        <v>0.08</v>
      </c>
      <c r="E168" s="26">
        <v>0.08</v>
      </c>
      <c r="F168" s="26">
        <v>0.06</v>
      </c>
      <c r="G168" s="26">
        <v>8.3000000000000004E-2</v>
      </c>
      <c r="H168" s="26">
        <v>6.8000000000000005E-2</v>
      </c>
      <c r="I168" s="26">
        <v>7.5999999999999998E-2</v>
      </c>
      <c r="J168" s="26"/>
      <c r="K168" s="26"/>
      <c r="L168" s="26"/>
      <c r="M168" s="26"/>
    </row>
    <row r="169" spans="2:13" x14ac:dyDescent="0.35">
      <c r="B169" s="3" t="s">
        <v>28</v>
      </c>
      <c r="C169" s="5"/>
      <c r="D169" s="26">
        <v>9.6000000000000002E-2</v>
      </c>
      <c r="E169" s="26">
        <v>8.5999999999999993E-2</v>
      </c>
      <c r="F169" s="26">
        <v>0.08</v>
      </c>
      <c r="G169" s="26">
        <v>0.09</v>
      </c>
      <c r="H169" s="26">
        <v>7.9000000000000001E-2</v>
      </c>
      <c r="I169" s="26">
        <v>9.0999999999999998E-2</v>
      </c>
      <c r="J169" s="26">
        <v>8.5000000000000006E-2</v>
      </c>
      <c r="K169" s="26">
        <v>9.5000000000000001E-2</v>
      </c>
      <c r="L169" s="26">
        <v>9.5000000000000001E-2</v>
      </c>
      <c r="M169" s="26"/>
    </row>
    <row r="170" spans="2:13" x14ac:dyDescent="0.35">
      <c r="B170" s="3" t="s">
        <v>35</v>
      </c>
      <c r="C170" s="5"/>
      <c r="D170" s="26">
        <v>9.4E-2</v>
      </c>
      <c r="E170" s="26">
        <v>8.6999999999999994E-2</v>
      </c>
      <c r="F170" s="26">
        <v>8.3000000000000004E-2</v>
      </c>
      <c r="G170" s="26">
        <v>7.2999999999999995E-2</v>
      </c>
      <c r="H170" s="26">
        <v>9.1999999999999998E-2</v>
      </c>
      <c r="I170" s="26">
        <v>0.10199999999999999</v>
      </c>
      <c r="J170" s="26">
        <v>0.105</v>
      </c>
      <c r="K170" s="26">
        <v>0.105</v>
      </c>
      <c r="L170" s="26">
        <v>9.5000000000000001E-2</v>
      </c>
      <c r="M170" s="26"/>
    </row>
    <row r="171" spans="2:13" x14ac:dyDescent="0.35">
      <c r="B171" s="3" t="s">
        <v>10</v>
      </c>
      <c r="C171" s="5"/>
      <c r="D171" s="26">
        <v>7.0000000000000007E-2</v>
      </c>
      <c r="E171" s="26">
        <v>8.2000000000000003E-2</v>
      </c>
      <c r="F171" s="26">
        <v>7.4999999999999997E-2</v>
      </c>
      <c r="G171" s="26">
        <v>7.8E-2</v>
      </c>
      <c r="H171" s="26">
        <v>8.6999999999999994E-2</v>
      </c>
      <c r="I171" s="26">
        <v>9.2999999999999999E-2</v>
      </c>
      <c r="J171" s="26">
        <v>9.5000000000000001E-2</v>
      </c>
      <c r="K171" s="26">
        <v>9.5000000000000001E-2</v>
      </c>
      <c r="L171" s="26">
        <v>9.5000000000000001E-2</v>
      </c>
      <c r="M171" s="26"/>
    </row>
    <row r="172" spans="2:13" x14ac:dyDescent="0.35">
      <c r="B172" s="3" t="s">
        <v>36</v>
      </c>
      <c r="C172" s="5"/>
      <c r="D172" s="26">
        <v>0.06</v>
      </c>
      <c r="E172" s="26">
        <v>6.2E-2</v>
      </c>
      <c r="F172" s="26">
        <v>7.9000000000000001E-2</v>
      </c>
      <c r="G172" s="26">
        <v>8.1000000000000003E-2</v>
      </c>
      <c r="H172" s="26">
        <v>7.2999999999999995E-2</v>
      </c>
      <c r="I172" s="26">
        <v>0.14399999999999999</v>
      </c>
      <c r="J172" s="26">
        <v>0.08</v>
      </c>
      <c r="K172" s="26">
        <v>0.08</v>
      </c>
      <c r="L172" s="26">
        <v>7.4999999999999997E-2</v>
      </c>
      <c r="M172" s="26"/>
    </row>
    <row r="173" spans="2:13" x14ac:dyDescent="0.35">
      <c r="B173" s="3" t="s">
        <v>6</v>
      </c>
      <c r="C173" s="5"/>
      <c r="D173" s="26">
        <v>8.5999999999999993E-2</v>
      </c>
      <c r="E173" s="26">
        <v>9.8000000000000004E-2</v>
      </c>
      <c r="F173" s="26">
        <v>9.5000000000000001E-2</v>
      </c>
      <c r="G173" s="26">
        <v>9.2999999999999999E-2</v>
      </c>
      <c r="H173" s="26">
        <v>9.2999999999999999E-2</v>
      </c>
      <c r="I173" s="26">
        <v>0.11</v>
      </c>
      <c r="J173" s="26">
        <v>0.105</v>
      </c>
      <c r="K173" s="26">
        <v>0.115</v>
      </c>
      <c r="L173" s="26">
        <v>0.12</v>
      </c>
      <c r="M173" s="26"/>
    </row>
    <row r="174" spans="2:13" x14ac:dyDescent="0.35">
      <c r="B174" s="45"/>
      <c r="C174" s="50"/>
      <c r="D174" s="51"/>
      <c r="E174" s="51"/>
      <c r="F174" s="51"/>
      <c r="G174" s="51"/>
      <c r="H174" s="51"/>
      <c r="I174" s="51"/>
      <c r="J174" s="51"/>
      <c r="K174" s="51"/>
      <c r="L174" s="51"/>
      <c r="M174" s="32"/>
    </row>
    <row r="175" spans="2:13" x14ac:dyDescent="0.35">
      <c r="C175" s="5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2:13" x14ac:dyDescent="0.35">
      <c r="B176" s="3" t="s">
        <v>37</v>
      </c>
      <c r="C176" s="5"/>
      <c r="D176" s="26">
        <f t="shared" ref="D176:L176" si="13">AVERAGE(D165:D173)</f>
        <v>7.9333333333333339E-2</v>
      </c>
      <c r="E176" s="26">
        <f t="shared" si="13"/>
        <v>8.6222222222222214E-2</v>
      </c>
      <c r="F176" s="26">
        <f t="shared" si="13"/>
        <v>8.4777777777777771E-2</v>
      </c>
      <c r="G176" s="26">
        <f t="shared" si="13"/>
        <v>9.0111111111111086E-2</v>
      </c>
      <c r="H176" s="26">
        <f t="shared" si="13"/>
        <v>9.2333333333333323E-2</v>
      </c>
      <c r="I176" s="26">
        <f t="shared" si="13"/>
        <v>0.10577777777777778</v>
      </c>
      <c r="J176" s="26">
        <f t="shared" si="13"/>
        <v>0.10124999999999999</v>
      </c>
      <c r="K176" s="26">
        <f t="shared" si="13"/>
        <v>0.10499999999999998</v>
      </c>
      <c r="L176" s="26">
        <f t="shared" si="13"/>
        <v>0.10687499999999998</v>
      </c>
      <c r="M176" s="26"/>
    </row>
    <row r="177" spans="2:13" x14ac:dyDescent="0.35">
      <c r="B177" s="45"/>
      <c r="C177" s="50"/>
      <c r="D177" s="52"/>
      <c r="E177" s="52"/>
      <c r="F177" s="52"/>
      <c r="G177" s="52"/>
      <c r="H177" s="52"/>
      <c r="I177" s="52"/>
      <c r="J177" s="52"/>
      <c r="K177" s="52"/>
      <c r="L177" s="52"/>
      <c r="M177" s="31"/>
    </row>
    <row r="178" spans="2:13" x14ac:dyDescent="0.35">
      <c r="C178" s="5"/>
      <c r="D178" s="5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2:13" x14ac:dyDescent="0.35">
      <c r="B179" s="3" t="s">
        <v>29</v>
      </c>
      <c r="C179" s="5"/>
      <c r="D179" s="26">
        <f t="shared" ref="D179:L179" si="14">MEDIAN(D165:D173)</f>
        <v>8.2000000000000003E-2</v>
      </c>
      <c r="E179" s="26">
        <f t="shared" si="14"/>
        <v>8.5999999999999993E-2</v>
      </c>
      <c r="F179" s="26">
        <f t="shared" si="14"/>
        <v>0.08</v>
      </c>
      <c r="G179" s="26">
        <f t="shared" si="14"/>
        <v>8.4000000000000005E-2</v>
      </c>
      <c r="H179" s="26">
        <f t="shared" si="14"/>
        <v>8.6999999999999994E-2</v>
      </c>
      <c r="I179" s="26">
        <f t="shared" si="14"/>
        <v>0.10199999999999999</v>
      </c>
      <c r="J179" s="26">
        <f t="shared" si="14"/>
        <v>0.1</v>
      </c>
      <c r="K179" s="26">
        <f t="shared" si="14"/>
        <v>0.1</v>
      </c>
      <c r="L179" s="26">
        <f t="shared" si="14"/>
        <v>9.5000000000000001E-2</v>
      </c>
      <c r="M179" s="26"/>
    </row>
    <row r="180" spans="2:13" x14ac:dyDescent="0.35">
      <c r="B180" s="45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"/>
    </row>
  </sheetData>
  <mergeCells count="3">
    <mergeCell ref="C5:N5"/>
    <mergeCell ref="I9:K9"/>
    <mergeCell ref="D9:H9"/>
  </mergeCells>
  <pageMargins left="0.7" right="0.7" top="0.75" bottom="0.75" header="0.3" footer="0.3"/>
  <pageSetup orientation="portrait" r:id="rId1"/>
  <headerFooter>
    <oddHeader>&amp;RExh. MJR-1T, Rowell WP3</oddHeader>
  </headerFooter>
  <colBreaks count="2" manualBreakCount="2">
    <brk id="14" max="21" man="1"/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D800-8AB0-4303-9C3D-64B5486DE4C6}">
  <sheetPr>
    <tabColor theme="9" tint="0.79998168889431442"/>
  </sheetPr>
  <dimension ref="A1:Y51"/>
  <sheetViews>
    <sheetView tabSelected="1" zoomScale="90" zoomScaleNormal="90" zoomScalePageLayoutView="75" workbookViewId="0">
      <selection sqref="A1:A2"/>
    </sheetView>
  </sheetViews>
  <sheetFormatPr defaultColWidth="12.453125" defaultRowHeight="15.5" x14ac:dyDescent="0.35"/>
  <cols>
    <col min="1" max="1" width="6.453125" style="3" customWidth="1"/>
    <col min="2" max="2" width="8.54296875" style="3" bestFit="1" customWidth="1"/>
    <col min="3" max="3" width="31.7265625" style="3" customWidth="1"/>
    <col min="4" max="4" width="12.453125" style="3" customWidth="1"/>
    <col min="5" max="5" width="15.26953125" style="3" customWidth="1"/>
    <col min="6" max="6" width="15.453125" style="3" customWidth="1"/>
    <col min="7" max="7" width="15.26953125" style="3" customWidth="1"/>
    <col min="8" max="8" width="14.1796875" style="3" customWidth="1"/>
    <col min="9" max="14" width="12.453125" style="3" customWidth="1"/>
    <col min="15" max="15" width="14.1796875" style="3" customWidth="1"/>
    <col min="16" max="16" width="12.453125" style="3" customWidth="1"/>
    <col min="17" max="16384" width="12.453125" style="3"/>
  </cols>
  <sheetData>
    <row r="1" spans="1:25" ht="15.75" customHeight="1" x14ac:dyDescent="0.35">
      <c r="A1" s="123" t="s">
        <v>142</v>
      </c>
      <c r="B1" s="61"/>
      <c r="F1" s="62"/>
      <c r="H1" s="63"/>
    </row>
    <row r="2" spans="1:25" ht="15.75" customHeight="1" x14ac:dyDescent="0.35">
      <c r="A2" s="123" t="s">
        <v>170</v>
      </c>
      <c r="B2" s="61"/>
      <c r="F2" s="62"/>
      <c r="H2" s="63"/>
    </row>
    <row r="3" spans="1:25" ht="15.75" customHeight="1" x14ac:dyDescent="0.35">
      <c r="A3" s="1" t="s">
        <v>157</v>
      </c>
      <c r="B3" s="61"/>
      <c r="F3" s="5"/>
      <c r="H3" s="63"/>
    </row>
    <row r="4" spans="1:25" x14ac:dyDescent="0.35">
      <c r="A4" s="1" t="s">
        <v>158</v>
      </c>
      <c r="B4" s="61"/>
      <c r="G4" s="130"/>
      <c r="H4" s="131"/>
    </row>
    <row r="5" spans="1:25" x14ac:dyDescent="0.35">
      <c r="H5" s="2"/>
      <c r="L5" s="3" t="s">
        <v>31</v>
      </c>
    </row>
    <row r="6" spans="1:25" x14ac:dyDescent="0.35">
      <c r="C6" s="66" t="s">
        <v>31</v>
      </c>
      <c r="D6" s="66" t="s">
        <v>31</v>
      </c>
      <c r="E6" s="66" t="s">
        <v>31</v>
      </c>
      <c r="F6" s="66"/>
      <c r="G6" s="66"/>
      <c r="H6" s="66"/>
    </row>
    <row r="7" spans="1:25" x14ac:dyDescent="0.35">
      <c r="C7" s="132" t="s">
        <v>45</v>
      </c>
      <c r="D7" s="132"/>
      <c r="E7" s="132"/>
      <c r="F7" s="132"/>
      <c r="G7" s="132"/>
      <c r="H7" s="132"/>
      <c r="K7" s="61"/>
    </row>
    <row r="8" spans="1:25" x14ac:dyDescent="0.35">
      <c r="K8" s="61"/>
    </row>
    <row r="9" spans="1:25" s="2" customFormat="1" ht="15" x14ac:dyDescent="0.3">
      <c r="A9" s="43" t="s">
        <v>46</v>
      </c>
      <c r="B9" s="43"/>
      <c r="E9" s="67"/>
      <c r="F9" s="68" t="s">
        <v>134</v>
      </c>
      <c r="G9" s="69"/>
    </row>
    <row r="10" spans="1:25" s="2" customFormat="1" x14ac:dyDescent="0.35">
      <c r="A10" s="18" t="s">
        <v>47</v>
      </c>
      <c r="B10" s="18"/>
      <c r="C10" s="18" t="s">
        <v>48</v>
      </c>
      <c r="D10" s="18" t="s">
        <v>49</v>
      </c>
      <c r="E10" s="18" t="s">
        <v>50</v>
      </c>
      <c r="F10" s="18" t="s">
        <v>51</v>
      </c>
      <c r="G10" s="18" t="s">
        <v>21</v>
      </c>
      <c r="H10" s="18" t="s">
        <v>52</v>
      </c>
      <c r="T10" s="3"/>
      <c r="U10" s="3"/>
      <c r="V10" s="3"/>
      <c r="W10" s="3"/>
      <c r="X10" s="3"/>
      <c r="Y10" s="3"/>
    </row>
    <row r="11" spans="1:25" x14ac:dyDescent="0.35">
      <c r="A11" s="25">
        <v>1</v>
      </c>
      <c r="B11" s="25" t="s">
        <v>2</v>
      </c>
      <c r="C11" s="32" t="s">
        <v>25</v>
      </c>
      <c r="D11" s="16">
        <f>0.43*4</f>
        <v>1.72</v>
      </c>
      <c r="E11" s="16">
        <f>[16]AWR!$J$12</f>
        <v>85.379997000000003</v>
      </c>
      <c r="F11" s="16">
        <f>[16]AWR!$J$13</f>
        <v>70.419998000000007</v>
      </c>
      <c r="G11" s="16">
        <f>[16]AWR!$J$15</f>
        <v>79.211093765625009</v>
      </c>
      <c r="H11" s="38">
        <f>D11/G11</f>
        <v>2.1714130158197904E-2</v>
      </c>
      <c r="K11" s="2"/>
      <c r="L11" s="2"/>
      <c r="M11" s="2"/>
      <c r="N11" s="2"/>
      <c r="O11" s="2"/>
      <c r="Q11" s="32"/>
      <c r="T11" s="16"/>
      <c r="Y11" s="31"/>
    </row>
    <row r="12" spans="1:25" x14ac:dyDescent="0.35">
      <c r="A12" s="25">
        <f>+A11+1</f>
        <v>2</v>
      </c>
      <c r="B12" s="25" t="s">
        <v>11</v>
      </c>
      <c r="C12" s="32" t="s">
        <v>42</v>
      </c>
      <c r="D12" s="16">
        <f>0.765*4</f>
        <v>3.06</v>
      </c>
      <c r="E12" s="16">
        <f>[16]AWK!$J$12</f>
        <v>149.89999399999999</v>
      </c>
      <c r="F12" s="16">
        <f>[16]AWK!$J$13</f>
        <v>127.760002</v>
      </c>
      <c r="G12" s="16">
        <f>[16]AWK!$J$15</f>
        <v>139.80578137500004</v>
      </c>
      <c r="H12" s="38">
        <f t="shared" ref="H12:H17" si="0">D12/G12</f>
        <v>2.1887506867775262E-2</v>
      </c>
      <c r="I12" s="3" t="s">
        <v>31</v>
      </c>
      <c r="K12" s="2"/>
      <c r="L12" s="2"/>
      <c r="M12" s="2"/>
      <c r="N12" s="2"/>
      <c r="O12" s="2"/>
      <c r="P12" s="31"/>
      <c r="Q12" s="32"/>
      <c r="T12" s="16"/>
      <c r="Y12" s="31"/>
    </row>
    <row r="13" spans="1:25" x14ac:dyDescent="0.35">
      <c r="A13" s="25">
        <f>+A12+1</f>
        <v>3</v>
      </c>
      <c r="B13" s="25" t="s">
        <v>4</v>
      </c>
      <c r="C13" s="32" t="s">
        <v>26</v>
      </c>
      <c r="D13" s="16">
        <f>0.3071*4</f>
        <v>1.2283999999999999</v>
      </c>
      <c r="E13" s="16">
        <f>[16]WTRG!$J$12</f>
        <v>41.490001999999997</v>
      </c>
      <c r="F13" s="16">
        <f>[16]WTRG!$J$13</f>
        <v>36.740001999999997</v>
      </c>
      <c r="G13" s="16">
        <f>[16]WTRG!$J$15</f>
        <v>39.188984546875012</v>
      </c>
      <c r="H13" s="38">
        <f t="shared" si="0"/>
        <v>3.1345542993865466E-2</v>
      </c>
      <c r="P13" s="31"/>
      <c r="Q13" s="32"/>
      <c r="T13" s="16"/>
      <c r="Y13" s="31"/>
    </row>
    <row r="14" spans="1:25" x14ac:dyDescent="0.35">
      <c r="A14" s="25">
        <f>+A13+1</f>
        <v>4</v>
      </c>
      <c r="B14" s="25" t="s">
        <v>7</v>
      </c>
      <c r="C14" s="32" t="s">
        <v>8</v>
      </c>
      <c r="D14" s="16">
        <f>0.296*4</f>
        <v>1.1839999999999999</v>
      </c>
      <c r="E14" s="16">
        <f>[16]ARTNA!$J$12</f>
        <v>40.860000999999997</v>
      </c>
      <c r="F14" s="16">
        <f>[16]ARTNA!$J$13</f>
        <v>34.520000000000003</v>
      </c>
      <c r="G14" s="16">
        <f>[16]ARTNA!$J$15</f>
        <v>37.350781593750021</v>
      </c>
      <c r="H14" s="38">
        <f t="shared" si="0"/>
        <v>3.1699470519195798E-2</v>
      </c>
      <c r="Q14" s="32"/>
      <c r="T14" s="16"/>
      <c r="Y14" s="31"/>
    </row>
    <row r="15" spans="1:25" x14ac:dyDescent="0.35">
      <c r="A15" s="25">
        <f>+A14+1</f>
        <v>5</v>
      </c>
      <c r="B15" s="25" t="s">
        <v>3</v>
      </c>
      <c r="C15" s="32" t="s">
        <v>43</v>
      </c>
      <c r="D15" s="16">
        <f>0.28*4</f>
        <v>1.1200000000000001</v>
      </c>
      <c r="E15" s="16">
        <f>[16]CWT!$J$12</f>
        <v>55.5</v>
      </c>
      <c r="F15" s="16">
        <f>[16]CWT!$J$13</f>
        <v>47.830002</v>
      </c>
      <c r="G15" s="16">
        <f>[16]CWT!$J$15</f>
        <v>52.364843796875</v>
      </c>
      <c r="H15" s="38">
        <f t="shared" si="0"/>
        <v>2.1388395701981238E-2</v>
      </c>
      <c r="Q15" s="32"/>
      <c r="T15" s="16"/>
      <c r="Y15" s="31"/>
    </row>
    <row r="16" spans="1:25" x14ac:dyDescent="0.35">
      <c r="A16" s="25">
        <f>+A15+1</f>
        <v>6</v>
      </c>
      <c r="B16" s="25" t="s">
        <v>9</v>
      </c>
      <c r="C16" s="3" t="s">
        <v>10</v>
      </c>
      <c r="D16" s="16">
        <f>0.325*4</f>
        <v>1.3</v>
      </c>
      <c r="E16" s="16">
        <f>[16]MSEX!$J$12</f>
        <v>67.589995999999999</v>
      </c>
      <c r="F16" s="16">
        <f>[16]MSEX!$J$13</f>
        <v>51.400002000000001</v>
      </c>
      <c r="G16" s="16">
        <f>[16]MSEX!$J$15</f>
        <v>60.378594015624998</v>
      </c>
      <c r="H16" s="38">
        <f t="shared" si="0"/>
        <v>2.153080940678382E-2</v>
      </c>
      <c r="T16" s="16"/>
      <c r="Y16" s="31"/>
    </row>
    <row r="17" spans="1:25" x14ac:dyDescent="0.35">
      <c r="A17" s="25">
        <f t="shared" ref="A17:A24" si="1">+A16+1</f>
        <v>7</v>
      </c>
      <c r="B17" s="56" t="s">
        <v>5</v>
      </c>
      <c r="C17" s="57" t="s">
        <v>44</v>
      </c>
      <c r="D17" s="106">
        <f>0.211*4</f>
        <v>0.84399999999999997</v>
      </c>
      <c r="E17" s="106">
        <f>[16]YORW!$J$12</f>
        <v>38.580002</v>
      </c>
      <c r="F17" s="106">
        <f>[16]YORW!$J$13</f>
        <v>33.330002</v>
      </c>
      <c r="G17" s="106">
        <f>[16]YORW!$J$15</f>
        <v>36.003749859374992</v>
      </c>
      <c r="H17" s="104">
        <f t="shared" si="0"/>
        <v>2.344200266073761E-2</v>
      </c>
      <c r="T17" s="16"/>
      <c r="Y17" s="31"/>
    </row>
    <row r="18" spans="1:25" ht="16" thickBot="1" x14ac:dyDescent="0.4">
      <c r="A18" s="25">
        <f t="shared" si="1"/>
        <v>8</v>
      </c>
      <c r="B18" s="25"/>
      <c r="C18" s="16" t="s">
        <v>21</v>
      </c>
      <c r="D18" s="16"/>
      <c r="E18" s="16"/>
      <c r="F18" s="16"/>
      <c r="G18" s="16"/>
      <c r="H18" s="70">
        <f>AVERAGE(H11,H12,H13,H14,H15,H16,H17)</f>
        <v>2.4715408329791015E-2</v>
      </c>
      <c r="Y18" s="38"/>
    </row>
    <row r="19" spans="1:25" ht="16" thickTop="1" x14ac:dyDescent="0.35">
      <c r="A19" s="25">
        <f t="shared" si="1"/>
        <v>9</v>
      </c>
      <c r="B19" s="25"/>
      <c r="C19" s="49"/>
      <c r="D19" s="49"/>
      <c r="E19" s="49"/>
      <c r="F19" s="49"/>
      <c r="G19" s="49"/>
      <c r="H19" s="72"/>
      <c r="J19" s="71"/>
      <c r="K19" s="2"/>
      <c r="L19" s="2"/>
      <c r="M19" s="2"/>
      <c r="N19" s="2"/>
      <c r="O19" s="2"/>
    </row>
    <row r="20" spans="1:25" x14ac:dyDescent="0.35">
      <c r="A20" s="25">
        <f t="shared" si="1"/>
        <v>10</v>
      </c>
      <c r="B20" s="25"/>
      <c r="C20" s="18" t="s">
        <v>53</v>
      </c>
      <c r="D20" s="16"/>
      <c r="E20" s="16"/>
      <c r="F20" s="16"/>
      <c r="G20" s="16"/>
      <c r="H20" s="73"/>
    </row>
    <row r="21" spans="1:25" x14ac:dyDescent="0.35">
      <c r="A21" s="25">
        <f t="shared" si="1"/>
        <v>11</v>
      </c>
      <c r="B21" s="25"/>
      <c r="C21" s="3" t="s">
        <v>133</v>
      </c>
      <c r="D21" s="16"/>
      <c r="E21" s="16"/>
      <c r="F21" s="16"/>
      <c r="G21" s="16"/>
      <c r="H21" s="73"/>
    </row>
    <row r="22" spans="1:25" x14ac:dyDescent="0.35">
      <c r="A22" s="25">
        <f t="shared" si="1"/>
        <v>12</v>
      </c>
      <c r="B22" s="25"/>
      <c r="C22" s="3" t="s">
        <v>54</v>
      </c>
      <c r="D22" s="16"/>
      <c r="E22" s="16"/>
      <c r="F22" s="16"/>
      <c r="G22" s="16"/>
      <c r="H22" s="26" t="s">
        <v>31</v>
      </c>
      <c r="L22" s="31"/>
      <c r="O22" s="32"/>
      <c r="P22" s="31"/>
    </row>
    <row r="23" spans="1:25" x14ac:dyDescent="0.35">
      <c r="A23" s="25">
        <f t="shared" si="1"/>
        <v>13</v>
      </c>
      <c r="B23" s="25"/>
      <c r="C23" s="3" t="s">
        <v>55</v>
      </c>
      <c r="D23" s="16"/>
      <c r="E23" s="16"/>
      <c r="F23" s="16"/>
      <c r="G23" s="16"/>
      <c r="H23" s="73"/>
      <c r="L23" s="31"/>
      <c r="O23" s="32"/>
      <c r="P23" s="31"/>
    </row>
    <row r="24" spans="1:25" x14ac:dyDescent="0.35">
      <c r="A24" s="25">
        <f t="shared" si="1"/>
        <v>14</v>
      </c>
      <c r="B24" s="25"/>
      <c r="D24" s="16"/>
      <c r="E24" s="16"/>
      <c r="F24" s="16"/>
      <c r="G24" s="16"/>
      <c r="H24" s="26"/>
      <c r="K24" s="74"/>
      <c r="L24" s="31"/>
      <c r="O24" s="32"/>
      <c r="P24" s="31"/>
      <c r="R24" s="75"/>
      <c r="S24" s="75"/>
      <c r="T24" s="75"/>
      <c r="U24" s="75"/>
      <c r="V24" s="75"/>
      <c r="W24" s="75"/>
      <c r="X24" s="75"/>
    </row>
    <row r="25" spans="1:25" ht="25" customHeight="1" x14ac:dyDescent="0.35">
      <c r="A25" s="25"/>
      <c r="B25" s="25"/>
      <c r="D25" s="16"/>
      <c r="E25" s="16"/>
      <c r="F25" s="16"/>
      <c r="G25" s="16"/>
      <c r="H25" s="26"/>
      <c r="K25" s="74"/>
      <c r="L25" s="31"/>
      <c r="O25" s="32"/>
      <c r="P25" s="31"/>
      <c r="R25" s="16"/>
      <c r="S25" s="16"/>
      <c r="T25" s="16"/>
      <c r="U25" s="16"/>
      <c r="V25" s="16"/>
      <c r="W25" s="16"/>
      <c r="X25" s="16"/>
    </row>
    <row r="26" spans="1:25" ht="25" customHeight="1" x14ac:dyDescent="0.35">
      <c r="A26" s="25"/>
      <c r="B26" s="25"/>
      <c r="H26" s="38"/>
      <c r="K26" s="74"/>
      <c r="L26" s="31"/>
      <c r="O26" s="32"/>
      <c r="P26" s="31"/>
      <c r="R26" s="31"/>
    </row>
    <row r="27" spans="1:25" ht="25" customHeight="1" x14ac:dyDescent="0.35">
      <c r="A27" s="25"/>
      <c r="B27" s="16"/>
      <c r="L27" s="76"/>
      <c r="N27" s="74"/>
      <c r="O27" s="32"/>
      <c r="P27" s="31"/>
      <c r="R27" s="31"/>
    </row>
    <row r="28" spans="1:25" ht="25" customHeight="1" x14ac:dyDescent="0.35">
      <c r="A28" s="16"/>
      <c r="B28" s="16"/>
      <c r="L28" s="76"/>
      <c r="N28" s="74"/>
      <c r="R28" s="31"/>
      <c r="T28" s="31"/>
      <c r="U28" s="31"/>
      <c r="V28" s="31"/>
      <c r="W28" s="31"/>
      <c r="X28" s="31"/>
    </row>
    <row r="29" spans="1:25" ht="25" customHeight="1" x14ac:dyDescent="0.35">
      <c r="A29" s="16"/>
      <c r="B29" s="16"/>
    </row>
    <row r="30" spans="1:25" ht="25" customHeight="1" x14ac:dyDescent="0.35">
      <c r="A30" s="16"/>
      <c r="C30" s="32"/>
      <c r="E30" s="16"/>
      <c r="F30" s="16"/>
      <c r="G30" s="16"/>
      <c r="H30" s="26"/>
      <c r="L30" s="77"/>
      <c r="N30" s="77"/>
      <c r="O30" s="78"/>
      <c r="P30" s="73"/>
    </row>
    <row r="31" spans="1:25" ht="25" customHeight="1" x14ac:dyDescent="0.35">
      <c r="C31" s="32"/>
      <c r="E31" s="16"/>
      <c r="F31" s="16"/>
      <c r="G31" s="16"/>
      <c r="H31" s="26"/>
      <c r="L31" s="74"/>
    </row>
    <row r="32" spans="1:25" ht="25" customHeight="1" x14ac:dyDescent="0.35">
      <c r="C32" s="32"/>
      <c r="E32" s="16"/>
      <c r="F32" s="16"/>
      <c r="G32" s="16"/>
      <c r="H32" s="26"/>
    </row>
    <row r="33" spans="3:8" ht="25" customHeight="1" x14ac:dyDescent="0.35">
      <c r="C33" s="32"/>
      <c r="E33" s="16"/>
      <c r="F33" s="16"/>
      <c r="G33" s="16"/>
      <c r="H33" s="26"/>
    </row>
    <row r="34" spans="3:8" ht="25" customHeight="1" x14ac:dyDescent="0.35">
      <c r="C34" s="32"/>
      <c r="E34" s="16"/>
      <c r="F34" s="16"/>
      <c r="G34" s="16"/>
      <c r="H34" s="26"/>
    </row>
    <row r="35" spans="3:8" ht="25" customHeight="1" x14ac:dyDescent="0.35">
      <c r="E35" s="16"/>
      <c r="F35" s="16"/>
      <c r="G35" s="16"/>
      <c r="H35" s="26"/>
    </row>
    <row r="36" spans="3:8" ht="25" customHeight="1" x14ac:dyDescent="0.35">
      <c r="E36" s="16"/>
      <c r="F36" s="16"/>
      <c r="G36" s="16"/>
      <c r="H36" s="26"/>
    </row>
    <row r="37" spans="3:8" ht="25" customHeight="1" x14ac:dyDescent="0.35">
      <c r="E37" s="16"/>
      <c r="F37" s="16"/>
      <c r="G37" s="16"/>
      <c r="H37" s="26"/>
    </row>
    <row r="38" spans="3:8" ht="25" customHeight="1" x14ac:dyDescent="0.35">
      <c r="E38" s="16"/>
      <c r="F38" s="16"/>
      <c r="G38" s="16"/>
      <c r="H38" s="26"/>
    </row>
    <row r="39" spans="3:8" ht="25" customHeight="1" x14ac:dyDescent="0.35">
      <c r="E39" s="16"/>
      <c r="F39" s="16"/>
      <c r="G39" s="16"/>
      <c r="H39" s="26"/>
    </row>
    <row r="40" spans="3:8" ht="25" customHeight="1" x14ac:dyDescent="0.35">
      <c r="E40" s="16"/>
      <c r="F40" s="16"/>
      <c r="G40" s="16"/>
      <c r="H40" s="26"/>
    </row>
    <row r="41" spans="3:8" ht="25" customHeight="1" x14ac:dyDescent="0.35">
      <c r="E41" s="16"/>
      <c r="F41" s="16"/>
      <c r="G41" s="16"/>
      <c r="H41" s="26"/>
    </row>
    <row r="42" spans="3:8" x14ac:dyDescent="0.35">
      <c r="E42" s="16"/>
      <c r="F42" s="16"/>
      <c r="G42" s="16"/>
      <c r="H42" s="26"/>
    </row>
    <row r="43" spans="3:8" x14ac:dyDescent="0.35">
      <c r="E43" s="16"/>
      <c r="F43" s="16"/>
      <c r="G43" s="16"/>
      <c r="H43" s="26"/>
    </row>
    <row r="44" spans="3:8" x14ac:dyDescent="0.35">
      <c r="E44" s="16"/>
      <c r="F44" s="16"/>
      <c r="G44" s="16"/>
      <c r="H44" s="26"/>
    </row>
    <row r="45" spans="3:8" x14ac:dyDescent="0.35">
      <c r="E45" s="16"/>
      <c r="F45" s="16"/>
      <c r="G45" s="16"/>
      <c r="H45" s="26"/>
    </row>
    <row r="46" spans="3:8" x14ac:dyDescent="0.35">
      <c r="E46" s="16"/>
      <c r="F46" s="16"/>
      <c r="G46" s="16"/>
      <c r="H46" s="26"/>
    </row>
    <row r="47" spans="3:8" x14ac:dyDescent="0.35">
      <c r="E47" s="16"/>
      <c r="F47" s="16"/>
      <c r="G47" s="16"/>
      <c r="H47" s="26"/>
    </row>
    <row r="48" spans="3:8" x14ac:dyDescent="0.35">
      <c r="E48" s="16"/>
      <c r="F48" s="16"/>
      <c r="G48" s="16"/>
      <c r="H48" s="73"/>
    </row>
    <row r="51" spans="5:8" x14ac:dyDescent="0.35">
      <c r="E51" s="16"/>
      <c r="F51" s="16"/>
      <c r="G51" s="16"/>
      <c r="H51" s="73"/>
    </row>
  </sheetData>
  <mergeCells count="2">
    <mergeCell ref="G4:H4"/>
    <mergeCell ref="C7:H7"/>
  </mergeCells>
  <pageMargins left="0.7" right="0.7" top="0.75" bottom="0.75" header="0.3" footer="0.3"/>
  <pageSetup orientation="portrait" r:id="rId1"/>
  <headerFooter>
    <oddHeader>&amp;RExh. MJR-1T, Rowell WP3</oddHeader>
  </headerFooter>
  <rowBreaks count="1" manualBreakCount="1">
    <brk id="2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F580-9916-40AA-8D01-D3CD9AB45A82}">
  <sheetPr>
    <tabColor theme="9" tint="0.79998168889431442"/>
  </sheetPr>
  <dimension ref="A1:AB47"/>
  <sheetViews>
    <sheetView tabSelected="1" zoomScaleNormal="100" zoomScaleSheetLayoutView="75" workbookViewId="0">
      <selection sqref="A1:A2"/>
    </sheetView>
  </sheetViews>
  <sheetFormatPr defaultColWidth="12.54296875" defaultRowHeight="15.5" x14ac:dyDescent="0.35"/>
  <cols>
    <col min="1" max="1" width="5.7265625" style="3" customWidth="1"/>
    <col min="2" max="2" width="8" style="3" customWidth="1"/>
    <col min="3" max="3" width="34.54296875" style="3" customWidth="1"/>
    <col min="4" max="4" width="10.26953125" style="3" customWidth="1"/>
    <col min="5" max="5" width="10.54296875" style="3" customWidth="1"/>
    <col min="6" max="6" width="10.1796875" style="3" customWidth="1"/>
    <col min="7" max="8" width="11.1796875" style="3" customWidth="1"/>
    <col min="9" max="9" width="10.54296875" style="3" customWidth="1"/>
    <col min="10" max="10" width="10.7265625" style="3" customWidth="1"/>
    <col min="11" max="11" width="11.1796875" style="3" customWidth="1"/>
    <col min="12" max="12" width="3.453125" style="3" customWidth="1"/>
    <col min="13" max="16" width="11.26953125" style="3" customWidth="1"/>
    <col min="17" max="20" width="12.54296875" style="3" customWidth="1"/>
    <col min="21" max="21" width="12.453125" style="3" customWidth="1"/>
    <col min="22" max="26" width="12.54296875" style="3" customWidth="1"/>
    <col min="27" max="27" width="5.7265625" style="3" customWidth="1"/>
    <col min="28" max="28" width="15.453125" style="3" customWidth="1"/>
    <col min="29" max="29" width="12.54296875" style="3" customWidth="1"/>
    <col min="30" max="16384" width="12.54296875" style="3"/>
  </cols>
  <sheetData>
    <row r="1" spans="1:28" ht="15.75" customHeight="1" x14ac:dyDescent="0.35">
      <c r="A1" s="123" t="s">
        <v>142</v>
      </c>
      <c r="B1" s="61"/>
      <c r="I1" s="130"/>
      <c r="J1" s="130"/>
      <c r="K1" s="131"/>
      <c r="L1" s="65"/>
    </row>
    <row r="2" spans="1:28" ht="15.75" customHeight="1" x14ac:dyDescent="0.35">
      <c r="A2" s="123" t="s">
        <v>170</v>
      </c>
      <c r="B2" s="61"/>
      <c r="I2" s="64"/>
      <c r="J2" s="64"/>
      <c r="K2" s="65"/>
      <c r="L2" s="65"/>
    </row>
    <row r="3" spans="1:28" ht="15.75" customHeight="1" x14ac:dyDescent="0.35">
      <c r="A3" s="1" t="s">
        <v>159</v>
      </c>
      <c r="B3" s="61"/>
      <c r="J3" s="130"/>
      <c r="K3" s="130"/>
      <c r="L3" s="65"/>
    </row>
    <row r="4" spans="1:28" x14ac:dyDescent="0.35">
      <c r="A4" s="1" t="s">
        <v>161</v>
      </c>
      <c r="B4" s="61"/>
      <c r="G4" s="16"/>
      <c r="I4" s="130"/>
      <c r="J4" s="130"/>
      <c r="K4" s="131"/>
      <c r="L4" s="2"/>
    </row>
    <row r="5" spans="1:28" x14ac:dyDescent="0.35">
      <c r="J5" s="2"/>
      <c r="K5" s="2"/>
      <c r="L5" s="2"/>
      <c r="N5" s="2"/>
    </row>
    <row r="6" spans="1:28" x14ac:dyDescent="0.35">
      <c r="D6" s="18" t="s">
        <v>57</v>
      </c>
      <c r="E6" s="22"/>
      <c r="F6" s="22"/>
      <c r="H6" s="22"/>
      <c r="N6" s="2"/>
      <c r="AB6" s="16"/>
    </row>
    <row r="7" spans="1:28" x14ac:dyDescent="0.35">
      <c r="D7" s="79"/>
      <c r="E7" s="79"/>
      <c r="F7" s="79"/>
      <c r="G7" s="79"/>
      <c r="V7" s="16"/>
    </row>
    <row r="8" spans="1:28" x14ac:dyDescent="0.35">
      <c r="D8" s="134" t="s">
        <v>58</v>
      </c>
      <c r="E8" s="134"/>
      <c r="F8" s="134"/>
      <c r="G8" s="134"/>
      <c r="V8" s="16"/>
    </row>
    <row r="9" spans="1:28" s="2" customFormat="1" x14ac:dyDescent="0.35">
      <c r="A9" s="43" t="s">
        <v>46</v>
      </c>
      <c r="B9" s="43"/>
      <c r="D9" s="135" t="s">
        <v>136</v>
      </c>
      <c r="E9" s="135"/>
      <c r="F9" s="135"/>
      <c r="G9" s="135"/>
      <c r="H9" s="16"/>
      <c r="I9" s="3"/>
      <c r="J9" s="16"/>
      <c r="K9" s="3"/>
      <c r="L9" s="3"/>
      <c r="M9" s="3"/>
      <c r="N9" s="3"/>
      <c r="O9" s="3"/>
      <c r="P9" s="3"/>
      <c r="Q9" s="3"/>
      <c r="R9" s="80"/>
      <c r="S9" s="80"/>
      <c r="T9" s="80"/>
      <c r="U9" s="3"/>
      <c r="V9" s="16"/>
      <c r="W9" s="66"/>
      <c r="X9" s="66"/>
      <c r="Y9" s="66"/>
    </row>
    <row r="10" spans="1:28" s="44" customFormat="1" x14ac:dyDescent="0.35">
      <c r="A10" s="18" t="s">
        <v>47</v>
      </c>
      <c r="B10" s="18"/>
      <c r="C10" s="18" t="s">
        <v>48</v>
      </c>
      <c r="D10" s="81" t="s">
        <v>59</v>
      </c>
      <c r="E10" s="81" t="s">
        <v>49</v>
      </c>
      <c r="F10" s="81" t="s">
        <v>60</v>
      </c>
      <c r="G10" s="81" t="s">
        <v>21</v>
      </c>
      <c r="H10" s="16"/>
      <c r="I10" s="3"/>
      <c r="J10" s="16"/>
      <c r="K10" s="3"/>
      <c r="L10" s="3"/>
      <c r="M10" s="3"/>
      <c r="N10" s="3"/>
      <c r="O10" s="3"/>
      <c r="P10" s="3"/>
      <c r="Q10" s="3"/>
      <c r="R10" s="16"/>
      <c r="S10" s="16"/>
      <c r="T10" s="16"/>
      <c r="U10" s="3"/>
      <c r="V10" s="16"/>
      <c r="W10" s="43"/>
      <c r="X10" s="43"/>
      <c r="Y10" s="43"/>
    </row>
    <row r="11" spans="1:28" x14ac:dyDescent="0.35">
      <c r="A11" s="25"/>
      <c r="B11" s="25"/>
      <c r="D11" s="26"/>
      <c r="E11" s="26"/>
      <c r="F11" s="26"/>
      <c r="G11" s="26"/>
      <c r="R11" s="26"/>
      <c r="S11" s="26"/>
      <c r="T11" s="26"/>
      <c r="U11" s="26"/>
      <c r="V11" s="26"/>
      <c r="W11" s="26"/>
      <c r="X11" s="26"/>
      <c r="Y11" s="26"/>
    </row>
    <row r="12" spans="1:28" x14ac:dyDescent="0.35">
      <c r="A12" s="25" t="s">
        <v>61</v>
      </c>
      <c r="B12" s="25" t="s">
        <v>2</v>
      </c>
      <c r="C12" s="62" t="s">
        <v>25</v>
      </c>
      <c r="D12" s="26">
        <v>0.09</v>
      </c>
      <c r="E12" s="26">
        <v>0.09</v>
      </c>
      <c r="F12" s="26">
        <v>6.5000000000000002E-2</v>
      </c>
      <c r="G12" s="26">
        <f>AVERAGE(D12:F12)</f>
        <v>8.1666666666666665E-2</v>
      </c>
      <c r="H12" s="32"/>
      <c r="J12" s="32"/>
      <c r="R12" s="26"/>
      <c r="S12" s="26"/>
      <c r="T12" s="26"/>
      <c r="U12" s="26"/>
      <c r="V12" s="26"/>
      <c r="W12" s="26"/>
      <c r="X12" s="26"/>
      <c r="Y12" s="26"/>
    </row>
    <row r="13" spans="1:28" x14ac:dyDescent="0.35">
      <c r="A13" s="25" t="s">
        <v>62</v>
      </c>
      <c r="B13" s="25" t="s">
        <v>11</v>
      </c>
      <c r="C13" s="62" t="s">
        <v>63</v>
      </c>
      <c r="D13" s="26">
        <v>0.15</v>
      </c>
      <c r="E13" s="26">
        <v>9.5000000000000001E-2</v>
      </c>
      <c r="F13" s="26">
        <v>7.4999999999999997E-2</v>
      </c>
      <c r="G13" s="26">
        <f t="shared" ref="G13:G18" si="0">AVERAGE(D13:F13)</f>
        <v>0.10666666666666667</v>
      </c>
      <c r="H13" s="32"/>
      <c r="J13" s="32"/>
      <c r="R13" s="26"/>
      <c r="S13" s="26"/>
      <c r="T13" s="26"/>
      <c r="U13" s="26"/>
      <c r="V13" s="26"/>
      <c r="W13" s="26"/>
      <c r="X13" s="26"/>
      <c r="Y13" s="26"/>
    </row>
    <row r="14" spans="1:28" x14ac:dyDescent="0.35">
      <c r="A14" s="25" t="s">
        <v>64</v>
      </c>
      <c r="B14" s="25" t="s">
        <v>4</v>
      </c>
      <c r="C14" s="32" t="s">
        <v>26</v>
      </c>
      <c r="D14" s="26">
        <v>7.0000000000000007E-2</v>
      </c>
      <c r="E14" s="26">
        <v>7.0000000000000007E-2</v>
      </c>
      <c r="F14" s="26">
        <v>0.14000000000000001</v>
      </c>
      <c r="G14" s="26">
        <f t="shared" si="0"/>
        <v>9.3333333333333338E-2</v>
      </c>
      <c r="H14" s="32"/>
      <c r="J14" s="32"/>
      <c r="R14" s="26"/>
      <c r="S14" s="26"/>
      <c r="T14" s="26"/>
      <c r="U14" s="26"/>
      <c r="V14" s="26"/>
      <c r="W14" s="26"/>
      <c r="X14" s="26"/>
      <c r="Y14" s="26"/>
    </row>
    <row r="15" spans="1:28" x14ac:dyDescent="0.35">
      <c r="A15" s="25" t="s">
        <v>65</v>
      </c>
      <c r="B15" s="25" t="s">
        <v>7</v>
      </c>
      <c r="C15" s="62" t="s">
        <v>8</v>
      </c>
      <c r="D15" s="26">
        <v>3.5000000000000003E-2</v>
      </c>
      <c r="E15" s="26">
        <v>3.5000000000000003E-2</v>
      </c>
      <c r="F15" s="26">
        <v>0.05</v>
      </c>
      <c r="G15" s="26">
        <f t="shared" si="0"/>
        <v>0.04</v>
      </c>
      <c r="H15" s="32"/>
      <c r="J15" s="26"/>
      <c r="R15" s="26"/>
      <c r="S15" s="26"/>
      <c r="T15" s="26"/>
      <c r="U15" s="26"/>
      <c r="V15" s="26"/>
      <c r="W15" s="26"/>
      <c r="X15" s="26"/>
      <c r="Y15" s="26"/>
    </row>
    <row r="16" spans="1:28" x14ac:dyDescent="0.35">
      <c r="A16" s="25" t="s">
        <v>66</v>
      </c>
      <c r="B16" s="25" t="s">
        <v>3</v>
      </c>
      <c r="C16" s="62" t="s">
        <v>43</v>
      </c>
      <c r="D16" s="26">
        <v>0.04</v>
      </c>
      <c r="E16" s="26">
        <v>6.5000000000000002E-2</v>
      </c>
      <c r="F16" s="26">
        <v>0.1</v>
      </c>
      <c r="G16" s="26">
        <f t="shared" si="0"/>
        <v>6.8333333333333343E-2</v>
      </c>
      <c r="H16" s="32"/>
      <c r="J16" s="32"/>
      <c r="R16" s="26"/>
      <c r="S16" s="26"/>
      <c r="T16" s="26"/>
      <c r="U16" s="26"/>
      <c r="V16" s="26"/>
      <c r="W16" s="26"/>
      <c r="X16" s="26"/>
      <c r="Y16" s="26"/>
    </row>
    <row r="17" spans="1:25" x14ac:dyDescent="0.35">
      <c r="A17" s="25" t="s">
        <v>67</v>
      </c>
      <c r="B17" s="25" t="s">
        <v>9</v>
      </c>
      <c r="C17" s="62" t="s">
        <v>10</v>
      </c>
      <c r="D17" s="26">
        <v>5.5E-2</v>
      </c>
      <c r="E17" s="26">
        <v>6.5000000000000002E-2</v>
      </c>
      <c r="F17" s="26">
        <v>9.5000000000000001E-2</v>
      </c>
      <c r="G17" s="26">
        <f t="shared" si="0"/>
        <v>7.166666666666667E-2</v>
      </c>
      <c r="H17" s="32"/>
      <c r="J17" s="32"/>
      <c r="R17" s="26"/>
      <c r="S17" s="26"/>
      <c r="T17" s="26"/>
      <c r="U17" s="26"/>
      <c r="V17" s="26"/>
      <c r="W17" s="26"/>
      <c r="X17" s="26"/>
      <c r="Y17" s="26"/>
    </row>
    <row r="18" spans="1:25" x14ac:dyDescent="0.35">
      <c r="A18" s="25" t="s">
        <v>68</v>
      </c>
      <c r="B18" s="56" t="s">
        <v>5</v>
      </c>
      <c r="C18" s="90" t="s">
        <v>44</v>
      </c>
      <c r="D18" s="107">
        <v>0.08</v>
      </c>
      <c r="E18" s="107">
        <v>0.04</v>
      </c>
      <c r="F18" s="107">
        <v>8.5000000000000006E-2</v>
      </c>
      <c r="G18" s="107">
        <f t="shared" si="0"/>
        <v>6.8333333333333343E-2</v>
      </c>
      <c r="H18" s="32"/>
      <c r="J18" s="32"/>
      <c r="R18" s="26"/>
      <c r="S18" s="26"/>
      <c r="T18" s="26"/>
      <c r="U18" s="26"/>
      <c r="V18" s="26"/>
      <c r="W18" s="26"/>
      <c r="X18" s="26"/>
      <c r="Y18" s="26"/>
    </row>
    <row r="19" spans="1:25" ht="16" thickBot="1" x14ac:dyDescent="0.4">
      <c r="A19" s="25" t="s">
        <v>69</v>
      </c>
      <c r="B19" s="25"/>
      <c r="C19" s="34" t="s">
        <v>21</v>
      </c>
      <c r="D19" s="34"/>
      <c r="E19" s="34"/>
      <c r="F19" s="34"/>
      <c r="G19" s="82">
        <f>AVERAGE(G12,G13,G14,G15,G16,G17,G18)</f>
        <v>7.571428571428572E-2</v>
      </c>
      <c r="H19" s="32"/>
      <c r="J19" s="32"/>
      <c r="R19" s="26"/>
      <c r="S19" s="26"/>
      <c r="T19" s="26"/>
      <c r="U19" s="26"/>
      <c r="V19" s="26"/>
      <c r="W19" s="26"/>
      <c r="X19" s="26"/>
      <c r="Y19" s="26"/>
    </row>
    <row r="20" spans="1:25" ht="16" thickTop="1" x14ac:dyDescent="0.35">
      <c r="A20" s="25" t="s">
        <v>126</v>
      </c>
      <c r="B20" s="25"/>
      <c r="C20" s="5"/>
      <c r="D20" s="5"/>
      <c r="E20" s="5"/>
      <c r="F20" s="5"/>
      <c r="G20" s="5"/>
      <c r="R20" s="26"/>
      <c r="S20" s="26"/>
      <c r="T20" s="26"/>
      <c r="U20" s="26"/>
      <c r="V20" s="26"/>
      <c r="W20" s="26"/>
      <c r="X20" s="26"/>
      <c r="Y20" s="26"/>
    </row>
    <row r="21" spans="1:25" x14ac:dyDescent="0.35">
      <c r="A21" s="25" t="s">
        <v>127</v>
      </c>
      <c r="B21" s="25"/>
      <c r="C21" s="43" t="s">
        <v>70</v>
      </c>
      <c r="E21" s="26"/>
      <c r="F21" s="26"/>
      <c r="G21" s="38"/>
      <c r="H21" s="38"/>
      <c r="J21" s="38"/>
      <c r="R21" s="5"/>
      <c r="S21" s="5"/>
      <c r="T21" s="26"/>
      <c r="U21" s="5"/>
      <c r="V21" s="26"/>
      <c r="W21" s="5"/>
      <c r="X21" s="83"/>
      <c r="Y21" s="32"/>
    </row>
    <row r="22" spans="1:25" x14ac:dyDescent="0.35">
      <c r="A22" s="25" t="s">
        <v>128</v>
      </c>
      <c r="B22" s="25"/>
      <c r="C22" s="5" t="s">
        <v>135</v>
      </c>
      <c r="D22" s="5"/>
      <c r="E22" s="5"/>
      <c r="F22" s="5"/>
      <c r="G22" s="5"/>
    </row>
    <row r="23" spans="1:25" x14ac:dyDescent="0.35">
      <c r="A23" s="25"/>
      <c r="B23" s="25"/>
      <c r="D23" s="5"/>
      <c r="E23" s="5"/>
      <c r="F23" s="5"/>
      <c r="G23" s="5"/>
    </row>
    <row r="24" spans="1:25" x14ac:dyDescent="0.35">
      <c r="A24" s="25"/>
      <c r="B24" s="25"/>
      <c r="C24" s="5"/>
      <c r="D24" s="31"/>
      <c r="E24" s="31"/>
      <c r="F24" s="31"/>
      <c r="G24" s="38"/>
    </row>
    <row r="25" spans="1:25" x14ac:dyDescent="0.35">
      <c r="A25" s="25"/>
      <c r="B25" s="25"/>
      <c r="C25" s="5"/>
      <c r="D25" s="32"/>
      <c r="E25" s="5"/>
      <c r="F25" s="5"/>
      <c r="G25" s="83"/>
    </row>
    <row r="26" spans="1:25" x14ac:dyDescent="0.35">
      <c r="A26" s="25"/>
      <c r="B26" s="25"/>
      <c r="L26" s="5"/>
    </row>
    <row r="27" spans="1:25" x14ac:dyDescent="0.35">
      <c r="A27" s="25"/>
      <c r="B27" s="25"/>
      <c r="C27" s="5"/>
      <c r="D27" s="32"/>
      <c r="E27" s="5"/>
      <c r="F27" s="5"/>
      <c r="G27" s="5"/>
      <c r="H27" s="5"/>
      <c r="I27" s="5"/>
      <c r="J27" s="5"/>
      <c r="K27" s="5"/>
    </row>
    <row r="28" spans="1:25" x14ac:dyDescent="0.35">
      <c r="A28" s="25"/>
      <c r="B28" s="25"/>
      <c r="E28" s="26"/>
      <c r="F28" s="26"/>
      <c r="G28" s="26"/>
      <c r="L28" s="5"/>
    </row>
    <row r="29" spans="1:25" x14ac:dyDescent="0.35">
      <c r="A29" s="25"/>
      <c r="B29" s="25"/>
      <c r="D29" s="84"/>
      <c r="E29" s="16"/>
      <c r="F29" s="16"/>
      <c r="G29" s="16"/>
      <c r="H29" s="84"/>
      <c r="I29" s="16"/>
      <c r="J29" s="16"/>
      <c r="K29" s="16"/>
    </row>
    <row r="30" spans="1:25" x14ac:dyDescent="0.35">
      <c r="A30" s="25"/>
      <c r="B30" s="25"/>
      <c r="D30" s="16"/>
      <c r="E30" s="16"/>
      <c r="F30" s="16"/>
      <c r="G30" s="16"/>
      <c r="H30" s="133"/>
      <c r="I30" s="133"/>
      <c r="J30" s="133"/>
      <c r="K30" s="133"/>
      <c r="M30" s="84"/>
    </row>
    <row r="31" spans="1:25" x14ac:dyDescent="0.35">
      <c r="A31" s="25" t="s">
        <v>31</v>
      </c>
      <c r="B31" s="25"/>
      <c r="C31" s="16"/>
      <c r="D31" s="16"/>
      <c r="E31" s="16"/>
      <c r="F31" s="16"/>
      <c r="G31" s="16"/>
      <c r="H31" s="16"/>
      <c r="I31" s="16"/>
      <c r="J31" s="16"/>
      <c r="K31" s="16"/>
      <c r="M31" s="133"/>
      <c r="N31" s="133"/>
      <c r="O31" s="133"/>
      <c r="P31" s="133"/>
    </row>
    <row r="32" spans="1:25" x14ac:dyDescent="0.35">
      <c r="A32" s="25" t="s">
        <v>31</v>
      </c>
      <c r="B32" s="25"/>
      <c r="D32" s="26"/>
      <c r="E32" s="26"/>
      <c r="F32" s="26"/>
      <c r="G32" s="26"/>
      <c r="H32" s="26"/>
      <c r="I32" s="26"/>
      <c r="J32" s="26"/>
      <c r="K32" s="26"/>
      <c r="M32" s="16"/>
      <c r="N32" s="16"/>
      <c r="O32" s="16"/>
      <c r="P32" s="16"/>
    </row>
    <row r="33" spans="1:16" x14ac:dyDescent="0.35">
      <c r="A33" s="25" t="s">
        <v>31</v>
      </c>
      <c r="B33" s="25"/>
      <c r="C33" s="62"/>
      <c r="D33" s="26"/>
      <c r="E33" s="26"/>
      <c r="F33" s="26"/>
      <c r="G33" s="26"/>
      <c r="H33" s="26"/>
      <c r="I33" s="26"/>
      <c r="J33" s="26"/>
      <c r="K33" s="26"/>
      <c r="M33" s="26"/>
      <c r="N33" s="26"/>
      <c r="O33" s="26"/>
      <c r="P33" s="26"/>
    </row>
    <row r="34" spans="1:16" x14ac:dyDescent="0.35">
      <c r="A34" s="25" t="s">
        <v>31</v>
      </c>
      <c r="C34" s="62"/>
      <c r="D34" s="26"/>
      <c r="E34" s="26"/>
      <c r="F34" s="26"/>
      <c r="G34" s="26"/>
      <c r="H34" s="26"/>
      <c r="I34" s="26"/>
      <c r="J34" s="26"/>
      <c r="K34" s="26"/>
      <c r="M34" s="26"/>
      <c r="N34" s="26"/>
      <c r="O34" s="26"/>
      <c r="P34" s="26"/>
    </row>
    <row r="35" spans="1:16" x14ac:dyDescent="0.35">
      <c r="C35" s="32"/>
      <c r="D35" s="26"/>
      <c r="E35" s="26"/>
      <c r="F35" s="26"/>
      <c r="G35" s="26"/>
      <c r="H35" s="26"/>
      <c r="I35" s="26"/>
      <c r="J35" s="26"/>
      <c r="K35" s="26"/>
      <c r="M35" s="26"/>
      <c r="N35" s="26"/>
      <c r="O35" s="26"/>
      <c r="P35" s="26"/>
    </row>
    <row r="36" spans="1:16" x14ac:dyDescent="0.35">
      <c r="C36" s="62"/>
      <c r="D36" s="26"/>
      <c r="E36" s="26"/>
      <c r="F36" s="26"/>
      <c r="G36" s="26"/>
      <c r="H36" s="26"/>
      <c r="I36" s="26"/>
      <c r="J36" s="26"/>
      <c r="K36" s="26"/>
      <c r="M36" s="26"/>
      <c r="N36" s="26"/>
      <c r="O36" s="26"/>
      <c r="P36" s="26"/>
    </row>
    <row r="37" spans="1:16" hidden="1" x14ac:dyDescent="0.35">
      <c r="C37" s="62"/>
      <c r="D37" s="26"/>
      <c r="E37" s="26"/>
      <c r="F37" s="26"/>
      <c r="G37" s="26"/>
      <c r="H37" s="26"/>
      <c r="I37" s="26"/>
      <c r="J37" s="26"/>
      <c r="K37" s="26"/>
      <c r="M37" s="26"/>
      <c r="N37" s="26"/>
      <c r="O37" s="26"/>
      <c r="P37" s="26"/>
    </row>
    <row r="38" spans="1:16" x14ac:dyDescent="0.35">
      <c r="C38" s="62"/>
      <c r="D38" s="26"/>
      <c r="E38" s="26"/>
      <c r="F38" s="26"/>
      <c r="G38" s="26"/>
      <c r="H38" s="26"/>
      <c r="I38" s="26"/>
      <c r="J38" s="26"/>
      <c r="K38" s="26"/>
      <c r="M38" s="26"/>
      <c r="N38" s="26"/>
      <c r="O38" s="26"/>
      <c r="P38" s="26"/>
    </row>
    <row r="39" spans="1:16" hidden="1" x14ac:dyDescent="0.35">
      <c r="C39" s="62"/>
      <c r="D39" s="26"/>
      <c r="E39" s="26"/>
      <c r="F39" s="26"/>
      <c r="G39" s="26"/>
      <c r="H39" s="26"/>
      <c r="I39" s="26"/>
      <c r="J39" s="26"/>
      <c r="K39" s="26"/>
      <c r="M39" s="26"/>
      <c r="N39" s="26"/>
      <c r="O39" s="26"/>
      <c r="P39" s="26"/>
    </row>
    <row r="40" spans="1:16" x14ac:dyDescent="0.35">
      <c r="C40" s="62"/>
      <c r="D40" s="26"/>
      <c r="E40" s="26"/>
      <c r="F40" s="26"/>
      <c r="G40" s="26"/>
      <c r="H40" s="26"/>
      <c r="I40" s="26"/>
      <c r="J40" s="26"/>
      <c r="K40" s="26"/>
      <c r="M40" s="26"/>
      <c r="N40" s="26"/>
      <c r="O40" s="26"/>
      <c r="P40" s="26"/>
    </row>
    <row r="41" spans="1:16" hidden="1" x14ac:dyDescent="0.35">
      <c r="C41" s="62"/>
      <c r="D41" s="26"/>
      <c r="E41" s="26"/>
      <c r="F41" s="26"/>
      <c r="G41" s="26"/>
      <c r="H41" s="26"/>
      <c r="I41" s="26"/>
      <c r="J41" s="26"/>
      <c r="K41" s="26"/>
      <c r="M41" s="26"/>
      <c r="N41" s="26"/>
      <c r="O41" s="26"/>
      <c r="P41" s="26"/>
    </row>
    <row r="42" spans="1:16" x14ac:dyDescent="0.35">
      <c r="D42" s="26"/>
      <c r="E42" s="26"/>
      <c r="F42" s="26"/>
      <c r="G42" s="26"/>
      <c r="H42" s="26"/>
      <c r="I42" s="26"/>
      <c r="J42" s="26"/>
      <c r="K42" s="26"/>
      <c r="M42" s="26"/>
      <c r="N42" s="26"/>
      <c r="O42" s="26"/>
      <c r="P42" s="26"/>
    </row>
    <row r="43" spans="1:16" x14ac:dyDescent="0.35">
      <c r="C43" s="5"/>
      <c r="D43" s="38"/>
      <c r="E43" s="38"/>
      <c r="F43" s="38"/>
      <c r="G43" s="38"/>
      <c r="H43" s="38"/>
      <c r="I43" s="38"/>
      <c r="J43" s="38"/>
      <c r="K43" s="38"/>
      <c r="M43" s="26"/>
      <c r="N43" s="26"/>
      <c r="O43" s="26"/>
      <c r="P43" s="26"/>
    </row>
    <row r="44" spans="1:16" x14ac:dyDescent="0.35">
      <c r="C44" s="85"/>
      <c r="G44" s="38"/>
      <c r="K44" s="38"/>
      <c r="M44" s="38"/>
      <c r="N44" s="38"/>
      <c r="O44" s="38"/>
      <c r="P44" s="38"/>
    </row>
    <row r="45" spans="1:16" x14ac:dyDescent="0.35">
      <c r="C45" s="85"/>
      <c r="P45" s="38"/>
    </row>
    <row r="46" spans="1:16" x14ac:dyDescent="0.35">
      <c r="C46" s="85"/>
      <c r="G46" s="38"/>
      <c r="K46" s="38"/>
    </row>
    <row r="47" spans="1:16" x14ac:dyDescent="0.35">
      <c r="L47" s="38"/>
      <c r="M47" s="38"/>
      <c r="O47" s="38"/>
    </row>
  </sheetData>
  <mergeCells count="7">
    <mergeCell ref="M31:P31"/>
    <mergeCell ref="I1:K1"/>
    <mergeCell ref="J3:K3"/>
    <mergeCell ref="I4:K4"/>
    <mergeCell ref="D8:G8"/>
    <mergeCell ref="D9:G9"/>
    <mergeCell ref="H30:K30"/>
  </mergeCells>
  <pageMargins left="0.7" right="0.7" top="0.75" bottom="0.75" header="0.3" footer="0.3"/>
  <pageSetup orientation="portrait" r:id="rId1"/>
  <headerFooter>
    <oddHeader>&amp;RExh. MJR-1T, Rowell WP3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5404-7069-40ED-9EF6-0B219FA361D1}">
  <sheetPr>
    <tabColor theme="9" tint="0.79998168889431442"/>
  </sheetPr>
  <dimension ref="A1:U44"/>
  <sheetViews>
    <sheetView tabSelected="1" zoomScale="90" zoomScaleNormal="90" zoomScaleSheetLayoutView="80" workbookViewId="0">
      <selection sqref="A1:A2"/>
    </sheetView>
  </sheetViews>
  <sheetFormatPr defaultColWidth="12.54296875" defaultRowHeight="15.5" x14ac:dyDescent="0.35"/>
  <cols>
    <col min="1" max="1" width="5.7265625" style="3" customWidth="1"/>
    <col min="2" max="2" width="8.81640625" style="3" bestFit="1" customWidth="1"/>
    <col min="3" max="3" width="35.453125" style="3" customWidth="1"/>
    <col min="4" max="4" width="12.7265625" style="3" customWidth="1"/>
    <col min="5" max="5" width="14.54296875" style="3" customWidth="1"/>
    <col min="6" max="6" width="15.453125" style="3" customWidth="1"/>
    <col min="7" max="7" width="15.7265625" style="3" customWidth="1"/>
    <col min="8" max="8" width="7.7265625" style="3" customWidth="1"/>
    <col min="9" max="9" width="13.81640625" style="3" customWidth="1"/>
    <col min="10" max="10" width="12.54296875" style="3" customWidth="1"/>
    <col min="11" max="11" width="23.54296875" style="3" customWidth="1"/>
    <col min="12" max="15" width="12.54296875" style="3" customWidth="1"/>
    <col min="16" max="16" width="14.81640625" style="3" customWidth="1"/>
    <col min="17" max="17" width="18.54296875" style="3" customWidth="1"/>
    <col min="18" max="18" width="12.54296875" style="3" customWidth="1"/>
    <col min="19" max="19" width="14.7265625" style="3" bestFit="1" customWidth="1"/>
    <col min="20" max="20" width="12.54296875" style="3" customWidth="1"/>
    <col min="21" max="16384" width="12.54296875" style="3"/>
  </cols>
  <sheetData>
    <row r="1" spans="1:21" ht="15.75" customHeight="1" x14ac:dyDescent="0.35">
      <c r="A1" s="123" t="s">
        <v>142</v>
      </c>
      <c r="B1" s="61"/>
      <c r="H1" s="130"/>
      <c r="I1" s="131"/>
    </row>
    <row r="2" spans="1:21" ht="15.75" customHeight="1" x14ac:dyDescent="0.35">
      <c r="A2" s="123" t="s">
        <v>170</v>
      </c>
      <c r="B2" s="61"/>
      <c r="H2" s="64"/>
      <c r="I2" s="65"/>
    </row>
    <row r="3" spans="1:21" x14ac:dyDescent="0.35">
      <c r="A3" s="1" t="s">
        <v>160</v>
      </c>
      <c r="B3" s="61"/>
      <c r="I3" s="6"/>
    </row>
    <row r="4" spans="1:21" x14ac:dyDescent="0.35">
      <c r="A4" s="3" t="s">
        <v>72</v>
      </c>
      <c r="B4" s="61"/>
      <c r="H4" s="130"/>
      <c r="I4" s="131"/>
    </row>
    <row r="5" spans="1:21" x14ac:dyDescent="0.35">
      <c r="B5" s="61"/>
      <c r="H5" s="64"/>
      <c r="I5" s="65"/>
    </row>
    <row r="6" spans="1:21" ht="20.25" customHeight="1" x14ac:dyDescent="0.35">
      <c r="C6" s="43" t="s">
        <v>31</v>
      </c>
      <c r="D6" s="132" t="s">
        <v>73</v>
      </c>
      <c r="E6" s="132"/>
      <c r="F6" s="132"/>
      <c r="G6" s="132"/>
      <c r="H6" s="87"/>
      <c r="I6" s="43"/>
    </row>
    <row r="7" spans="1:21" x14ac:dyDescent="0.35">
      <c r="A7" s="3" t="s">
        <v>31</v>
      </c>
      <c r="D7" s="43" t="s">
        <v>74</v>
      </c>
      <c r="E7" s="43"/>
      <c r="F7" s="43"/>
      <c r="G7" s="43"/>
      <c r="H7" s="43"/>
      <c r="I7" s="43"/>
      <c r="K7" s="2"/>
      <c r="M7" s="16"/>
      <c r="N7" s="16"/>
      <c r="O7" s="16"/>
      <c r="P7" s="16"/>
      <c r="Q7" s="16"/>
      <c r="R7" s="16"/>
      <c r="S7" s="16"/>
      <c r="T7" s="16"/>
      <c r="U7" s="16"/>
    </row>
    <row r="8" spans="1:21" s="2" customFormat="1" x14ac:dyDescent="0.35">
      <c r="D8" s="43" t="s">
        <v>75</v>
      </c>
      <c r="E8" s="43" t="s">
        <v>18</v>
      </c>
      <c r="F8" s="43" t="s">
        <v>75</v>
      </c>
      <c r="K8" s="16"/>
      <c r="L8" s="16"/>
      <c r="M8" s="16"/>
      <c r="N8" s="16"/>
      <c r="O8" s="16"/>
      <c r="P8" s="16"/>
      <c r="Q8" s="3"/>
      <c r="R8" s="16"/>
      <c r="S8" s="3"/>
    </row>
    <row r="9" spans="1:21" s="2" customFormat="1" x14ac:dyDescent="0.35">
      <c r="A9" s="43" t="s">
        <v>46</v>
      </c>
      <c r="B9" s="43"/>
      <c r="D9" s="43" t="s">
        <v>52</v>
      </c>
      <c r="E9" s="43" t="s">
        <v>76</v>
      </c>
      <c r="F9" s="43" t="s">
        <v>52</v>
      </c>
      <c r="G9" s="43" t="s">
        <v>77</v>
      </c>
      <c r="K9" s="16"/>
      <c r="L9" s="16"/>
      <c r="M9" s="16"/>
      <c r="N9" s="16"/>
      <c r="O9" s="16"/>
      <c r="P9" s="16"/>
      <c r="Q9" s="16"/>
      <c r="R9" s="16"/>
      <c r="S9" s="16"/>
    </row>
    <row r="10" spans="1:21" s="44" customFormat="1" ht="18" x14ac:dyDescent="0.45">
      <c r="A10" s="18" t="s">
        <v>47</v>
      </c>
      <c r="B10" s="18"/>
      <c r="C10" s="18" t="s">
        <v>48</v>
      </c>
      <c r="D10" s="18" t="s">
        <v>78</v>
      </c>
      <c r="E10" s="18" t="s">
        <v>56</v>
      </c>
      <c r="F10" s="18" t="s">
        <v>79</v>
      </c>
      <c r="G10" s="18" t="s">
        <v>80</v>
      </c>
      <c r="H10" s="2"/>
      <c r="K10" s="35"/>
      <c r="L10" s="35"/>
      <c r="M10" s="35"/>
      <c r="O10" s="5"/>
      <c r="P10" s="5"/>
      <c r="Q10" s="5"/>
      <c r="R10" s="35"/>
      <c r="S10" s="35"/>
    </row>
    <row r="11" spans="1:21" s="44" customFormat="1" ht="15" x14ac:dyDescent="0.3">
      <c r="A11" s="18"/>
      <c r="B11" s="18"/>
      <c r="C11" s="18"/>
      <c r="E11" s="18"/>
      <c r="G11" s="18"/>
      <c r="H11" s="2"/>
    </row>
    <row r="12" spans="1:21" x14ac:dyDescent="0.35">
      <c r="A12" s="25" t="s">
        <v>61</v>
      </c>
      <c r="B12" s="25" t="s">
        <v>2</v>
      </c>
      <c r="C12" s="31" t="s">
        <v>25</v>
      </c>
      <c r="D12" s="38">
        <f>'Sh 4 DYield'!H11</f>
        <v>2.1714130158197904E-2</v>
      </c>
      <c r="E12" s="26">
        <f>'Sh 5 Growth'!G12</f>
        <v>8.1666666666666665E-2</v>
      </c>
      <c r="F12" s="26">
        <f t="shared" ref="F12:F18" si="0">(1+(E12*0.5))*D12</f>
        <v>2.2600790472990986E-2</v>
      </c>
      <c r="G12" s="26">
        <f>E12+F12</f>
        <v>0.10426745713965765</v>
      </c>
      <c r="H12" s="30"/>
      <c r="I12" s="31"/>
      <c r="K12" s="32"/>
      <c r="L12" s="32"/>
      <c r="M12" s="32"/>
      <c r="N12" s="32"/>
      <c r="O12" s="32"/>
      <c r="P12" s="31"/>
      <c r="Q12" s="26"/>
      <c r="R12" s="26"/>
      <c r="S12" s="26"/>
      <c r="T12" s="16"/>
    </row>
    <row r="13" spans="1:21" x14ac:dyDescent="0.35">
      <c r="A13" s="25">
        <f>+A12+1</f>
        <v>2</v>
      </c>
      <c r="B13" s="25" t="s">
        <v>11</v>
      </c>
      <c r="C13" s="31" t="s">
        <v>81</v>
      </c>
      <c r="D13" s="38">
        <f>'Sh 4 DYield'!H12</f>
        <v>2.1887506867775262E-2</v>
      </c>
      <c r="E13" s="26">
        <f>'Sh 5 Growth'!G13</f>
        <v>0.10666666666666667</v>
      </c>
      <c r="F13" s="26">
        <f t="shared" si="0"/>
        <v>2.3054840567389941E-2</v>
      </c>
      <c r="G13" s="26">
        <f t="shared" ref="G13:G18" si="1">E13+F13</f>
        <v>0.12972150723405662</v>
      </c>
      <c r="H13" s="30"/>
      <c r="I13" s="31"/>
      <c r="K13" s="32"/>
      <c r="L13" s="32"/>
      <c r="M13" s="32"/>
      <c r="N13" s="88"/>
      <c r="O13" s="5"/>
      <c r="P13" s="5"/>
      <c r="Q13" s="89"/>
      <c r="R13" s="32"/>
      <c r="S13" s="38"/>
      <c r="U13" s="38"/>
    </row>
    <row r="14" spans="1:21" x14ac:dyDescent="0.35">
      <c r="A14" s="25">
        <f>+A13+1</f>
        <v>3</v>
      </c>
      <c r="B14" s="25" t="s">
        <v>4</v>
      </c>
      <c r="C14" s="32" t="s">
        <v>26</v>
      </c>
      <c r="D14" s="38">
        <f>'Sh 4 DYield'!H13</f>
        <v>3.1345542993865466E-2</v>
      </c>
      <c r="E14" s="26">
        <f>'Sh 5 Growth'!G14</f>
        <v>9.3333333333333338E-2</v>
      </c>
      <c r="F14" s="26">
        <f t="shared" si="0"/>
        <v>3.2808335000245853E-2</v>
      </c>
      <c r="G14" s="26">
        <f t="shared" si="1"/>
        <v>0.1261416683335792</v>
      </c>
      <c r="H14" s="30"/>
      <c r="I14" s="31"/>
      <c r="J14" s="31"/>
      <c r="K14" s="32"/>
      <c r="L14" s="32"/>
      <c r="M14" s="32"/>
      <c r="N14" s="5"/>
      <c r="O14" s="32"/>
      <c r="P14" s="31"/>
      <c r="Q14" s="38"/>
      <c r="R14" s="31"/>
      <c r="S14" s="38"/>
      <c r="T14" s="31"/>
      <c r="U14" s="38"/>
    </row>
    <row r="15" spans="1:21" x14ac:dyDescent="0.35">
      <c r="A15" s="25">
        <f>+A14+1</f>
        <v>4</v>
      </c>
      <c r="B15" s="25" t="s">
        <v>7</v>
      </c>
      <c r="C15" s="31" t="s">
        <v>34</v>
      </c>
      <c r="D15" s="38">
        <f>'Sh 4 DYield'!H14</f>
        <v>3.1699470519195798E-2</v>
      </c>
      <c r="E15" s="26">
        <f>'Sh 5 Growth'!G15</f>
        <v>0.04</v>
      </c>
      <c r="F15" s="26">
        <f t="shared" si="0"/>
        <v>3.2333459929579714E-2</v>
      </c>
      <c r="G15" s="26">
        <f>E15+F15</f>
        <v>7.2333459929579708E-2</v>
      </c>
      <c r="H15" s="30"/>
      <c r="I15" s="31"/>
      <c r="J15" s="31"/>
      <c r="K15" s="32"/>
      <c r="L15" s="32"/>
      <c r="M15" s="26"/>
      <c r="N15" s="5"/>
      <c r="O15" s="26"/>
      <c r="P15" s="31"/>
      <c r="Q15" s="26"/>
      <c r="R15" s="32"/>
      <c r="S15" s="26"/>
      <c r="U15" s="38"/>
    </row>
    <row r="16" spans="1:21" x14ac:dyDescent="0.35">
      <c r="A16" s="25">
        <f>+A15+1</f>
        <v>5</v>
      </c>
      <c r="B16" s="25" t="s">
        <v>3</v>
      </c>
      <c r="C16" s="31" t="s">
        <v>28</v>
      </c>
      <c r="D16" s="38">
        <f>'Sh 4 DYield'!H15</f>
        <v>2.1388395701981238E-2</v>
      </c>
      <c r="E16" s="26">
        <f>'Sh 5 Growth'!G16</f>
        <v>6.8333333333333343E-2</v>
      </c>
      <c r="F16" s="26">
        <f t="shared" si="0"/>
        <v>2.2119165888465596E-2</v>
      </c>
      <c r="G16" s="26">
        <f>E16+F16</f>
        <v>9.0452499221798932E-2</v>
      </c>
      <c r="H16" s="30"/>
      <c r="I16" s="31"/>
      <c r="K16" s="32"/>
      <c r="L16" s="32"/>
      <c r="M16" s="32"/>
      <c r="N16" s="32"/>
      <c r="O16" s="32"/>
      <c r="P16" s="31"/>
      <c r="Q16" s="32"/>
      <c r="R16" s="32"/>
      <c r="S16" s="32"/>
    </row>
    <row r="17" spans="1:19" x14ac:dyDescent="0.35">
      <c r="A17" s="25">
        <f>+A16+1</f>
        <v>6</v>
      </c>
      <c r="B17" s="25" t="s">
        <v>9</v>
      </c>
      <c r="C17" s="31" t="s">
        <v>10</v>
      </c>
      <c r="D17" s="38">
        <f>'Sh 4 DYield'!H16</f>
        <v>2.153080940678382E-2</v>
      </c>
      <c r="E17" s="26">
        <f>'Sh 5 Growth'!G17</f>
        <v>7.166666666666667E-2</v>
      </c>
      <c r="F17" s="26">
        <f t="shared" si="0"/>
        <v>2.2302330077193573E-2</v>
      </c>
      <c r="G17" s="26">
        <f t="shared" si="1"/>
        <v>9.396899674386025E-2</v>
      </c>
      <c r="H17" s="30"/>
      <c r="I17" s="31"/>
      <c r="K17" s="32"/>
      <c r="L17" s="32"/>
      <c r="M17" s="32"/>
      <c r="N17" s="32"/>
      <c r="O17" s="32"/>
      <c r="P17" s="31"/>
      <c r="Q17" s="32"/>
      <c r="R17" s="32"/>
      <c r="S17" s="32"/>
    </row>
    <row r="18" spans="1:19" x14ac:dyDescent="0.35">
      <c r="A18" s="25">
        <f t="shared" ref="A18:A22" si="2">+A17+1</f>
        <v>7</v>
      </c>
      <c r="B18" s="56" t="s">
        <v>5</v>
      </c>
      <c r="C18" s="105" t="s">
        <v>44</v>
      </c>
      <c r="D18" s="104">
        <f>'Sh 4 DYield'!H17</f>
        <v>2.344200266073761E-2</v>
      </c>
      <c r="E18" s="107">
        <f>'Sh 5 Growth'!G18</f>
        <v>6.8333333333333343E-2</v>
      </c>
      <c r="F18" s="107">
        <f t="shared" si="0"/>
        <v>2.4242937751646147E-2</v>
      </c>
      <c r="G18" s="107">
        <f t="shared" si="1"/>
        <v>9.2576271084979483E-2</v>
      </c>
      <c r="H18" s="30"/>
      <c r="I18" s="31"/>
      <c r="K18" s="32"/>
      <c r="L18" s="32"/>
      <c r="M18" s="32"/>
      <c r="N18" s="32"/>
      <c r="O18" s="32"/>
      <c r="P18" s="31"/>
      <c r="Q18" s="32"/>
      <c r="R18" s="32"/>
      <c r="S18" s="32"/>
    </row>
    <row r="19" spans="1:19" ht="16" thickBot="1" x14ac:dyDescent="0.4">
      <c r="A19" s="25">
        <f t="shared" si="2"/>
        <v>8</v>
      </c>
      <c r="B19" s="25"/>
      <c r="C19" s="109" t="s">
        <v>37</v>
      </c>
      <c r="D19" s="110">
        <f t="shared" ref="D19" si="3">AVERAGE(D12,D13,D14,D15,D16,D17,D18)</f>
        <v>2.4715408329791015E-2</v>
      </c>
      <c r="E19" s="110">
        <f>AVERAGE(E12,E13,E14,E15,E16,E17,E18)</f>
        <v>7.571428571428572E-2</v>
      </c>
      <c r="F19" s="110">
        <f>AVERAGE(F12,F13,F14,F15,F16,F17,F18)</f>
        <v>2.5637408526787399E-2</v>
      </c>
      <c r="G19" s="111">
        <f>AVERAGE(G12,G13,G14,G15,G16,G17,G18)</f>
        <v>0.10135169424107314</v>
      </c>
      <c r="N19" s="31"/>
      <c r="O19" s="31"/>
    </row>
    <row r="20" spans="1:19" ht="16" thickTop="1" x14ac:dyDescent="0.35">
      <c r="A20" s="25">
        <f t="shared" si="2"/>
        <v>9</v>
      </c>
      <c r="B20" s="25"/>
      <c r="C20" s="84"/>
      <c r="D20" s="38"/>
      <c r="E20" s="38"/>
      <c r="F20" s="38"/>
      <c r="G20" s="38"/>
    </row>
    <row r="21" spans="1:19" x14ac:dyDescent="0.35">
      <c r="A21" s="25">
        <f t="shared" si="2"/>
        <v>10</v>
      </c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x14ac:dyDescent="0.35">
      <c r="A22" s="25">
        <f t="shared" si="2"/>
        <v>11</v>
      </c>
      <c r="I22" s="31"/>
      <c r="J22" s="31"/>
      <c r="K22" s="31"/>
    </row>
    <row r="25" spans="1:19" x14ac:dyDescent="0.35">
      <c r="C25" s="31"/>
      <c r="D25" s="32"/>
      <c r="E25" s="32"/>
      <c r="F25" s="32"/>
      <c r="G25" s="32"/>
      <c r="H25" s="42"/>
      <c r="I25" s="42"/>
    </row>
    <row r="26" spans="1:19" x14ac:dyDescent="0.35">
      <c r="C26" s="31"/>
      <c r="D26" s="32"/>
      <c r="E26" s="32"/>
      <c r="F26" s="32"/>
      <c r="G26" s="32"/>
      <c r="H26" s="42"/>
      <c r="I26" s="42"/>
    </row>
    <row r="27" spans="1:19" x14ac:dyDescent="0.35">
      <c r="C27" s="31"/>
      <c r="D27" s="32"/>
      <c r="E27" s="32"/>
      <c r="F27" s="32"/>
      <c r="G27" s="32"/>
      <c r="H27" s="42"/>
      <c r="I27" s="42"/>
    </row>
    <row r="28" spans="1:19" x14ac:dyDescent="0.35">
      <c r="C28" s="31"/>
      <c r="D28" s="32"/>
      <c r="E28" s="32"/>
      <c r="F28" s="26"/>
      <c r="G28" s="32"/>
      <c r="H28" s="42"/>
      <c r="I28" s="42"/>
    </row>
    <row r="29" spans="1:19" x14ac:dyDescent="0.35">
      <c r="C29" s="31"/>
      <c r="D29" s="32"/>
      <c r="E29" s="32"/>
      <c r="F29" s="32"/>
      <c r="G29" s="32"/>
      <c r="H29" s="42"/>
      <c r="I29" s="42"/>
    </row>
    <row r="30" spans="1:19" x14ac:dyDescent="0.35">
      <c r="C30" s="31"/>
      <c r="D30" s="32"/>
      <c r="E30" s="32"/>
      <c r="F30" s="32"/>
      <c r="G30" s="32"/>
      <c r="H30" s="42"/>
      <c r="I30" s="42"/>
    </row>
    <row r="31" spans="1:19" x14ac:dyDescent="0.35">
      <c r="C31" s="31"/>
      <c r="D31" s="32"/>
      <c r="E31" s="32"/>
      <c r="F31" s="32"/>
      <c r="G31" s="32"/>
      <c r="H31" s="42"/>
      <c r="I31" s="42"/>
    </row>
    <row r="32" spans="1:19" x14ac:dyDescent="0.35">
      <c r="C32" s="31"/>
      <c r="D32" s="32"/>
      <c r="E32" s="32"/>
      <c r="F32" s="32"/>
      <c r="G32" s="32"/>
      <c r="H32" s="42"/>
      <c r="I32" s="42"/>
    </row>
    <row r="33" spans="3:9" x14ac:dyDescent="0.35">
      <c r="C33" s="31"/>
      <c r="D33" s="32"/>
      <c r="E33" s="32"/>
      <c r="F33" s="32"/>
      <c r="G33" s="32"/>
      <c r="H33" s="42"/>
      <c r="I33" s="42"/>
    </row>
    <row r="35" spans="3:9" x14ac:dyDescent="0.35">
      <c r="D35" s="31"/>
      <c r="E35" s="31"/>
      <c r="F35" s="31"/>
      <c r="G35" s="31"/>
      <c r="H35" s="31"/>
      <c r="I35" s="31"/>
    </row>
    <row r="36" spans="3:9" x14ac:dyDescent="0.35">
      <c r="H36" s="31"/>
      <c r="I36" s="31"/>
    </row>
    <row r="37" spans="3:9" x14ac:dyDescent="0.35">
      <c r="D37" s="31"/>
      <c r="E37" s="31"/>
      <c r="F37" s="31"/>
      <c r="G37" s="31"/>
      <c r="H37" s="31"/>
      <c r="I37" s="31"/>
    </row>
    <row r="39" spans="3:9" x14ac:dyDescent="0.35">
      <c r="E39" s="31"/>
      <c r="F39" s="31"/>
      <c r="G39" s="31"/>
    </row>
    <row r="40" spans="3:9" x14ac:dyDescent="0.35">
      <c r="E40" s="31"/>
    </row>
    <row r="41" spans="3:9" x14ac:dyDescent="0.35">
      <c r="E41" s="31"/>
      <c r="F41" s="31"/>
      <c r="G41" s="31"/>
    </row>
    <row r="44" spans="3:9" x14ac:dyDescent="0.35">
      <c r="G44" s="31"/>
    </row>
  </sheetData>
  <mergeCells count="3">
    <mergeCell ref="H1:I1"/>
    <mergeCell ref="H4:I4"/>
    <mergeCell ref="D6:G6"/>
  </mergeCells>
  <pageMargins left="0.7" right="0.7" top="0.75" bottom="0.75" header="0.3" footer="0.3"/>
  <pageSetup orientation="portrait" r:id="rId1"/>
  <headerFooter>
    <oddHeader>&amp;RExh. MJR-1T, Rowell WP3</oddHead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8097-EC61-4D05-9D53-390485367C2D}">
  <sheetPr>
    <tabColor theme="7" tint="0.79998168889431442"/>
  </sheetPr>
  <dimension ref="A1:J95"/>
  <sheetViews>
    <sheetView tabSelected="1" zoomScaleNormal="100" workbookViewId="0">
      <pane ySplit="13" topLeftCell="A14" activePane="bottomLeft" state="frozen"/>
      <selection sqref="A1:A2"/>
      <selection pane="bottomLeft" sqref="A1:A2"/>
    </sheetView>
  </sheetViews>
  <sheetFormatPr defaultColWidth="12.54296875" defaultRowHeight="15.5" x14ac:dyDescent="0.35"/>
  <cols>
    <col min="1" max="1" width="5.7265625" style="3" customWidth="1"/>
    <col min="2" max="2" width="10.26953125" style="3" customWidth="1"/>
    <col min="3" max="4" width="12.54296875" style="3" customWidth="1"/>
    <col min="5" max="5" width="16.453125" style="3" customWidth="1"/>
    <col min="6" max="6" width="14.1796875" style="3" bestFit="1" customWidth="1"/>
    <col min="7" max="7" width="14.7265625" style="3" customWidth="1"/>
    <col min="8" max="8" width="12.54296875" style="3" customWidth="1"/>
    <col min="9" max="16384" width="12.54296875" style="3"/>
  </cols>
  <sheetData>
    <row r="1" spans="1:10" s="5" customFormat="1" ht="15.75" customHeight="1" x14ac:dyDescent="0.35">
      <c r="A1" s="123" t="s">
        <v>142</v>
      </c>
      <c r="F1" s="14"/>
      <c r="J1" s="63"/>
    </row>
    <row r="2" spans="1:10" s="5" customFormat="1" ht="15.75" customHeight="1" x14ac:dyDescent="0.35">
      <c r="A2" s="123" t="s">
        <v>170</v>
      </c>
      <c r="F2" s="14"/>
      <c r="J2" s="63"/>
    </row>
    <row r="3" spans="1:10" s="5" customFormat="1" x14ac:dyDescent="0.35">
      <c r="A3" s="1" t="s">
        <v>163</v>
      </c>
      <c r="F3" s="14"/>
      <c r="J3" s="63"/>
    </row>
    <row r="4" spans="1:10" s="5" customFormat="1" x14ac:dyDescent="0.35">
      <c r="A4" s="1" t="s">
        <v>164</v>
      </c>
      <c r="F4" s="14"/>
      <c r="I4" s="130"/>
      <c r="J4" s="131"/>
    </row>
    <row r="5" spans="1:10" s="5" customFormat="1" x14ac:dyDescent="0.35">
      <c r="A5" s="3"/>
      <c r="F5" s="14"/>
      <c r="G5" s="92"/>
      <c r="I5" s="5" t="s">
        <v>31</v>
      </c>
      <c r="J5" s="5" t="s">
        <v>31</v>
      </c>
    </row>
    <row r="6" spans="1:10" s="5" customFormat="1" x14ac:dyDescent="0.35">
      <c r="A6" s="3"/>
      <c r="F6" s="14"/>
      <c r="G6" s="92"/>
    </row>
    <row r="7" spans="1:10" x14ac:dyDescent="0.35">
      <c r="B7" s="134" t="s">
        <v>83</v>
      </c>
      <c r="C7" s="134"/>
      <c r="D7" s="134"/>
      <c r="E7" s="134"/>
      <c r="F7" s="134"/>
      <c r="G7" s="134"/>
    </row>
    <row r="8" spans="1:10" x14ac:dyDescent="0.35">
      <c r="B8" s="134" t="s">
        <v>84</v>
      </c>
      <c r="C8" s="134"/>
      <c r="D8" s="134"/>
      <c r="E8" s="134"/>
      <c r="F8" s="134"/>
      <c r="G8" s="134"/>
    </row>
    <row r="9" spans="1:10" x14ac:dyDescent="0.35">
      <c r="B9" s="134" t="s">
        <v>85</v>
      </c>
      <c r="C9" s="134"/>
      <c r="D9" s="134"/>
      <c r="E9" s="134"/>
      <c r="F9" s="134"/>
      <c r="G9" s="134"/>
    </row>
    <row r="10" spans="1:10" x14ac:dyDescent="0.35">
      <c r="B10" s="43"/>
      <c r="C10" s="43"/>
      <c r="D10" s="43"/>
      <c r="E10" s="43"/>
      <c r="F10" s="43"/>
      <c r="G10" s="43"/>
    </row>
    <row r="11" spans="1:10" x14ac:dyDescent="0.35">
      <c r="B11" s="43"/>
      <c r="C11" s="43" t="s">
        <v>86</v>
      </c>
      <c r="D11" s="43" t="s">
        <v>87</v>
      </c>
      <c r="E11" s="43" t="s">
        <v>88</v>
      </c>
      <c r="F11" s="43" t="s">
        <v>89</v>
      </c>
      <c r="G11" s="43" t="s">
        <v>90</v>
      </c>
    </row>
    <row r="12" spans="1:10" x14ac:dyDescent="0.35">
      <c r="A12" s="43" t="s">
        <v>46</v>
      </c>
      <c r="B12" s="2"/>
      <c r="C12" s="2"/>
      <c r="D12" s="2"/>
      <c r="E12" s="2"/>
      <c r="F12" s="43" t="s">
        <v>91</v>
      </c>
      <c r="G12" s="43" t="s">
        <v>92</v>
      </c>
    </row>
    <row r="13" spans="1:10" x14ac:dyDescent="0.35">
      <c r="A13" s="18" t="s">
        <v>93</v>
      </c>
      <c r="B13" s="18" t="s">
        <v>94</v>
      </c>
      <c r="C13" s="18" t="s">
        <v>59</v>
      </c>
      <c r="D13" s="18" t="s">
        <v>60</v>
      </c>
      <c r="E13" s="18" t="s">
        <v>1</v>
      </c>
      <c r="F13" s="18" t="s">
        <v>95</v>
      </c>
      <c r="G13" s="18" t="s">
        <v>96</v>
      </c>
    </row>
    <row r="14" spans="1:10" x14ac:dyDescent="0.35">
      <c r="A14" s="25">
        <v>1</v>
      </c>
      <c r="B14" s="86">
        <v>1977</v>
      </c>
      <c r="C14" s="93"/>
      <c r="D14" s="93">
        <v>79.069999999999993</v>
      </c>
      <c r="E14" s="16"/>
    </row>
    <row r="15" spans="1:10" x14ac:dyDescent="0.35">
      <c r="A15" s="25">
        <f t="shared" ref="A15:A57" si="0">1+A14</f>
        <v>2</v>
      </c>
      <c r="B15" s="86">
        <f>+B14+1</f>
        <v>1978</v>
      </c>
      <c r="C15" s="16">
        <v>12.33</v>
      </c>
      <c r="D15" s="16">
        <v>85.35</v>
      </c>
      <c r="E15" s="38">
        <f t="shared" ref="E15:E60" si="1">C15/(AVERAGE(D14:D15))</f>
        <v>0.14998175404452013</v>
      </c>
      <c r="F15" s="38">
        <v>7.9000000000000001E-2</v>
      </c>
      <c r="G15" s="38">
        <f t="shared" ref="G15:G58" si="2">+E15-F15</f>
        <v>7.0981754044520132E-2</v>
      </c>
    </row>
    <row r="16" spans="1:10" x14ac:dyDescent="0.35">
      <c r="A16" s="25">
        <f t="shared" si="0"/>
        <v>3</v>
      </c>
      <c r="B16" s="86">
        <f t="shared" ref="B16:B33" si="3">B15+1</f>
        <v>1979</v>
      </c>
      <c r="C16" s="16">
        <v>14.86</v>
      </c>
      <c r="D16" s="16">
        <v>94.27</v>
      </c>
      <c r="E16" s="38">
        <f t="shared" si="1"/>
        <v>0.16546041643469545</v>
      </c>
      <c r="F16" s="38">
        <v>8.8599999999999998E-2</v>
      </c>
      <c r="G16" s="38">
        <f t="shared" si="2"/>
        <v>7.6860416434695447E-2</v>
      </c>
    </row>
    <row r="17" spans="1:7" x14ac:dyDescent="0.35">
      <c r="A17" s="25">
        <f t="shared" si="0"/>
        <v>4</v>
      </c>
      <c r="B17" s="86">
        <f t="shared" si="3"/>
        <v>1980</v>
      </c>
      <c r="C17" s="16">
        <v>14.82</v>
      </c>
      <c r="D17" s="16">
        <v>102.48</v>
      </c>
      <c r="E17" s="38">
        <f t="shared" si="1"/>
        <v>0.15064803049555273</v>
      </c>
      <c r="F17" s="38">
        <v>9.9699999999999997E-2</v>
      </c>
      <c r="G17" s="38">
        <f t="shared" si="2"/>
        <v>5.0948030495552729E-2</v>
      </c>
    </row>
    <row r="18" spans="1:7" x14ac:dyDescent="0.35">
      <c r="A18" s="25">
        <f t="shared" si="0"/>
        <v>5</v>
      </c>
      <c r="B18" s="86">
        <f t="shared" si="3"/>
        <v>1981</v>
      </c>
      <c r="C18" s="16">
        <v>15.36</v>
      </c>
      <c r="D18" s="16">
        <v>109.43</v>
      </c>
      <c r="E18" s="38">
        <f t="shared" si="1"/>
        <v>0.14496720305790192</v>
      </c>
      <c r="F18" s="38">
        <v>0.11550000000000001</v>
      </c>
      <c r="G18" s="38">
        <f t="shared" si="2"/>
        <v>2.9467203057901917E-2</v>
      </c>
    </row>
    <row r="19" spans="1:7" x14ac:dyDescent="0.35">
      <c r="A19" s="25">
        <f t="shared" si="0"/>
        <v>6</v>
      </c>
      <c r="B19" s="86">
        <f t="shared" si="3"/>
        <v>1982</v>
      </c>
      <c r="C19" s="16">
        <v>12.64</v>
      </c>
      <c r="D19" s="16">
        <v>112.46</v>
      </c>
      <c r="E19" s="38">
        <f t="shared" si="1"/>
        <v>0.11393032583712652</v>
      </c>
      <c r="F19" s="38">
        <v>0.13500000000000001</v>
      </c>
      <c r="G19" s="38">
        <f t="shared" si="2"/>
        <v>-2.1069674162873489E-2</v>
      </c>
    </row>
    <row r="20" spans="1:7" x14ac:dyDescent="0.35">
      <c r="A20" s="25">
        <f t="shared" si="0"/>
        <v>7</v>
      </c>
      <c r="B20" s="86">
        <f t="shared" si="3"/>
        <v>1983</v>
      </c>
      <c r="C20" s="16">
        <v>14.03</v>
      </c>
      <c r="D20" s="16">
        <v>116.93</v>
      </c>
      <c r="E20" s="38">
        <f t="shared" si="1"/>
        <v>0.12232442565063865</v>
      </c>
      <c r="F20" s="38">
        <v>0.1038</v>
      </c>
      <c r="G20" s="38">
        <f t="shared" si="2"/>
        <v>1.8524425650638651E-2</v>
      </c>
    </row>
    <row r="21" spans="1:7" x14ac:dyDescent="0.35">
      <c r="A21" s="25">
        <f t="shared" si="0"/>
        <v>8</v>
      </c>
      <c r="B21" s="86">
        <f t="shared" si="3"/>
        <v>1984</v>
      </c>
      <c r="C21" s="16">
        <v>16.64</v>
      </c>
      <c r="D21" s="16">
        <v>122.47</v>
      </c>
      <c r="E21" s="38">
        <f>C21/(AVERAGE(D20:D21))</f>
        <v>0.13901420217209692</v>
      </c>
      <c r="F21" s="38">
        <v>0.1174</v>
      </c>
      <c r="G21" s="38">
        <f>+E21-F21</f>
        <v>2.1614202172096919E-2</v>
      </c>
    </row>
    <row r="22" spans="1:7" x14ac:dyDescent="0.35">
      <c r="A22" s="25">
        <f t="shared" si="0"/>
        <v>9</v>
      </c>
      <c r="B22" s="86">
        <f t="shared" si="3"/>
        <v>1985</v>
      </c>
      <c r="C22" s="16">
        <v>14.61</v>
      </c>
      <c r="D22" s="16">
        <v>125.2</v>
      </c>
      <c r="E22" s="38">
        <f t="shared" si="1"/>
        <v>0.11797956958856541</v>
      </c>
      <c r="F22" s="38">
        <v>0.1125</v>
      </c>
      <c r="G22" s="38">
        <f t="shared" si="2"/>
        <v>5.4795695885654083E-3</v>
      </c>
    </row>
    <row r="23" spans="1:7" x14ac:dyDescent="0.35">
      <c r="A23" s="25">
        <f t="shared" si="0"/>
        <v>10</v>
      </c>
      <c r="B23" s="86">
        <f t="shared" si="3"/>
        <v>1986</v>
      </c>
      <c r="C23" s="16">
        <v>14.48</v>
      </c>
      <c r="D23" s="16">
        <v>126.82</v>
      </c>
      <c r="E23" s="38">
        <f t="shared" si="1"/>
        <v>0.11491151495913024</v>
      </c>
      <c r="F23" s="38">
        <v>8.9800000000000005E-2</v>
      </c>
      <c r="G23" s="38">
        <f t="shared" si="2"/>
        <v>2.5111514959130235E-2</v>
      </c>
    </row>
    <row r="24" spans="1:7" x14ac:dyDescent="0.35">
      <c r="A24" s="25">
        <f t="shared" si="0"/>
        <v>11</v>
      </c>
      <c r="B24" s="86">
        <f t="shared" si="3"/>
        <v>1987</v>
      </c>
      <c r="C24" s="16">
        <v>17.5</v>
      </c>
      <c r="D24" s="16">
        <v>134.07</v>
      </c>
      <c r="E24" s="38">
        <f t="shared" si="1"/>
        <v>0.13415615776764153</v>
      </c>
      <c r="F24" s="38">
        <v>7.9200000000000007E-2</v>
      </c>
      <c r="G24" s="38">
        <f t="shared" si="2"/>
        <v>5.4956157767641525E-2</v>
      </c>
    </row>
    <row r="25" spans="1:7" x14ac:dyDescent="0.35">
      <c r="A25" s="25">
        <f t="shared" si="0"/>
        <v>12</v>
      </c>
      <c r="B25" s="86">
        <f t="shared" si="3"/>
        <v>1988</v>
      </c>
      <c r="C25" s="16">
        <v>23.75</v>
      </c>
      <c r="D25" s="16">
        <v>141.32</v>
      </c>
      <c r="E25" s="38">
        <f t="shared" si="1"/>
        <v>0.17248266095355677</v>
      </c>
      <c r="F25" s="38">
        <v>8.9700000000000002E-2</v>
      </c>
      <c r="G25" s="38">
        <f t="shared" si="2"/>
        <v>8.2782660953556769E-2</v>
      </c>
    </row>
    <row r="26" spans="1:7" x14ac:dyDescent="0.35">
      <c r="A26" s="25">
        <f t="shared" si="0"/>
        <v>13</v>
      </c>
      <c r="B26" s="86">
        <f t="shared" si="3"/>
        <v>1989</v>
      </c>
      <c r="C26" s="16">
        <v>22.87</v>
      </c>
      <c r="D26" s="16">
        <v>147.26</v>
      </c>
      <c r="E26" s="38">
        <f>C26/(AVERAGE(D25:D26))</f>
        <v>0.15850024256705247</v>
      </c>
      <c r="F26" s="38">
        <v>8.8099999999999998E-2</v>
      </c>
      <c r="G26" s="38">
        <f t="shared" si="2"/>
        <v>7.0400242567052476E-2</v>
      </c>
    </row>
    <row r="27" spans="1:7" x14ac:dyDescent="0.35">
      <c r="A27" s="25">
        <f t="shared" si="0"/>
        <v>14</v>
      </c>
      <c r="B27" s="86">
        <f t="shared" si="3"/>
        <v>1990</v>
      </c>
      <c r="C27" s="16">
        <v>21.73</v>
      </c>
      <c r="D27" s="16">
        <v>153.01</v>
      </c>
      <c r="E27" s="38">
        <f t="shared" si="1"/>
        <v>0.14473640390315384</v>
      </c>
      <c r="F27" s="38">
        <v>8.1900000000000001E-2</v>
      </c>
      <c r="G27" s="38">
        <f t="shared" si="2"/>
        <v>6.2836403903153842E-2</v>
      </c>
    </row>
    <row r="28" spans="1:7" x14ac:dyDescent="0.35">
      <c r="A28" s="25">
        <f t="shared" si="0"/>
        <v>15</v>
      </c>
      <c r="B28" s="86">
        <f t="shared" si="3"/>
        <v>1991</v>
      </c>
      <c r="C28" s="16">
        <v>16.29</v>
      </c>
      <c r="D28" s="16">
        <v>158.85</v>
      </c>
      <c r="E28" s="38">
        <f t="shared" si="1"/>
        <v>0.10446995446674789</v>
      </c>
      <c r="F28" s="38">
        <v>8.2199999999999995E-2</v>
      </c>
      <c r="G28" s="38">
        <f t="shared" si="2"/>
        <v>2.2269954466747899E-2</v>
      </c>
    </row>
    <row r="29" spans="1:7" x14ac:dyDescent="0.35">
      <c r="A29" s="25">
        <f t="shared" si="0"/>
        <v>16</v>
      </c>
      <c r="B29" s="86">
        <f t="shared" si="3"/>
        <v>1992</v>
      </c>
      <c r="C29" s="16">
        <v>18.86</v>
      </c>
      <c r="D29" s="16">
        <v>149.74</v>
      </c>
      <c r="E29" s="38">
        <f t="shared" si="1"/>
        <v>0.12223338410188274</v>
      </c>
      <c r="F29" s="38">
        <v>7.2599999999999998E-2</v>
      </c>
      <c r="G29" s="38">
        <f t="shared" si="2"/>
        <v>4.9633384101882741E-2</v>
      </c>
    </row>
    <row r="30" spans="1:7" x14ac:dyDescent="0.35">
      <c r="A30" s="25">
        <f t="shared" si="0"/>
        <v>17</v>
      </c>
      <c r="B30" s="86">
        <f t="shared" si="3"/>
        <v>1993</v>
      </c>
      <c r="C30" s="16">
        <v>21.89</v>
      </c>
      <c r="D30" s="16">
        <v>180.88</v>
      </c>
      <c r="E30" s="38">
        <f t="shared" si="1"/>
        <v>0.13241788155586473</v>
      </c>
      <c r="F30" s="38">
        <v>7.17E-2</v>
      </c>
      <c r="G30" s="38">
        <f t="shared" si="2"/>
        <v>6.0717881555864731E-2</v>
      </c>
    </row>
    <row r="31" spans="1:7" x14ac:dyDescent="0.35">
      <c r="A31" s="25">
        <f t="shared" si="0"/>
        <v>18</v>
      </c>
      <c r="B31" s="86">
        <f t="shared" si="3"/>
        <v>1994</v>
      </c>
      <c r="C31" s="16">
        <v>30.6</v>
      </c>
      <c r="D31" s="16">
        <v>193.06</v>
      </c>
      <c r="E31" s="38">
        <f t="shared" si="1"/>
        <v>0.16366261967160509</v>
      </c>
      <c r="F31" s="38">
        <v>6.59E-2</v>
      </c>
      <c r="G31" s="38">
        <f t="shared" si="2"/>
        <v>9.7762619671605086E-2</v>
      </c>
    </row>
    <row r="32" spans="1:7" x14ac:dyDescent="0.35">
      <c r="A32" s="25">
        <f t="shared" si="0"/>
        <v>19</v>
      </c>
      <c r="B32" s="86">
        <f t="shared" si="3"/>
        <v>1995</v>
      </c>
      <c r="C32" s="16">
        <v>33.96</v>
      </c>
      <c r="D32" s="16">
        <v>216.51</v>
      </c>
      <c r="E32" s="38">
        <f t="shared" si="1"/>
        <v>0.16583245843201408</v>
      </c>
      <c r="F32" s="38">
        <v>7.5999999999999998E-2</v>
      </c>
      <c r="G32" s="38">
        <f t="shared" si="2"/>
        <v>8.9832458432014081E-2</v>
      </c>
    </row>
    <row r="33" spans="1:8" x14ac:dyDescent="0.35">
      <c r="A33" s="25">
        <f t="shared" si="0"/>
        <v>20</v>
      </c>
      <c r="B33" s="86">
        <f t="shared" si="3"/>
        <v>1996</v>
      </c>
      <c r="C33" s="16">
        <v>38.729999999999997</v>
      </c>
      <c r="D33" s="16">
        <v>237.08</v>
      </c>
      <c r="E33" s="38">
        <f t="shared" si="1"/>
        <v>0.17077096055909519</v>
      </c>
      <c r="F33" s="38">
        <v>6.1800000000000001E-2</v>
      </c>
      <c r="G33" s="38">
        <f t="shared" si="2"/>
        <v>0.10897096055909519</v>
      </c>
    </row>
    <row r="34" spans="1:8" x14ac:dyDescent="0.35">
      <c r="A34" s="25">
        <f t="shared" si="0"/>
        <v>21</v>
      </c>
      <c r="B34" s="86">
        <v>1997</v>
      </c>
      <c r="C34" s="16">
        <v>39.72</v>
      </c>
      <c r="D34" s="16">
        <v>249.52</v>
      </c>
      <c r="E34" s="38">
        <f t="shared" si="1"/>
        <v>0.16325524044389642</v>
      </c>
      <c r="F34" s="38">
        <v>6.6400000000000001E-2</v>
      </c>
      <c r="G34" s="38">
        <f t="shared" si="2"/>
        <v>9.6855240443896415E-2</v>
      </c>
    </row>
    <row r="35" spans="1:8" x14ac:dyDescent="0.35">
      <c r="A35" s="25">
        <f t="shared" si="0"/>
        <v>22</v>
      </c>
      <c r="B35" s="86">
        <v>1998</v>
      </c>
      <c r="C35" s="16">
        <v>37.71</v>
      </c>
      <c r="D35" s="16">
        <v>266.39999999999998</v>
      </c>
      <c r="E35" s="38">
        <f t="shared" si="1"/>
        <v>0.1461854551093193</v>
      </c>
      <c r="F35" s="38">
        <v>5.8299999999999998E-2</v>
      </c>
      <c r="G35" s="38">
        <f t="shared" si="2"/>
        <v>8.7885455109319305E-2</v>
      </c>
    </row>
    <row r="36" spans="1:8" x14ac:dyDescent="0.35">
      <c r="A36" s="25">
        <f t="shared" si="0"/>
        <v>23</v>
      </c>
      <c r="B36" s="86">
        <v>1999</v>
      </c>
      <c r="C36" s="16">
        <v>48.17</v>
      </c>
      <c r="D36" s="16">
        <v>290.68</v>
      </c>
      <c r="E36" s="38">
        <f t="shared" si="1"/>
        <v>0.1729374596108279</v>
      </c>
      <c r="F36" s="38">
        <f>0.0557</f>
        <v>5.57E-2</v>
      </c>
      <c r="G36" s="38">
        <f t="shared" si="2"/>
        <v>0.1172374596108279</v>
      </c>
    </row>
    <row r="37" spans="1:8" x14ac:dyDescent="0.35">
      <c r="A37" s="25">
        <f t="shared" si="0"/>
        <v>24</v>
      </c>
      <c r="B37" s="86">
        <v>2000</v>
      </c>
      <c r="C37" s="16">
        <v>50</v>
      </c>
      <c r="D37" s="16">
        <v>325.8</v>
      </c>
      <c r="E37" s="38">
        <f t="shared" si="1"/>
        <v>0.16221126395016869</v>
      </c>
      <c r="F37" s="38">
        <f>0.065</f>
        <v>6.5000000000000002E-2</v>
      </c>
      <c r="G37" s="38">
        <f t="shared" si="2"/>
        <v>9.7211263950168686E-2</v>
      </c>
    </row>
    <row r="38" spans="1:8" x14ac:dyDescent="0.35">
      <c r="A38" s="25">
        <f t="shared" si="0"/>
        <v>25</v>
      </c>
      <c r="B38" s="86">
        <f>+B37+1</f>
        <v>2001</v>
      </c>
      <c r="C38" s="93">
        <v>24.7</v>
      </c>
      <c r="D38" s="93">
        <v>338.37</v>
      </c>
      <c r="E38" s="38">
        <f t="shared" si="1"/>
        <v>7.4378547660990404E-2</v>
      </c>
      <c r="F38" s="38">
        <f>0.0553</f>
        <v>5.5300000000000002E-2</v>
      </c>
      <c r="G38" s="38">
        <f t="shared" si="2"/>
        <v>1.9078547660990403E-2</v>
      </c>
    </row>
    <row r="39" spans="1:8" x14ac:dyDescent="0.35">
      <c r="A39" s="25">
        <f t="shared" si="0"/>
        <v>26</v>
      </c>
      <c r="B39" s="86">
        <f>+B38+1</f>
        <v>2002</v>
      </c>
      <c r="C39" s="93">
        <v>27.59</v>
      </c>
      <c r="D39" s="93">
        <v>321.72000000000003</v>
      </c>
      <c r="E39" s="38">
        <f t="shared" si="1"/>
        <v>8.3594661334060502E-2</v>
      </c>
      <c r="F39" s="38">
        <f>0.0559</f>
        <v>5.5899999999999998E-2</v>
      </c>
      <c r="G39" s="38">
        <f t="shared" si="2"/>
        <v>2.7694661334060504E-2</v>
      </c>
    </row>
    <row r="40" spans="1:8" x14ac:dyDescent="0.35">
      <c r="A40" s="25">
        <f t="shared" si="0"/>
        <v>27</v>
      </c>
      <c r="B40" s="86">
        <f>+B39+1</f>
        <v>2003</v>
      </c>
      <c r="C40" s="93">
        <v>48.73</v>
      </c>
      <c r="D40" s="93">
        <v>367.17</v>
      </c>
      <c r="E40" s="38">
        <f t="shared" si="1"/>
        <v>0.14147396536457196</v>
      </c>
      <c r="F40" s="38">
        <f>0.048</f>
        <v>4.8000000000000001E-2</v>
      </c>
      <c r="G40" s="38">
        <f t="shared" si="2"/>
        <v>9.3473965364571962E-2</v>
      </c>
    </row>
    <row r="41" spans="1:8" x14ac:dyDescent="0.35">
      <c r="A41" s="25">
        <f t="shared" si="0"/>
        <v>28</v>
      </c>
      <c r="B41" s="86">
        <f>+B40+1</f>
        <v>2004</v>
      </c>
      <c r="C41" s="93">
        <v>58.55</v>
      </c>
      <c r="D41" s="93">
        <v>414.75</v>
      </c>
      <c r="E41" s="38">
        <f t="shared" si="1"/>
        <v>0.14975956619603026</v>
      </c>
      <c r="F41" s="38">
        <f>0.0502</f>
        <v>5.0200000000000002E-2</v>
      </c>
      <c r="G41" s="38">
        <f t="shared" si="2"/>
        <v>9.9559566196030264E-2</v>
      </c>
    </row>
    <row r="42" spans="1:8" x14ac:dyDescent="0.35">
      <c r="A42" s="25">
        <f t="shared" si="0"/>
        <v>29</v>
      </c>
      <c r="B42" s="86">
        <v>2005</v>
      </c>
      <c r="C42" s="93">
        <v>69.930000000000007</v>
      </c>
      <c r="D42" s="93">
        <v>453.06</v>
      </c>
      <c r="E42" s="38">
        <f t="shared" si="1"/>
        <v>0.16116431016005811</v>
      </c>
      <c r="F42" s="38">
        <f>0.0469</f>
        <v>4.6899999999999997E-2</v>
      </c>
      <c r="G42" s="38">
        <f t="shared" si="2"/>
        <v>0.11426431016005811</v>
      </c>
    </row>
    <row r="43" spans="1:8" x14ac:dyDescent="0.35">
      <c r="A43" s="25">
        <f t="shared" si="0"/>
        <v>30</v>
      </c>
      <c r="B43" s="86">
        <v>2006</v>
      </c>
      <c r="C43" s="93">
        <v>81.510000000000005</v>
      </c>
      <c r="D43" s="93">
        <v>504.39</v>
      </c>
      <c r="E43" s="38">
        <f t="shared" si="1"/>
        <v>0.17026476578411406</v>
      </c>
      <c r="F43" s="38">
        <f>0.0468</f>
        <v>4.6800000000000001E-2</v>
      </c>
      <c r="G43" s="38">
        <f t="shared" si="2"/>
        <v>0.12346476578411406</v>
      </c>
    </row>
    <row r="44" spans="1:8" x14ac:dyDescent="0.35">
      <c r="A44" s="25">
        <f t="shared" si="0"/>
        <v>31</v>
      </c>
      <c r="B44" s="86">
        <v>2007</v>
      </c>
      <c r="C44" s="93">
        <v>66.180000000000007</v>
      </c>
      <c r="D44" s="93">
        <v>529.59</v>
      </c>
      <c r="E44" s="38">
        <f t="shared" si="1"/>
        <v>0.12801021296350026</v>
      </c>
      <c r="F44" s="38">
        <f>0.0486</f>
        <v>4.8599999999999997E-2</v>
      </c>
      <c r="G44" s="38">
        <f t="shared" si="2"/>
        <v>7.941021296350026E-2</v>
      </c>
    </row>
    <row r="45" spans="1:8" x14ac:dyDescent="0.35">
      <c r="A45" s="25">
        <f t="shared" si="0"/>
        <v>32</v>
      </c>
      <c r="B45" s="75">
        <v>2008</v>
      </c>
      <c r="C45" s="93">
        <v>14.88</v>
      </c>
      <c r="D45" s="93">
        <v>451.37</v>
      </c>
      <c r="E45" s="38">
        <f t="shared" si="1"/>
        <v>3.0337628445604305E-2</v>
      </c>
      <c r="F45" s="38">
        <f>0.0445</f>
        <v>4.4499999999999998E-2</v>
      </c>
      <c r="G45" s="38">
        <f t="shared" si="2"/>
        <v>-1.4162371554395693E-2</v>
      </c>
      <c r="H45" s="38"/>
    </row>
    <row r="46" spans="1:8" x14ac:dyDescent="0.35">
      <c r="A46" s="25">
        <f t="shared" si="0"/>
        <v>33</v>
      </c>
      <c r="B46" s="75">
        <v>2009</v>
      </c>
      <c r="C46" s="93">
        <v>50.97</v>
      </c>
      <c r="D46" s="93">
        <v>513.58000000000004</v>
      </c>
      <c r="E46" s="38">
        <f t="shared" si="1"/>
        <v>0.10564277941862273</v>
      </c>
      <c r="F46" s="38">
        <f>0.0347</f>
        <v>3.4700000000000002E-2</v>
      </c>
      <c r="G46" s="38">
        <f>+E46-F46</f>
        <v>7.0942779418622731E-2</v>
      </c>
      <c r="H46" s="38"/>
    </row>
    <row r="47" spans="1:8" x14ac:dyDescent="0.35">
      <c r="A47" s="25">
        <f t="shared" si="0"/>
        <v>34</v>
      </c>
      <c r="B47" s="75">
        <v>2010</v>
      </c>
      <c r="C47" s="93">
        <v>77.349999999999994</v>
      </c>
      <c r="D47" s="93">
        <v>579.14</v>
      </c>
      <c r="E47" s="38">
        <f t="shared" si="1"/>
        <v>0.14157332161944505</v>
      </c>
      <c r="F47" s="38">
        <f>0.0425</f>
        <v>4.2500000000000003E-2</v>
      </c>
      <c r="G47" s="38">
        <f t="shared" si="2"/>
        <v>9.9073321619445043E-2</v>
      </c>
      <c r="H47" s="38"/>
    </row>
    <row r="48" spans="1:8" x14ac:dyDescent="0.35">
      <c r="A48" s="25">
        <f t="shared" si="0"/>
        <v>35</v>
      </c>
      <c r="B48" s="75">
        <v>2011</v>
      </c>
      <c r="C48" s="93">
        <v>86.95</v>
      </c>
      <c r="D48" s="93">
        <v>613.14</v>
      </c>
      <c r="E48" s="38">
        <f t="shared" si="1"/>
        <v>0.14585500050323749</v>
      </c>
      <c r="F48" s="38">
        <f>0.0382</f>
        <v>3.8199999999999998E-2</v>
      </c>
      <c r="G48" s="38">
        <f t="shared" si="2"/>
        <v>0.10765500050323749</v>
      </c>
      <c r="H48" s="38"/>
    </row>
    <row r="49" spans="1:8" x14ac:dyDescent="0.35">
      <c r="A49" s="25">
        <f t="shared" si="0"/>
        <v>36</v>
      </c>
      <c r="B49" s="75">
        <v>2012</v>
      </c>
      <c r="C49" s="93">
        <v>86.51</v>
      </c>
      <c r="D49" s="93">
        <v>666.97</v>
      </c>
      <c r="E49" s="38">
        <f t="shared" si="1"/>
        <v>0.13516025966518502</v>
      </c>
      <c r="F49" s="38">
        <f>0.0246</f>
        <v>2.46E-2</v>
      </c>
      <c r="G49" s="38">
        <f t="shared" si="2"/>
        <v>0.11056025966518503</v>
      </c>
      <c r="H49" s="38"/>
    </row>
    <row r="50" spans="1:8" x14ac:dyDescent="0.35">
      <c r="A50" s="25">
        <f t="shared" si="0"/>
        <v>37</v>
      </c>
      <c r="B50" s="75">
        <v>2013</v>
      </c>
      <c r="C50" s="16">
        <v>100.2</v>
      </c>
      <c r="D50" s="16">
        <v>715.84</v>
      </c>
      <c r="E50" s="38">
        <f t="shared" si="1"/>
        <v>0.14492229590471578</v>
      </c>
      <c r="F50" s="38">
        <v>2.8799999999999999E-2</v>
      </c>
      <c r="G50" s="38">
        <f t="shared" si="2"/>
        <v>0.11612229590471579</v>
      </c>
    </row>
    <row r="51" spans="1:8" ht="15" customHeight="1" x14ac:dyDescent="0.35">
      <c r="A51" s="25">
        <f t="shared" si="0"/>
        <v>38</v>
      </c>
      <c r="B51" s="25">
        <v>2014</v>
      </c>
      <c r="C51" s="16">
        <v>102.31</v>
      </c>
      <c r="D51" s="16">
        <v>726.96</v>
      </c>
      <c r="E51" s="38">
        <f t="shared" si="1"/>
        <v>0.14182145827557527</v>
      </c>
      <c r="F51" s="38">
        <v>3.4099999999999998E-2</v>
      </c>
      <c r="G51" s="38">
        <f t="shared" si="2"/>
        <v>0.10772145827557528</v>
      </c>
      <c r="H51" s="3" t="s">
        <v>31</v>
      </c>
    </row>
    <row r="52" spans="1:8" ht="15" customHeight="1" x14ac:dyDescent="0.35">
      <c r="A52" s="25">
        <f t="shared" si="0"/>
        <v>39</v>
      </c>
      <c r="B52" s="75">
        <v>2015</v>
      </c>
      <c r="C52" s="16">
        <v>86.53</v>
      </c>
      <c r="D52" s="16">
        <v>740.29</v>
      </c>
      <c r="E52" s="38">
        <f t="shared" si="1"/>
        <v>0.11794854319304822</v>
      </c>
      <c r="F52" s="38">
        <v>2.5499999999999998E-2</v>
      </c>
      <c r="G52" s="38">
        <f t="shared" si="2"/>
        <v>9.2448543193048224E-2</v>
      </c>
    </row>
    <row r="53" spans="1:8" x14ac:dyDescent="0.35">
      <c r="A53" s="25">
        <f t="shared" si="0"/>
        <v>40</v>
      </c>
      <c r="B53" s="75">
        <v>2016</v>
      </c>
      <c r="C53" s="16">
        <v>94.55</v>
      </c>
      <c r="D53" s="16">
        <v>768.98</v>
      </c>
      <c r="E53" s="38">
        <f t="shared" si="1"/>
        <v>0.12529235988259224</v>
      </c>
      <c r="F53" s="38">
        <v>2.3E-2</v>
      </c>
      <c r="G53" s="38">
        <f t="shared" si="2"/>
        <v>0.10229235988259225</v>
      </c>
      <c r="H53" s="3" t="s">
        <v>31</v>
      </c>
    </row>
    <row r="54" spans="1:8" x14ac:dyDescent="0.35">
      <c r="A54" s="25">
        <f t="shared" si="0"/>
        <v>41</v>
      </c>
      <c r="B54" s="75">
        <v>2017</v>
      </c>
      <c r="C54" s="16">
        <v>109.88</v>
      </c>
      <c r="D54" s="16">
        <v>826.52</v>
      </c>
      <c r="E54" s="38">
        <f t="shared" si="1"/>
        <v>0.13773738639924787</v>
      </c>
      <c r="F54" s="38">
        <v>2.6519600000000001E-2</v>
      </c>
      <c r="G54" s="38">
        <f t="shared" si="2"/>
        <v>0.11121778639924787</v>
      </c>
    </row>
    <row r="55" spans="1:8" x14ac:dyDescent="0.35">
      <c r="A55" s="25">
        <f t="shared" si="0"/>
        <v>42</v>
      </c>
      <c r="B55" s="75">
        <v>2018</v>
      </c>
      <c r="C55" s="16">
        <v>132.38999999999999</v>
      </c>
      <c r="D55" s="16">
        <v>851.62</v>
      </c>
      <c r="E55" s="38">
        <f t="shared" si="1"/>
        <v>0.15778182988308484</v>
      </c>
      <c r="F55" s="38">
        <v>3.1115662650602401E-2</v>
      </c>
      <c r="G55" s="38">
        <f t="shared" si="2"/>
        <v>0.12666616723248245</v>
      </c>
    </row>
    <row r="56" spans="1:8" x14ac:dyDescent="0.35">
      <c r="A56" s="25">
        <f t="shared" si="0"/>
        <v>43</v>
      </c>
      <c r="B56" s="75">
        <v>2019</v>
      </c>
      <c r="C56" s="16">
        <v>139.47</v>
      </c>
      <c r="D56" s="16">
        <v>914.49</v>
      </c>
      <c r="E56" s="38">
        <f t="shared" si="1"/>
        <v>0.15794033214239203</v>
      </c>
      <c r="F56" s="38">
        <v>2.4013199999999998E-2</v>
      </c>
      <c r="G56" s="38">
        <f t="shared" si="2"/>
        <v>0.13392713214239205</v>
      </c>
    </row>
    <row r="57" spans="1:8" x14ac:dyDescent="0.35">
      <c r="A57" s="25">
        <f t="shared" si="0"/>
        <v>44</v>
      </c>
      <c r="B57" s="75">
        <v>2020</v>
      </c>
      <c r="C57" s="16">
        <f>11.88+17.83+32.98+31.44</f>
        <v>94.13</v>
      </c>
      <c r="D57" s="16">
        <v>927.52</v>
      </c>
      <c r="E57" s="38">
        <f t="shared" si="1"/>
        <v>0.10220357109896254</v>
      </c>
      <c r="F57" s="38">
        <f>'[17]2020 daily-treasury-rates'!$E$6</f>
        <v>1.3482071713147414E-2</v>
      </c>
      <c r="G57" s="38">
        <f>+E57-F57</f>
        <v>8.8721499385815125E-2</v>
      </c>
    </row>
    <row r="58" spans="1:8" x14ac:dyDescent="0.35">
      <c r="A58" s="25">
        <v>45</v>
      </c>
      <c r="B58" s="75">
        <v>2021</v>
      </c>
      <c r="C58" s="16">
        <f>45.92+48.39+49.59+53.94</f>
        <v>197.84</v>
      </c>
      <c r="D58" s="16">
        <v>1008.02</v>
      </c>
      <c r="E58" s="38">
        <f t="shared" si="1"/>
        <v>0.20442873823325791</v>
      </c>
      <c r="F58" s="38">
        <f>'[17]2021 daily-treasury-rates'!$E$4</f>
        <v>1.9822310756972127E-2</v>
      </c>
      <c r="G58" s="38">
        <f t="shared" si="2"/>
        <v>0.18460642747628578</v>
      </c>
    </row>
    <row r="59" spans="1:8" x14ac:dyDescent="0.35">
      <c r="A59" s="25">
        <v>45</v>
      </c>
      <c r="B59" s="75">
        <v>2022</v>
      </c>
      <c r="C59" s="16">
        <f>39.61+44.41+42.74+45.99</f>
        <v>172.75</v>
      </c>
      <c r="D59" s="16">
        <v>1024.56</v>
      </c>
      <c r="E59" s="38">
        <f t="shared" si="1"/>
        <v>0.16998100935756527</v>
      </c>
      <c r="F59" s="38">
        <f>'[17]2022 daily-treasury-rates'!$E$4</f>
        <v>3.2987550200803198E-2</v>
      </c>
      <c r="G59" s="38">
        <f>+E59-F59</f>
        <v>0.13699345915676209</v>
      </c>
    </row>
    <row r="60" spans="1:8" x14ac:dyDescent="0.35">
      <c r="A60" s="25" t="s">
        <v>137</v>
      </c>
      <c r="B60" s="75">
        <v>2023</v>
      </c>
      <c r="C60" s="16">
        <f>48.41+48.58+47.65+47.79</f>
        <v>192.42999999999998</v>
      </c>
      <c r="D60" s="16">
        <v>1106.21</v>
      </c>
      <c r="E60" s="38">
        <f t="shared" si="1"/>
        <v>0.18062015140066734</v>
      </c>
      <c r="F60" s="38">
        <f>'[18]2023 daily-treasury-rates'!$E$4</f>
        <v>4.2571600000000022E-2</v>
      </c>
      <c r="G60" s="38">
        <f>+E60-F60</f>
        <v>0.13804855140066732</v>
      </c>
    </row>
    <row r="61" spans="1:8" ht="16" thickBot="1" x14ac:dyDescent="0.4">
      <c r="B61" s="94" t="s">
        <v>21</v>
      </c>
      <c r="C61" s="94"/>
      <c r="D61" s="94"/>
      <c r="E61" s="70">
        <f>AVERAGE(E18:E60)</f>
        <v>0.13895051347080964</v>
      </c>
      <c r="F61" s="70">
        <f>AVERAGE(F18:F60)</f>
        <v>5.8758418495849445E-2</v>
      </c>
      <c r="G61" s="70">
        <f>AVERAGE(G18:G60)</f>
        <v>8.0192094974960257E-2</v>
      </c>
    </row>
    <row r="62" spans="1:8" ht="16" thickTop="1" x14ac:dyDescent="0.35"/>
    <row r="63" spans="1:8" x14ac:dyDescent="0.35">
      <c r="A63" s="85" t="s">
        <v>97</v>
      </c>
      <c r="B63" s="3" t="s">
        <v>98</v>
      </c>
      <c r="G63" s="3" t="s">
        <v>31</v>
      </c>
    </row>
    <row r="64" spans="1:8" x14ac:dyDescent="0.35">
      <c r="A64" s="85" t="s">
        <v>99</v>
      </c>
      <c r="B64" s="3" t="s">
        <v>100</v>
      </c>
    </row>
    <row r="65" spans="1:7" x14ac:dyDescent="0.35">
      <c r="A65" s="85" t="s">
        <v>101</v>
      </c>
      <c r="B65" s="3" t="s">
        <v>102</v>
      </c>
    </row>
    <row r="66" spans="1:7" x14ac:dyDescent="0.35">
      <c r="A66" s="85" t="s">
        <v>103</v>
      </c>
      <c r="B66" s="3" t="s">
        <v>104</v>
      </c>
      <c r="F66" s="3" t="s">
        <v>31</v>
      </c>
    </row>
    <row r="67" spans="1:7" x14ac:dyDescent="0.35">
      <c r="A67" s="85" t="s">
        <v>105</v>
      </c>
      <c r="B67" s="3" t="s">
        <v>106</v>
      </c>
    </row>
    <row r="68" spans="1:7" x14ac:dyDescent="0.35">
      <c r="A68" s="95"/>
      <c r="B68" s="3" t="s">
        <v>107</v>
      </c>
    </row>
    <row r="69" spans="1:7" x14ac:dyDescent="0.35">
      <c r="A69" s="95" t="s">
        <v>31</v>
      </c>
      <c r="B69" s="3" t="s">
        <v>108</v>
      </c>
    </row>
    <row r="70" spans="1:7" x14ac:dyDescent="0.35">
      <c r="A70" s="95"/>
      <c r="B70" s="119" t="s">
        <v>109</v>
      </c>
      <c r="F70" s="3" t="s">
        <v>138</v>
      </c>
    </row>
    <row r="71" spans="1:7" x14ac:dyDescent="0.35">
      <c r="A71" s="95"/>
      <c r="B71" s="96" t="s">
        <v>110</v>
      </c>
    </row>
    <row r="72" spans="1:7" x14ac:dyDescent="0.35">
      <c r="A72" s="95"/>
      <c r="B72" s="3" t="s">
        <v>165</v>
      </c>
    </row>
    <row r="73" spans="1:7" x14ac:dyDescent="0.35">
      <c r="A73" s="95"/>
      <c r="B73" s="96" t="s">
        <v>111</v>
      </c>
    </row>
    <row r="74" spans="1:7" x14ac:dyDescent="0.35">
      <c r="A74" s="95"/>
    </row>
    <row r="75" spans="1:7" x14ac:dyDescent="0.35">
      <c r="A75" s="95"/>
    </row>
    <row r="78" spans="1:7" x14ac:dyDescent="0.35">
      <c r="B78" s="97"/>
      <c r="E78" s="98"/>
      <c r="F78" s="98"/>
      <c r="G78" s="30"/>
    </row>
    <row r="79" spans="1:7" x14ac:dyDescent="0.35">
      <c r="B79" s="97"/>
    </row>
    <row r="80" spans="1:7" x14ac:dyDescent="0.35">
      <c r="B80" s="97"/>
    </row>
    <row r="81" spans="2:7" x14ac:dyDescent="0.35">
      <c r="B81" s="97"/>
      <c r="G81" s="30"/>
    </row>
    <row r="82" spans="2:7" x14ac:dyDescent="0.35">
      <c r="B82" s="97"/>
    </row>
    <row r="83" spans="2:7" x14ac:dyDescent="0.35">
      <c r="B83" s="97"/>
      <c r="G83" s="30"/>
    </row>
    <row r="84" spans="2:7" x14ac:dyDescent="0.35">
      <c r="B84" s="97"/>
      <c r="G84" s="99"/>
    </row>
    <row r="85" spans="2:7" x14ac:dyDescent="0.35">
      <c r="B85" s="97"/>
    </row>
    <row r="86" spans="2:7" x14ac:dyDescent="0.35">
      <c r="B86" s="97"/>
      <c r="G86" s="30"/>
    </row>
    <row r="87" spans="2:7" x14ac:dyDescent="0.35">
      <c r="B87" s="97"/>
    </row>
    <row r="88" spans="2:7" x14ac:dyDescent="0.35">
      <c r="B88" s="97"/>
    </row>
    <row r="89" spans="2:7" x14ac:dyDescent="0.35">
      <c r="B89" s="97"/>
    </row>
    <row r="90" spans="2:7" x14ac:dyDescent="0.35">
      <c r="B90" s="97"/>
    </row>
    <row r="91" spans="2:7" x14ac:dyDescent="0.35">
      <c r="B91" s="97"/>
    </row>
    <row r="92" spans="2:7" x14ac:dyDescent="0.35">
      <c r="B92" s="97"/>
    </row>
    <row r="93" spans="2:7" x14ac:dyDescent="0.35">
      <c r="B93" s="97"/>
    </row>
    <row r="94" spans="2:7" x14ac:dyDescent="0.35">
      <c r="B94" s="97"/>
    </row>
    <row r="95" spans="2:7" x14ac:dyDescent="0.35">
      <c r="B95" s="97"/>
    </row>
  </sheetData>
  <mergeCells count="4">
    <mergeCell ref="I4:J4"/>
    <mergeCell ref="B7:G7"/>
    <mergeCell ref="B8:G8"/>
    <mergeCell ref="B9:G9"/>
  </mergeCells>
  <hyperlinks>
    <hyperlink ref="B70" r:id="rId1" xr:uid="{74BB2B17-1D6D-4AE7-9F7F-C84BE018A9A3}"/>
    <hyperlink ref="B73" r:id="rId2" xr:uid="{2FF24275-BBE6-44F8-B4BE-14B727F63387}"/>
    <hyperlink ref="B71" r:id="rId3" xr:uid="{CD56EE04-1A25-458A-8D49-B8FD26C5F591}"/>
  </hyperlinks>
  <pageMargins left="0.7" right="0.7" top="0.75" bottom="0.75" header="0.3" footer="0.3"/>
  <pageSetup orientation="portrait" r:id="rId4"/>
  <headerFooter>
    <oddHeader>&amp;RExh. MJR-1T, Rowell WP3</oddHeader>
  </headerFooter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F47C-1B03-4BB8-B0A0-D02FC0C408C0}">
  <sheetPr>
    <tabColor theme="7" tint="0.79998168889431442"/>
  </sheetPr>
  <dimension ref="A1:K53"/>
  <sheetViews>
    <sheetView tabSelected="1" zoomScaleNormal="100" zoomScaleSheetLayoutView="70" workbookViewId="0">
      <selection sqref="A1:A2"/>
    </sheetView>
  </sheetViews>
  <sheetFormatPr defaultColWidth="8.81640625" defaultRowHeight="15.5" x14ac:dyDescent="0.35"/>
  <cols>
    <col min="1" max="1" width="6.7265625" style="5" customWidth="1"/>
    <col min="2" max="2" width="8.81640625" style="5" bestFit="1" customWidth="1"/>
    <col min="3" max="3" width="35.54296875" style="5" customWidth="1"/>
    <col min="4" max="4" width="13.54296875" style="5" customWidth="1"/>
    <col min="5" max="5" width="12.1796875" style="5" customWidth="1"/>
    <col min="6" max="6" width="3.81640625" style="14" customWidth="1"/>
    <col min="7" max="7" width="15.54296875" style="5" customWidth="1"/>
    <col min="8" max="8" width="6.1796875" style="5" customWidth="1"/>
    <col min="9" max="9" width="15" style="5" customWidth="1"/>
    <col min="10" max="10" width="19" style="5" customWidth="1"/>
    <col min="11" max="11" width="5.81640625" style="5" customWidth="1"/>
    <col min="12" max="16384" width="8.81640625" style="5"/>
  </cols>
  <sheetData>
    <row r="1" spans="1:11" ht="15.75" customHeight="1" x14ac:dyDescent="0.35">
      <c r="A1" s="123" t="s">
        <v>142</v>
      </c>
      <c r="J1" s="63"/>
    </row>
    <row r="2" spans="1:11" ht="15.75" customHeight="1" x14ac:dyDescent="0.35">
      <c r="A2" s="123" t="s">
        <v>170</v>
      </c>
      <c r="J2" s="63"/>
    </row>
    <row r="3" spans="1:11" x14ac:dyDescent="0.35">
      <c r="A3" s="1" t="s">
        <v>171</v>
      </c>
      <c r="J3" s="63"/>
    </row>
    <row r="4" spans="1:11" x14ac:dyDescent="0.35">
      <c r="A4" s="3" t="s">
        <v>112</v>
      </c>
      <c r="I4" s="130"/>
      <c r="J4" s="131"/>
    </row>
    <row r="5" spans="1:11" x14ac:dyDescent="0.35">
      <c r="G5" s="92"/>
      <c r="I5" s="5" t="s">
        <v>31</v>
      </c>
      <c r="J5" s="5" t="s">
        <v>31</v>
      </c>
    </row>
    <row r="6" spans="1:11" ht="15.75" customHeight="1" x14ac:dyDescent="0.35">
      <c r="C6" s="100" t="s">
        <v>113</v>
      </c>
      <c r="D6" s="79"/>
      <c r="E6" s="79"/>
      <c r="F6" s="79"/>
      <c r="G6" s="79"/>
      <c r="H6" s="79"/>
      <c r="I6" s="79"/>
    </row>
    <row r="8" spans="1:11" s="61" customFormat="1" x14ac:dyDescent="0.35">
      <c r="A8" s="14" t="s">
        <v>114</v>
      </c>
      <c r="D8" s="14" t="s">
        <v>115</v>
      </c>
      <c r="E8" s="14" t="s">
        <v>31</v>
      </c>
      <c r="F8" s="14"/>
      <c r="G8" s="14" t="s">
        <v>116</v>
      </c>
      <c r="I8" s="14" t="s">
        <v>117</v>
      </c>
      <c r="J8" s="14" t="s">
        <v>118</v>
      </c>
      <c r="K8" s="5"/>
    </row>
    <row r="9" spans="1:11" s="61" customFormat="1" x14ac:dyDescent="0.35">
      <c r="A9" s="22" t="s">
        <v>47</v>
      </c>
      <c r="C9" s="22" t="s">
        <v>48</v>
      </c>
      <c r="D9" s="22" t="s">
        <v>119</v>
      </c>
      <c r="E9" s="22" t="s">
        <v>120</v>
      </c>
      <c r="F9" s="22"/>
      <c r="G9" s="22" t="s">
        <v>121</v>
      </c>
      <c r="H9" s="61" t="s">
        <v>31</v>
      </c>
      <c r="I9" s="22" t="s">
        <v>82</v>
      </c>
      <c r="J9" s="22" t="s">
        <v>80</v>
      </c>
      <c r="K9" s="5"/>
    </row>
    <row r="10" spans="1:11" x14ac:dyDescent="0.35">
      <c r="A10" s="75">
        <v>1</v>
      </c>
      <c r="B10" s="25" t="s">
        <v>2</v>
      </c>
      <c r="C10" s="32" t="s">
        <v>25</v>
      </c>
      <c r="D10" s="38">
        <f>D23</f>
        <v>4.2733333333333338E-2</v>
      </c>
      <c r="E10" s="101">
        <v>0.7</v>
      </c>
      <c r="F10" s="71" t="s">
        <v>122</v>
      </c>
      <c r="G10" s="38">
        <f>'Sh 7 RP'!G61</f>
        <v>8.0192094974960257E-2</v>
      </c>
      <c r="H10" s="14" t="s">
        <v>123</v>
      </c>
      <c r="I10" s="38">
        <f t="shared" ref="I10:I16" si="0">+G10*E10</f>
        <v>5.6134466482472174E-2</v>
      </c>
      <c r="J10" s="38">
        <f t="shared" ref="J10:J16" si="1">+I10+D10</f>
        <v>9.8867799815805513E-2</v>
      </c>
    </row>
    <row r="11" spans="1:11" x14ac:dyDescent="0.35">
      <c r="A11" s="75">
        <f>1+A10</f>
        <v>2</v>
      </c>
      <c r="B11" s="25" t="s">
        <v>11</v>
      </c>
      <c r="C11" s="32" t="s">
        <v>42</v>
      </c>
      <c r="D11" s="38">
        <f t="shared" ref="D11:D15" si="2">+D10</f>
        <v>4.2733333333333338E-2</v>
      </c>
      <c r="E11" s="101">
        <v>0.95</v>
      </c>
      <c r="F11" s="71" t="s">
        <v>122</v>
      </c>
      <c r="G11" s="38">
        <f t="shared" ref="G11:G15" si="3">+G10</f>
        <v>8.0192094974960257E-2</v>
      </c>
      <c r="H11" s="14" t="s">
        <v>123</v>
      </c>
      <c r="I11" s="38">
        <f t="shared" si="0"/>
        <v>7.6182490226212235E-2</v>
      </c>
      <c r="J11" s="38">
        <f t="shared" si="1"/>
        <v>0.11891582355954558</v>
      </c>
    </row>
    <row r="12" spans="1:11" x14ac:dyDescent="0.35">
      <c r="A12" s="75">
        <f>1+A11</f>
        <v>3</v>
      </c>
      <c r="B12" s="25" t="s">
        <v>4</v>
      </c>
      <c r="C12" s="32" t="s">
        <v>26</v>
      </c>
      <c r="D12" s="38">
        <f t="shared" si="2"/>
        <v>4.2733333333333338E-2</v>
      </c>
      <c r="E12" s="101">
        <v>1</v>
      </c>
      <c r="F12" s="71" t="s">
        <v>122</v>
      </c>
      <c r="G12" s="38">
        <f t="shared" si="3"/>
        <v>8.0192094974960257E-2</v>
      </c>
      <c r="H12" s="14" t="s">
        <v>123</v>
      </c>
      <c r="I12" s="38">
        <f t="shared" si="0"/>
        <v>8.0192094974960257E-2</v>
      </c>
      <c r="J12" s="38">
        <f t="shared" si="1"/>
        <v>0.12292542830829359</v>
      </c>
    </row>
    <row r="13" spans="1:11" x14ac:dyDescent="0.35">
      <c r="A13" s="75">
        <f>1+A12</f>
        <v>4</v>
      </c>
      <c r="B13" s="25" t="s">
        <v>7</v>
      </c>
      <c r="C13" s="32" t="s">
        <v>8</v>
      </c>
      <c r="D13" s="38">
        <f t="shared" si="2"/>
        <v>4.2733333333333338E-2</v>
      </c>
      <c r="E13" s="101">
        <v>0.75</v>
      </c>
      <c r="F13" s="71" t="s">
        <v>122</v>
      </c>
      <c r="G13" s="38">
        <f>+G12</f>
        <v>8.0192094974960257E-2</v>
      </c>
      <c r="H13" s="14" t="s">
        <v>123</v>
      </c>
      <c r="I13" s="38">
        <f>+G13*E13</f>
        <v>6.0144071231220189E-2</v>
      </c>
      <c r="J13" s="38">
        <f t="shared" si="1"/>
        <v>0.10287740456455352</v>
      </c>
    </row>
    <row r="14" spans="1:11" x14ac:dyDescent="0.35">
      <c r="A14" s="75">
        <f>1+A13</f>
        <v>5</v>
      </c>
      <c r="B14" s="25" t="s">
        <v>3</v>
      </c>
      <c r="C14" s="32" t="s">
        <v>43</v>
      </c>
      <c r="D14" s="38">
        <f t="shared" si="2"/>
        <v>4.2733333333333338E-2</v>
      </c>
      <c r="E14" s="101">
        <v>0.75</v>
      </c>
      <c r="F14" s="71" t="s">
        <v>122</v>
      </c>
      <c r="G14" s="38">
        <f t="shared" si="3"/>
        <v>8.0192094974960257E-2</v>
      </c>
      <c r="H14" s="14" t="s">
        <v>123</v>
      </c>
      <c r="I14" s="38">
        <f t="shared" si="0"/>
        <v>6.0144071231220189E-2</v>
      </c>
      <c r="J14" s="38">
        <f t="shared" si="1"/>
        <v>0.10287740456455352</v>
      </c>
    </row>
    <row r="15" spans="1:11" x14ac:dyDescent="0.35">
      <c r="A15" s="75">
        <f>1+A14</f>
        <v>6</v>
      </c>
      <c r="B15" s="25" t="s">
        <v>9</v>
      </c>
      <c r="C15" s="3" t="s">
        <v>10</v>
      </c>
      <c r="D15" s="38">
        <f t="shared" si="2"/>
        <v>4.2733333333333338E-2</v>
      </c>
      <c r="E15" s="101">
        <v>0.75</v>
      </c>
      <c r="F15" s="71" t="s">
        <v>122</v>
      </c>
      <c r="G15" s="38">
        <f t="shared" si="3"/>
        <v>8.0192094974960257E-2</v>
      </c>
      <c r="H15" s="14" t="s">
        <v>123</v>
      </c>
      <c r="I15" s="38">
        <f t="shared" si="0"/>
        <v>6.0144071231220189E-2</v>
      </c>
      <c r="J15" s="38">
        <f t="shared" si="1"/>
        <v>0.10287740456455352</v>
      </c>
    </row>
    <row r="16" spans="1:11" x14ac:dyDescent="0.35">
      <c r="A16" s="75">
        <v>7</v>
      </c>
      <c r="B16" s="56" t="s">
        <v>5</v>
      </c>
      <c r="C16" s="11" t="str">
        <f>'[19]DCF 3-1'!C17</f>
        <v>York Water Company</v>
      </c>
      <c r="D16" s="104">
        <f>D15</f>
        <v>4.2733333333333338E-2</v>
      </c>
      <c r="E16" s="112">
        <v>0.8214285714285714</v>
      </c>
      <c r="F16" s="113" t="s">
        <v>122</v>
      </c>
      <c r="G16" s="104">
        <f>G15</f>
        <v>8.0192094974960257E-2</v>
      </c>
      <c r="H16" s="114" t="s">
        <v>123</v>
      </c>
      <c r="I16" s="104">
        <f t="shared" si="0"/>
        <v>6.5872078015145927E-2</v>
      </c>
      <c r="J16" s="104">
        <f t="shared" si="1"/>
        <v>0.10860541134847926</v>
      </c>
    </row>
    <row r="17" spans="1:10" ht="16" thickBot="1" x14ac:dyDescent="0.4">
      <c r="A17" s="75">
        <v>8</v>
      </c>
      <c r="C17" s="5" t="s">
        <v>21</v>
      </c>
      <c r="D17" s="31" t="s">
        <v>71</v>
      </c>
      <c r="E17" s="101"/>
      <c r="F17" s="71"/>
      <c r="G17" s="31" t="s">
        <v>31</v>
      </c>
      <c r="I17" s="38" t="s">
        <v>31</v>
      </c>
      <c r="J17" s="70">
        <f>AVERAGE(J10,J11,J12,J13,J14,J15,J16)</f>
        <v>0.10827809667511205</v>
      </c>
    </row>
    <row r="18" spans="1:10" ht="16" thickTop="1" x14ac:dyDescent="0.35">
      <c r="A18" s="75">
        <f>A17+1</f>
        <v>9</v>
      </c>
      <c r="D18" s="31"/>
      <c r="E18" s="101"/>
      <c r="F18" s="71"/>
      <c r="G18" s="31"/>
      <c r="I18" s="38"/>
      <c r="J18" s="71"/>
    </row>
    <row r="19" spans="1:10" x14ac:dyDescent="0.35">
      <c r="A19" s="75">
        <f t="shared" ref="A19:A26" si="4">A18+1</f>
        <v>10</v>
      </c>
      <c r="C19" s="136" t="s">
        <v>124</v>
      </c>
      <c r="D19" s="136"/>
      <c r="E19" s="62"/>
      <c r="G19" s="31"/>
    </row>
    <row r="20" spans="1:10" x14ac:dyDescent="0.35">
      <c r="A20" s="75">
        <f t="shared" si="4"/>
        <v>11</v>
      </c>
      <c r="C20" s="102">
        <v>45553</v>
      </c>
      <c r="D20" s="38">
        <v>4.0800000000000003E-2</v>
      </c>
      <c r="G20" s="75"/>
      <c r="J20" s="30"/>
    </row>
    <row r="21" spans="1:10" x14ac:dyDescent="0.35">
      <c r="A21" s="75">
        <f t="shared" si="4"/>
        <v>12</v>
      </c>
      <c r="C21" s="102">
        <v>45523</v>
      </c>
      <c r="D21" s="38">
        <v>4.2299999999999997E-2</v>
      </c>
      <c r="E21" s="103"/>
      <c r="G21" s="75"/>
      <c r="J21" s="30"/>
    </row>
    <row r="22" spans="1:10" x14ac:dyDescent="0.35">
      <c r="A22" s="75">
        <f t="shared" si="4"/>
        <v>13</v>
      </c>
      <c r="C22" s="115">
        <v>45491</v>
      </c>
      <c r="D22" s="104">
        <v>4.5100000000000001E-2</v>
      </c>
      <c r="G22" s="75"/>
      <c r="J22" s="30"/>
    </row>
    <row r="23" spans="1:10" x14ac:dyDescent="0.35">
      <c r="A23" s="75">
        <f t="shared" si="4"/>
        <v>14</v>
      </c>
      <c r="C23" s="75" t="s">
        <v>21</v>
      </c>
      <c r="D23" s="38">
        <f>AVERAGE(D20:D22)</f>
        <v>4.2733333333333338E-2</v>
      </c>
      <c r="G23" s="31"/>
      <c r="J23" s="30"/>
    </row>
    <row r="24" spans="1:10" x14ac:dyDescent="0.35">
      <c r="A24" s="75">
        <f t="shared" si="4"/>
        <v>15</v>
      </c>
      <c r="B24" s="5" t="s">
        <v>125</v>
      </c>
      <c r="G24" s="31"/>
    </row>
    <row r="25" spans="1:10" x14ac:dyDescent="0.35">
      <c r="A25" s="75">
        <f t="shared" si="4"/>
        <v>16</v>
      </c>
      <c r="B25" s="121" t="s">
        <v>139</v>
      </c>
      <c r="C25" s="120"/>
      <c r="D25" s="120"/>
      <c r="E25" s="120"/>
      <c r="F25" s="120"/>
      <c r="G25" s="120"/>
      <c r="H25" s="120"/>
      <c r="I25" s="120"/>
      <c r="J25" s="120"/>
    </row>
    <row r="26" spans="1:10" x14ac:dyDescent="0.35">
      <c r="A26" s="75">
        <f t="shared" si="4"/>
        <v>17</v>
      </c>
      <c r="B26" s="5" t="s">
        <v>141</v>
      </c>
    </row>
    <row r="27" spans="1:10" ht="12.75" customHeight="1" x14ac:dyDescent="0.35">
      <c r="A27" s="75"/>
      <c r="C27" s="118"/>
    </row>
    <row r="28" spans="1:10" ht="25" customHeight="1" x14ac:dyDescent="0.35">
      <c r="A28" s="75"/>
      <c r="G28" s="3"/>
    </row>
    <row r="29" spans="1:10" ht="25" customHeight="1" x14ac:dyDescent="0.35">
      <c r="A29" s="75"/>
    </row>
    <row r="30" spans="1:10" ht="25" customHeight="1" x14ac:dyDescent="0.35">
      <c r="A30" s="75" t="s">
        <v>31</v>
      </c>
    </row>
    <row r="31" spans="1:10" ht="25" customHeight="1" x14ac:dyDescent="0.35">
      <c r="A31" s="5" t="s">
        <v>31</v>
      </c>
    </row>
    <row r="32" spans="1:10" ht="25" customHeight="1" x14ac:dyDescent="0.35"/>
    <row r="33" spans="9:11" ht="25" customHeight="1" x14ac:dyDescent="0.35"/>
    <row r="34" spans="9:11" ht="25" customHeight="1" x14ac:dyDescent="0.35"/>
    <row r="35" spans="9:11" ht="25" customHeight="1" x14ac:dyDescent="0.35"/>
    <row r="36" spans="9:11" ht="25" customHeight="1" x14ac:dyDescent="0.35"/>
    <row r="37" spans="9:11" ht="24.75" customHeight="1" x14ac:dyDescent="0.35"/>
    <row r="39" spans="9:11" x14ac:dyDescent="0.35">
      <c r="K39" s="31"/>
    </row>
    <row r="40" spans="9:11" x14ac:dyDescent="0.35">
      <c r="K40" s="31"/>
    </row>
    <row r="41" spans="9:11" ht="24" customHeight="1" x14ac:dyDescent="0.35">
      <c r="K41" s="99"/>
    </row>
    <row r="42" spans="9:11" ht="24" customHeight="1" x14ac:dyDescent="0.35"/>
    <row r="43" spans="9:11" ht="24.75" customHeight="1" x14ac:dyDescent="0.35"/>
    <row r="44" spans="9:11" ht="24" customHeight="1" x14ac:dyDescent="0.35">
      <c r="I44" s="31"/>
    </row>
    <row r="45" spans="9:11" ht="24.75" customHeight="1" x14ac:dyDescent="0.35"/>
    <row r="46" spans="9:11" ht="24.75" customHeight="1" x14ac:dyDescent="0.35"/>
    <row r="47" spans="9:11" ht="24.75" customHeight="1" x14ac:dyDescent="0.35"/>
    <row r="48" spans="9:11" ht="24.75" customHeight="1" x14ac:dyDescent="0.35"/>
    <row r="49" ht="24.75" customHeight="1" x14ac:dyDescent="0.35"/>
    <row r="50" ht="24.75" customHeight="1" x14ac:dyDescent="0.35"/>
    <row r="51" ht="24.75" customHeight="1" x14ac:dyDescent="0.35"/>
    <row r="52" ht="24.75" customHeight="1" x14ac:dyDescent="0.35"/>
    <row r="53" ht="24.75" customHeight="1" x14ac:dyDescent="0.35"/>
  </sheetData>
  <mergeCells count="2">
    <mergeCell ref="I4:J4"/>
    <mergeCell ref="C19:D19"/>
  </mergeCells>
  <hyperlinks>
    <hyperlink ref="B25" r:id="rId1" xr:uid="{A440FE08-A607-4184-A49F-1759205D2FC7}"/>
  </hyperlinks>
  <pageMargins left="0.7" right="0.7" top="0.75" bottom="0.75" header="0.3" footer="0.3"/>
  <pageSetup orientation="portrait" r:id="rId2"/>
  <headerFooter>
    <oddHeader>&amp;RExh. MJR-1T, Rowell WP3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2024-09-26T07:00:00+00:00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DFDB36-A33E-4441-AAA6-E3DE0C11C61F}"/>
</file>

<file path=customXml/itemProps2.xml><?xml version="1.0" encoding="utf-8"?>
<ds:datastoreItem xmlns:ds="http://schemas.openxmlformats.org/officeDocument/2006/customXml" ds:itemID="{97D2A35C-5A21-4645-A37D-055B15D9F102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95189ed-a59d-41a1-91ce-b22fe42d8f40"/>
  </ds:schemaRefs>
</ds:datastoreItem>
</file>

<file path=customXml/itemProps3.xml><?xml version="1.0" encoding="utf-8"?>
<ds:datastoreItem xmlns:ds="http://schemas.openxmlformats.org/officeDocument/2006/customXml" ds:itemID="{E3AF5209-5F36-4DBA-8A96-E13F0BEF8E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AB26D8-C281-4DEB-BBEC-D7081B65FC45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Sh 1 WACC</vt:lpstr>
      <vt:lpstr>Sh 2 ROE</vt:lpstr>
      <vt:lpstr>Sh 3 COMPE</vt:lpstr>
      <vt:lpstr>Sh 4 DYield</vt:lpstr>
      <vt:lpstr>Sh 5 Growth</vt:lpstr>
      <vt:lpstr>Sh 6 DCF</vt:lpstr>
      <vt:lpstr>Sh 7 RP</vt:lpstr>
      <vt:lpstr>Sh 8 CAPM</vt:lpstr>
      <vt:lpstr>'Sh 1 WACC'!Print_Area</vt:lpstr>
      <vt:lpstr>'Sh 2 ROE'!Print_Area</vt:lpstr>
      <vt:lpstr>'Sh 3 COMPE'!Print_Area</vt:lpstr>
      <vt:lpstr>'Sh 4 DYield'!Print_Area</vt:lpstr>
      <vt:lpstr>'Sh 5 Growth'!Print_Area</vt:lpstr>
      <vt:lpstr>'Sh 6 DCF'!Print_Area</vt:lpstr>
      <vt:lpstr>'Sh 7 RP'!Print_Area</vt:lpstr>
      <vt:lpstr>'Sh 8 CAPM'!Print_Area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Rowell</dc:creator>
  <cp:lastModifiedBy>Funk, Fay</cp:lastModifiedBy>
  <cp:lastPrinted>2024-09-25T15:11:44Z</cp:lastPrinted>
  <dcterms:created xsi:type="dcterms:W3CDTF">2023-06-17T00:36:17Z</dcterms:created>
  <dcterms:modified xsi:type="dcterms:W3CDTF">2024-09-26T16:22:25Z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08a0816d-b913-4b67-b65a-8cdfa7d78e37</vt:lpwstr>
  </property>
  <property fmtid="{D5CDD505-2E9C-101B-9397-08002B2CF9AE}" pid="3" name="ContentTypeId">
    <vt:lpwstr>0x0101006E56B4D1795A2E4DB2F0B01679ED314A001420C93DAD87B847B66E4E507AAAD9DF</vt:lpwstr>
  </property>
  <property fmtid="{D5CDD505-2E9C-101B-9397-08002B2CF9AE}" pid="4" name="_docset_NoMedatataSyncRequired">
    <vt:lpwstr>False</vt:lpwstr>
  </property>
</Properties>
</file>