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28830" windowHeight="7305" tabRatio="875"/>
  </bookViews>
  <sheets>
    <sheet name="Lead G" sheetId="33" r:id="rId1"/>
    <sheet name="Gas AMI Additions" sheetId="34" r:id="rId2"/>
    <sheet name="DFIT " sheetId="38" r:id="rId3"/>
    <sheet name="MACRS" sheetId="50" r:id="rId4"/>
    <sheet name="AMI Additions" sheetId="52" r:id="rId5"/>
    <sheet name="AMI Forecasted Additions" sheetId="55" r:id="rId6"/>
    <sheet name="AMR Retirements" sheetId="54" r:id="rId7"/>
    <sheet name="AMI Depr and Tax lives" sheetId="51" r:id="rId8"/>
    <sheet name="Amort of Def'd Return=&gt;" sheetId="56" r:id="rId9"/>
    <sheet name="Amort Gas Return on RB" sheetId="57" r:id="rId10"/>
    <sheet name="Return Def'd Mar19-Apr20" sheetId="58" r:id="rId11"/>
    <sheet name="Amort of Def'd Deprec=&gt;" sheetId="59" r:id="rId12"/>
    <sheet name="Amort of Gas Def'd Deprec" sheetId="60" r:id="rId13"/>
    <sheet name="Depreciation Def'd Mar19-Apr20" sheetId="61" r:id="rId14"/>
    <sheet name="Deprec Plant" sheetId="62" r:id="rId15"/>
    <sheet name="Deprec Misc Intangible" sheetId="63" r:id="rId16"/>
    <sheet name="Deprec Other" sheetId="64" r:id="rId17"/>
  </sheets>
  <externalReferences>
    <externalReference r:id="rId18"/>
    <externalReference r:id="rId19"/>
  </externalReferences>
  <calcPr calcId="162913" calcMode="autoNoTable"/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G14" i="54" l="1"/>
  <c r="G39" i="61" s="1"/>
  <c r="F14" i="54"/>
  <c r="F39" i="61" s="1"/>
  <c r="E14" i="54"/>
  <c r="C4" i="61"/>
  <c r="C3" i="61"/>
  <c r="E39" i="61" l="1"/>
  <c r="D16" i="54" l="1"/>
  <c r="D14" i="54"/>
  <c r="D40" i="61" l="1"/>
  <c r="D39" i="61"/>
  <c r="M39" i="61"/>
  <c r="J39" i="61"/>
  <c r="I39" i="61"/>
  <c r="P39" i="61"/>
  <c r="O39" i="61"/>
  <c r="N39" i="61"/>
  <c r="L39" i="61"/>
  <c r="K39" i="61"/>
  <c r="Q39" i="61"/>
  <c r="H39" i="61"/>
  <c r="H14" i="54"/>
  <c r="F33" i="33" l="1"/>
  <c r="E33" i="33"/>
  <c r="D33" i="33"/>
  <c r="E26" i="33"/>
  <c r="F24" i="33"/>
  <c r="E24" i="33"/>
  <c r="D24" i="33"/>
  <c r="D26" i="33" s="1"/>
  <c r="B6" i="34" a="1"/>
  <c r="C6" i="34" s="1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K48" i="58"/>
  <c r="C48" i="58"/>
  <c r="M45" i="58"/>
  <c r="M48" i="58" s="1"/>
  <c r="E45" i="58"/>
  <c r="E48" i="58" s="1"/>
  <c r="N45" i="58"/>
  <c r="J45" i="58"/>
  <c r="I45" i="58"/>
  <c r="F45" i="58"/>
  <c r="P45" i="58"/>
  <c r="O45" i="58"/>
  <c r="L45" i="58"/>
  <c r="L48" i="58" s="1"/>
  <c r="K45" i="58"/>
  <c r="H45" i="58"/>
  <c r="G45" i="58"/>
  <c r="D45" i="58"/>
  <c r="D48" i="58" s="1"/>
  <c r="C45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O12" i="58"/>
  <c r="K12" i="58"/>
  <c r="G12" i="58"/>
  <c r="D12" i="58"/>
  <c r="C12" i="58"/>
  <c r="N29" i="58"/>
  <c r="M29" i="58"/>
  <c r="J11" i="58"/>
  <c r="I11" i="58"/>
  <c r="F29" i="58"/>
  <c r="E29" i="58"/>
  <c r="P29" i="58"/>
  <c r="O29" i="58"/>
  <c r="L29" i="58"/>
  <c r="K29" i="58"/>
  <c r="H29" i="58"/>
  <c r="G29" i="58"/>
  <c r="D29" i="58"/>
  <c r="C29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M14" i="58"/>
  <c r="I14" i="58"/>
  <c r="P12" i="58"/>
  <c r="N12" i="58"/>
  <c r="M12" i="58"/>
  <c r="L12" i="58"/>
  <c r="J12" i="58"/>
  <c r="I12" i="58"/>
  <c r="H12" i="58"/>
  <c r="F12" i="58"/>
  <c r="E12" i="58"/>
  <c r="P11" i="58"/>
  <c r="O11" i="58"/>
  <c r="L11" i="58"/>
  <c r="K11" i="58"/>
  <c r="H11" i="58"/>
  <c r="G11" i="58"/>
  <c r="D11" i="58"/>
  <c r="C11" i="58"/>
  <c r="N10" i="58"/>
  <c r="M10" i="58"/>
  <c r="J10" i="58"/>
  <c r="I10" i="58"/>
  <c r="F10" i="58"/>
  <c r="E10" i="58"/>
  <c r="E6" i="34" l="1"/>
  <c r="B6" i="34"/>
  <c r="F6" i="34"/>
  <c r="D6" i="34"/>
  <c r="G6" i="34"/>
  <c r="E32" i="58"/>
  <c r="I48" i="58"/>
  <c r="N46" i="58"/>
  <c r="J46" i="58"/>
  <c r="J47" i="58" s="1"/>
  <c r="F46" i="58"/>
  <c r="N30" i="58"/>
  <c r="N31" i="58" s="1"/>
  <c r="J30" i="58"/>
  <c r="F30" i="58"/>
  <c r="F31" i="58" s="1"/>
  <c r="F33" i="58" s="1"/>
  <c r="F35" i="58" s="1"/>
  <c r="F37" i="58" s="1"/>
  <c r="M46" i="58"/>
  <c r="I46" i="58"/>
  <c r="I47" i="58" s="1"/>
  <c r="E46" i="58"/>
  <c r="M30" i="58"/>
  <c r="I30" i="58"/>
  <c r="E30" i="58"/>
  <c r="E31" i="58" s="1"/>
  <c r="L46" i="58"/>
  <c r="L47" i="58" s="1"/>
  <c r="L49" i="58" s="1"/>
  <c r="L51" i="58" s="1"/>
  <c r="L53" i="58" s="1"/>
  <c r="D46" i="58"/>
  <c r="D47" i="58" s="1"/>
  <c r="D49" i="58" s="1"/>
  <c r="D51" i="58" s="1"/>
  <c r="D53" i="58" s="1"/>
  <c r="P30" i="58"/>
  <c r="P31" i="58" s="1"/>
  <c r="P33" i="58" s="1"/>
  <c r="P35" i="58" s="1"/>
  <c r="P37" i="58" s="1"/>
  <c r="H30" i="58"/>
  <c r="P14" i="58"/>
  <c r="L14" i="58"/>
  <c r="H14" i="58"/>
  <c r="D14" i="58"/>
  <c r="K46" i="58"/>
  <c r="C46" i="58"/>
  <c r="C47" i="58" s="1"/>
  <c r="C49" i="58" s="1"/>
  <c r="C51" i="58" s="1"/>
  <c r="C53" i="58" s="1"/>
  <c r="O30" i="58"/>
  <c r="G30" i="58"/>
  <c r="O14" i="58"/>
  <c r="K14" i="58"/>
  <c r="G14" i="58"/>
  <c r="C14" i="58"/>
  <c r="O46" i="58"/>
  <c r="G46" i="58"/>
  <c r="G47" i="58" s="1"/>
  <c r="K30" i="58"/>
  <c r="P46" i="58"/>
  <c r="H46" i="58"/>
  <c r="H47" i="58" s="1"/>
  <c r="H49" i="58" s="1"/>
  <c r="H51" i="58" s="1"/>
  <c r="H53" i="58" s="1"/>
  <c r="L30" i="58"/>
  <c r="L31" i="58" s="1"/>
  <c r="D30" i="58"/>
  <c r="N14" i="58"/>
  <c r="J14" i="58"/>
  <c r="F14" i="58"/>
  <c r="C30" i="58"/>
  <c r="C31" i="58" s="1"/>
  <c r="M32" i="58"/>
  <c r="M31" i="58"/>
  <c r="M33" i="58" s="1"/>
  <c r="M35" i="58" s="1"/>
  <c r="M37" i="58" s="1"/>
  <c r="F32" i="58"/>
  <c r="N32" i="58"/>
  <c r="F48" i="58"/>
  <c r="F47" i="58"/>
  <c r="J48" i="58"/>
  <c r="N48" i="58"/>
  <c r="N47" i="58"/>
  <c r="I13" i="58"/>
  <c r="J13" i="58"/>
  <c r="E14" i="58"/>
  <c r="K31" i="58"/>
  <c r="D31" i="58"/>
  <c r="H31" i="58"/>
  <c r="J29" i="58"/>
  <c r="H32" i="58"/>
  <c r="P32" i="58"/>
  <c r="G31" i="58"/>
  <c r="G33" i="58" s="1"/>
  <c r="G35" i="58" s="1"/>
  <c r="G37" i="58" s="1"/>
  <c r="O31" i="58"/>
  <c r="I29" i="58"/>
  <c r="G32" i="58"/>
  <c r="O32" i="58"/>
  <c r="C10" i="58"/>
  <c r="C13" i="58" s="1"/>
  <c r="G10" i="58"/>
  <c r="G13" i="58" s="1"/>
  <c r="K10" i="58"/>
  <c r="K13" i="58" s="1"/>
  <c r="O10" i="58"/>
  <c r="O13" i="58" s="1"/>
  <c r="E11" i="58"/>
  <c r="E13" i="58" s="1"/>
  <c r="M11" i="58"/>
  <c r="M13" i="58" s="1"/>
  <c r="C32" i="58"/>
  <c r="K32" i="58"/>
  <c r="K47" i="58"/>
  <c r="K49" i="58" s="1"/>
  <c r="K51" i="58" s="1"/>
  <c r="K53" i="58" s="1"/>
  <c r="O47" i="58"/>
  <c r="E47" i="58"/>
  <c r="E49" i="58" s="1"/>
  <c r="E51" i="58" s="1"/>
  <c r="E53" i="58" s="1"/>
  <c r="M47" i="58"/>
  <c r="M49" i="58" s="1"/>
  <c r="M51" i="58" s="1"/>
  <c r="M53" i="58" s="1"/>
  <c r="G48" i="58"/>
  <c r="O48" i="58"/>
  <c r="D10" i="58"/>
  <c r="D13" i="58" s="1"/>
  <c r="H10" i="58"/>
  <c r="H13" i="58" s="1"/>
  <c r="L10" i="58"/>
  <c r="L13" i="58" s="1"/>
  <c r="P10" i="58"/>
  <c r="P13" i="58" s="1"/>
  <c r="F11" i="58"/>
  <c r="F13" i="58" s="1"/>
  <c r="N11" i="58"/>
  <c r="N13" i="58" s="1"/>
  <c r="D32" i="58"/>
  <c r="L32" i="58"/>
  <c r="P47" i="58"/>
  <c r="P49" i="58" s="1"/>
  <c r="P51" i="58" s="1"/>
  <c r="P53" i="58" s="1"/>
  <c r="H48" i="58"/>
  <c r="P48" i="58"/>
  <c r="E33" i="58" l="1"/>
  <c r="E35" i="58" s="1"/>
  <c r="E37" i="58" s="1"/>
  <c r="N33" i="58"/>
  <c r="N35" i="58" s="1"/>
  <c r="N37" i="58" s="1"/>
  <c r="G49" i="58"/>
  <c r="G51" i="58" s="1"/>
  <c r="G53" i="58" s="1"/>
  <c r="O49" i="58"/>
  <c r="O51" i="58" s="1"/>
  <c r="O53" i="58" s="1"/>
  <c r="L33" i="58"/>
  <c r="L35" i="58" s="1"/>
  <c r="L37" i="58" s="1"/>
  <c r="J49" i="58"/>
  <c r="J51" i="58" s="1"/>
  <c r="J53" i="58" s="1"/>
  <c r="I49" i="58"/>
  <c r="I51" i="58" s="1"/>
  <c r="I53" i="58" s="1"/>
  <c r="N15" i="58"/>
  <c r="N16" i="58"/>
  <c r="M15" i="58"/>
  <c r="M16" i="58"/>
  <c r="D55" i="58"/>
  <c r="C55" i="58"/>
  <c r="E55" i="58"/>
  <c r="L16" i="58"/>
  <c r="L15" i="58"/>
  <c r="K16" i="58"/>
  <c r="K15" i="58"/>
  <c r="C33" i="58"/>
  <c r="C35" i="58" s="1"/>
  <c r="C37" i="58" s="1"/>
  <c r="N49" i="58"/>
  <c r="N51" i="58" s="1"/>
  <c r="N53" i="58" s="1"/>
  <c r="F49" i="58"/>
  <c r="F51" i="58" s="1"/>
  <c r="F53" i="58" s="1"/>
  <c r="P16" i="58"/>
  <c r="P15" i="58"/>
  <c r="P17" i="58" s="1"/>
  <c r="P19" i="58" s="1"/>
  <c r="P21" i="58" s="1"/>
  <c r="P57" i="58" s="1"/>
  <c r="O16" i="58"/>
  <c r="O15" i="58"/>
  <c r="K33" i="58"/>
  <c r="K35" i="58" s="1"/>
  <c r="K37" i="58" s="1"/>
  <c r="I15" i="58"/>
  <c r="I16" i="58"/>
  <c r="H16" i="58"/>
  <c r="H15" i="58"/>
  <c r="H17" i="58" s="1"/>
  <c r="H19" i="58" s="1"/>
  <c r="H21" i="58" s="1"/>
  <c r="G16" i="58"/>
  <c r="G15" i="58"/>
  <c r="I32" i="58"/>
  <c r="I31" i="58"/>
  <c r="I33" i="58" s="1"/>
  <c r="I35" i="58" s="1"/>
  <c r="I37" i="58" s="1"/>
  <c r="H33" i="58"/>
  <c r="H35" i="58" s="1"/>
  <c r="H37" i="58" s="1"/>
  <c r="E15" i="58"/>
  <c r="E17" i="58" s="1"/>
  <c r="E19" i="58" s="1"/>
  <c r="E21" i="58" s="1"/>
  <c r="E57" i="58" s="1"/>
  <c r="E16" i="58"/>
  <c r="F15" i="58"/>
  <c r="F16" i="58"/>
  <c r="D16" i="58"/>
  <c r="D15" i="58"/>
  <c r="C16" i="58"/>
  <c r="C15" i="58"/>
  <c r="O33" i="58"/>
  <c r="O35" i="58" s="1"/>
  <c r="O37" i="58" s="1"/>
  <c r="J32" i="58"/>
  <c r="J31" i="58"/>
  <c r="J33" i="58" s="1"/>
  <c r="J35" i="58" s="1"/>
  <c r="J37" i="58" s="1"/>
  <c r="D33" i="58"/>
  <c r="D35" i="58" s="1"/>
  <c r="D37" i="58" s="1"/>
  <c r="J15" i="58"/>
  <c r="J17" i="58" s="1"/>
  <c r="J19" i="58" s="1"/>
  <c r="J21" i="58" s="1"/>
  <c r="J16" i="58"/>
  <c r="G17" i="58" l="1"/>
  <c r="G19" i="58" s="1"/>
  <c r="G21" i="58" s="1"/>
  <c r="G57" i="58" s="1"/>
  <c r="F17" i="58"/>
  <c r="F19" i="58" s="1"/>
  <c r="F21" i="58" s="1"/>
  <c r="O17" i="58"/>
  <c r="O19" i="58" s="1"/>
  <c r="O21" i="58" s="1"/>
  <c r="O57" i="58" s="1"/>
  <c r="N55" i="58"/>
  <c r="O55" i="58"/>
  <c r="P55" i="58"/>
  <c r="C17" i="58"/>
  <c r="C19" i="58" s="1"/>
  <c r="C21" i="58" s="1"/>
  <c r="C57" i="58" s="1"/>
  <c r="H57" i="58"/>
  <c r="I17" i="58"/>
  <c r="I19" i="58" s="1"/>
  <c r="I21" i="58" s="1"/>
  <c r="L17" i="58"/>
  <c r="L19" i="58" s="1"/>
  <c r="L21" i="58" s="1"/>
  <c r="L57" i="58" s="1"/>
  <c r="F57" i="58"/>
  <c r="M55" i="58"/>
  <c r="J57" i="58"/>
  <c r="I57" i="58"/>
  <c r="P39" i="58"/>
  <c r="L39" i="58"/>
  <c r="H39" i="58"/>
  <c r="D39" i="58"/>
  <c r="O39" i="58"/>
  <c r="K39" i="58"/>
  <c r="G39" i="58"/>
  <c r="C39" i="58"/>
  <c r="J39" i="58"/>
  <c r="I39" i="58"/>
  <c r="M39" i="58"/>
  <c r="N39" i="58"/>
  <c r="F39" i="58"/>
  <c r="E39" i="58"/>
  <c r="J55" i="58"/>
  <c r="G55" i="58"/>
  <c r="H55" i="58"/>
  <c r="D17" i="58"/>
  <c r="D19" i="58" s="1"/>
  <c r="D21" i="58" s="1"/>
  <c r="D57" i="58" s="1"/>
  <c r="K17" i="58"/>
  <c r="K19" i="58" s="1"/>
  <c r="K21" i="58" s="1"/>
  <c r="K57" i="58" s="1"/>
  <c r="I55" i="58"/>
  <c r="F55" i="58"/>
  <c r="K55" i="58"/>
  <c r="L55" i="58"/>
  <c r="M17" i="58"/>
  <c r="M19" i="58" s="1"/>
  <c r="M21" i="58" s="1"/>
  <c r="M57" i="58" s="1"/>
  <c r="N17" i="58"/>
  <c r="N19" i="58" s="1"/>
  <c r="N21" i="58" s="1"/>
  <c r="N57" i="58" s="1"/>
  <c r="O58" i="58" l="1"/>
  <c r="P23" i="58"/>
  <c r="P58" i="58" s="1"/>
  <c r="L23" i="58"/>
  <c r="L58" i="58" s="1"/>
  <c r="H23" i="58"/>
  <c r="H58" i="58" s="1"/>
  <c r="D23" i="58"/>
  <c r="D58" i="58" s="1"/>
  <c r="O23" i="58"/>
  <c r="K23" i="58"/>
  <c r="K58" i="58" s="1"/>
  <c r="G23" i="58"/>
  <c r="G58" i="58" s="1"/>
  <c r="C23" i="58"/>
  <c r="C58" i="58" s="1"/>
  <c r="N23" i="58"/>
  <c r="N58" i="58" s="1"/>
  <c r="F23" i="58"/>
  <c r="F58" i="58" s="1"/>
  <c r="M23" i="58"/>
  <c r="M58" i="58" s="1"/>
  <c r="E23" i="58"/>
  <c r="E58" i="58" s="1"/>
  <c r="I23" i="58"/>
  <c r="I58" i="58" s="1"/>
  <c r="J23" i="58"/>
  <c r="J58" i="58" s="1"/>
  <c r="C5" i="34" l="1"/>
  <c r="D5" i="34" s="1"/>
  <c r="E5" i="34" s="1"/>
  <c r="F5" i="34" s="1"/>
  <c r="G5" i="34" s="1"/>
  <c r="H6" i="34" l="1"/>
  <c r="D8" i="64" l="1"/>
  <c r="B12" i="64"/>
  <c r="D14" i="64"/>
  <c r="D15" i="64"/>
  <c r="D16" i="64" s="1"/>
  <c r="D31" i="61" s="1"/>
  <c r="E31" i="61" s="1"/>
  <c r="F31" i="61" s="1"/>
  <c r="G31" i="61" s="1"/>
  <c r="B20" i="64"/>
  <c r="D22" i="64"/>
  <c r="D23" i="64"/>
  <c r="B28" i="64"/>
  <c r="D30" i="64"/>
  <c r="D31" i="64"/>
  <c r="D32" i="64" s="1"/>
  <c r="B36" i="64"/>
  <c r="D38" i="64"/>
  <c r="D39" i="64"/>
  <c r="C45" i="64"/>
  <c r="C50" i="64" s="1"/>
  <c r="C46" i="64"/>
  <c r="D46" i="64"/>
  <c r="E46" i="64" s="1"/>
  <c r="C47" i="64"/>
  <c r="D47" i="64" s="1"/>
  <c r="E47" i="64" s="1"/>
  <c r="F47" i="64" s="1"/>
  <c r="C48" i="64"/>
  <c r="D48" i="64"/>
  <c r="E48" i="64" s="1"/>
  <c r="F48" i="64" s="1"/>
  <c r="D9" i="61"/>
  <c r="E9" i="61" s="1"/>
  <c r="F9" i="61" s="1"/>
  <c r="G9" i="61" s="1"/>
  <c r="H9" i="61" s="1"/>
  <c r="I9" i="61" s="1"/>
  <c r="J9" i="61" s="1"/>
  <c r="K9" i="61" s="1"/>
  <c r="L9" i="61" s="1"/>
  <c r="M9" i="61" s="1"/>
  <c r="N9" i="61" s="1"/>
  <c r="O9" i="61" s="1"/>
  <c r="P9" i="61" s="1"/>
  <c r="Q9" i="61" s="1"/>
  <c r="D18" i="61"/>
  <c r="E18" i="61" s="1"/>
  <c r="F18" i="61" s="1"/>
  <c r="G18" i="61" s="1"/>
  <c r="H18" i="61" s="1"/>
  <c r="I18" i="61" s="1"/>
  <c r="J18" i="61" s="1"/>
  <c r="K18" i="61" s="1"/>
  <c r="L18" i="61" s="1"/>
  <c r="M18" i="61" s="1"/>
  <c r="N18" i="61" s="1"/>
  <c r="O18" i="61" s="1"/>
  <c r="P18" i="61" s="1"/>
  <c r="Q18" i="61" s="1"/>
  <c r="D6" i="61"/>
  <c r="D7" i="61"/>
  <c r="E7" i="61"/>
  <c r="D8" i="61"/>
  <c r="E8" i="61"/>
  <c r="D33" i="61"/>
  <c r="E33" i="61" s="1"/>
  <c r="F33" i="61" s="1"/>
  <c r="G33" i="61" s="1"/>
  <c r="H33" i="61" s="1"/>
  <c r="I33" i="61" s="1"/>
  <c r="J33" i="61" s="1"/>
  <c r="K33" i="61" s="1"/>
  <c r="L33" i="61" s="1"/>
  <c r="M33" i="61" s="1"/>
  <c r="N33" i="61" s="1"/>
  <c r="O33" i="61" s="1"/>
  <c r="P33" i="61" s="1"/>
  <c r="Q33" i="61" s="1"/>
  <c r="D41" i="61"/>
  <c r="D11" i="60"/>
  <c r="J11" i="60"/>
  <c r="K11" i="60"/>
  <c r="N11" i="60" s="1"/>
  <c r="D11" i="57"/>
  <c r="J11" i="57"/>
  <c r="K11" i="57" s="1"/>
  <c r="L9" i="55"/>
  <c r="R14" i="52" s="1"/>
  <c r="K9" i="55"/>
  <c r="Q14" i="52" s="1"/>
  <c r="N8" i="55"/>
  <c r="N6" i="55"/>
  <c r="N4" i="55"/>
  <c r="G9" i="55"/>
  <c r="F9" i="55"/>
  <c r="I8" i="55"/>
  <c r="I6" i="55"/>
  <c r="I4" i="55"/>
  <c r="H5" i="55"/>
  <c r="I5" i="55" s="1"/>
  <c r="H7" i="55"/>
  <c r="M7" i="55" s="1"/>
  <c r="N7" i="55" s="1"/>
  <c r="C18" i="55"/>
  <c r="C7" i="55" s="1"/>
  <c r="C17" i="55"/>
  <c r="C6" i="55" s="1"/>
  <c r="C16" i="55"/>
  <c r="C5" i="55" s="1"/>
  <c r="C15" i="55"/>
  <c r="C4" i="55" s="1"/>
  <c r="C8" i="55"/>
  <c r="D45" i="64" l="1"/>
  <c r="D24" i="64"/>
  <c r="D32" i="61" s="1"/>
  <c r="D40" i="64"/>
  <c r="D24" i="61"/>
  <c r="E24" i="61" s="1"/>
  <c r="F24" i="61" s="1"/>
  <c r="G24" i="61" s="1"/>
  <c r="H24" i="61" s="1"/>
  <c r="I24" i="61" s="1"/>
  <c r="J24" i="61" s="1"/>
  <c r="K24" i="61" s="1"/>
  <c r="L24" i="61" s="1"/>
  <c r="M24" i="61" s="1"/>
  <c r="N24" i="61" s="1"/>
  <c r="O24" i="61" s="1"/>
  <c r="P24" i="61" s="1"/>
  <c r="Q24" i="61" s="1"/>
  <c r="M5" i="55"/>
  <c r="N5" i="55" s="1"/>
  <c r="N9" i="55" s="1"/>
  <c r="I7" i="55"/>
  <c r="I9" i="55" s="1"/>
  <c r="H9" i="55"/>
  <c r="D35" i="61"/>
  <c r="E35" i="61" s="1"/>
  <c r="F35" i="61" s="1"/>
  <c r="G35" i="61" s="1"/>
  <c r="H35" i="61" s="1"/>
  <c r="I35" i="61" s="1"/>
  <c r="J35" i="61" s="1"/>
  <c r="K35" i="61" s="1"/>
  <c r="L35" i="61" s="1"/>
  <c r="M35" i="61" s="1"/>
  <c r="N35" i="61" s="1"/>
  <c r="O35" i="61" s="1"/>
  <c r="P35" i="61" s="1"/>
  <c r="Q35" i="61" s="1"/>
  <c r="D16" i="61"/>
  <c r="E16" i="61" s="1"/>
  <c r="D10" i="61"/>
  <c r="E10" i="61" s="1"/>
  <c r="F10" i="61" s="1"/>
  <c r="G10" i="61" s="1"/>
  <c r="H10" i="61" s="1"/>
  <c r="I10" i="61" s="1"/>
  <c r="J10" i="61" s="1"/>
  <c r="K10" i="61" s="1"/>
  <c r="L10" i="61" s="1"/>
  <c r="M10" i="61" s="1"/>
  <c r="N10" i="61" s="1"/>
  <c r="O10" i="61" s="1"/>
  <c r="P10" i="61" s="1"/>
  <c r="Q10" i="61" s="1"/>
  <c r="D26" i="61"/>
  <c r="E26" i="61" s="1"/>
  <c r="F26" i="61" s="1"/>
  <c r="G26" i="61" s="1"/>
  <c r="H26" i="61" s="1"/>
  <c r="I26" i="61" s="1"/>
  <c r="J26" i="61" s="1"/>
  <c r="K26" i="61" s="1"/>
  <c r="L26" i="61" s="1"/>
  <c r="M26" i="61" s="1"/>
  <c r="N26" i="61" s="1"/>
  <c r="O26" i="61" s="1"/>
  <c r="P26" i="61" s="1"/>
  <c r="Q26" i="61" s="1"/>
  <c r="D22" i="61"/>
  <c r="E22" i="61" s="1"/>
  <c r="F22" i="61" s="1"/>
  <c r="G22" i="61" s="1"/>
  <c r="H22" i="61" s="1"/>
  <c r="I22" i="61" s="1"/>
  <c r="J22" i="61" s="1"/>
  <c r="K22" i="61" s="1"/>
  <c r="L22" i="61" s="1"/>
  <c r="M22" i="61" s="1"/>
  <c r="N22" i="61" s="1"/>
  <c r="O22" i="61" s="1"/>
  <c r="P22" i="61" s="1"/>
  <c r="Q22" i="61" s="1"/>
  <c r="D20" i="61"/>
  <c r="E20" i="61" s="1"/>
  <c r="F20" i="61" s="1"/>
  <c r="G20" i="61" s="1"/>
  <c r="H20" i="61" s="1"/>
  <c r="I20" i="61" s="1"/>
  <c r="J20" i="61" s="1"/>
  <c r="K20" i="61" s="1"/>
  <c r="L20" i="61" s="1"/>
  <c r="M20" i="61" s="1"/>
  <c r="N20" i="61" s="1"/>
  <c r="O20" i="61" s="1"/>
  <c r="P20" i="61" s="1"/>
  <c r="Q20" i="61" s="1"/>
  <c r="D17" i="61"/>
  <c r="E17" i="61" s="1"/>
  <c r="F17" i="61" s="1"/>
  <c r="G17" i="61" s="1"/>
  <c r="H17" i="61" s="1"/>
  <c r="I17" i="61" s="1"/>
  <c r="J17" i="61" s="1"/>
  <c r="K17" i="61" s="1"/>
  <c r="L17" i="61" s="1"/>
  <c r="M17" i="61" s="1"/>
  <c r="N17" i="61" s="1"/>
  <c r="O17" i="61" s="1"/>
  <c r="P17" i="61" s="1"/>
  <c r="Q17" i="61" s="1"/>
  <c r="D25" i="61"/>
  <c r="E25" i="61" s="1"/>
  <c r="F25" i="61" s="1"/>
  <c r="G25" i="61" s="1"/>
  <c r="H25" i="61" s="1"/>
  <c r="I25" i="61" s="1"/>
  <c r="J25" i="61" s="1"/>
  <c r="K25" i="61" s="1"/>
  <c r="L25" i="61" s="1"/>
  <c r="M25" i="61" s="1"/>
  <c r="N25" i="61" s="1"/>
  <c r="O25" i="61" s="1"/>
  <c r="P25" i="61" s="1"/>
  <c r="Q25" i="61" s="1"/>
  <c r="D15" i="61"/>
  <c r="E15" i="61" s="1"/>
  <c r="F15" i="61" s="1"/>
  <c r="G15" i="61" s="1"/>
  <c r="D19" i="61"/>
  <c r="E19" i="61" s="1"/>
  <c r="F19" i="61" s="1"/>
  <c r="G19" i="61" s="1"/>
  <c r="H19" i="61" s="1"/>
  <c r="I19" i="61" s="1"/>
  <c r="J19" i="61" s="1"/>
  <c r="K19" i="61" s="1"/>
  <c r="L19" i="61" s="1"/>
  <c r="M19" i="61" s="1"/>
  <c r="N19" i="61" s="1"/>
  <c r="O19" i="61" s="1"/>
  <c r="P19" i="61" s="1"/>
  <c r="Q19" i="61" s="1"/>
  <c r="D23" i="61"/>
  <c r="E23" i="61" s="1"/>
  <c r="F23" i="61" s="1"/>
  <c r="G23" i="61" s="1"/>
  <c r="H23" i="61" s="1"/>
  <c r="I23" i="61" s="1"/>
  <c r="J23" i="61" s="1"/>
  <c r="K23" i="61" s="1"/>
  <c r="L23" i="61" s="1"/>
  <c r="M23" i="61" s="1"/>
  <c r="N23" i="61" s="1"/>
  <c r="O23" i="61" s="1"/>
  <c r="P23" i="61" s="1"/>
  <c r="Q23" i="61" s="1"/>
  <c r="D21" i="61"/>
  <c r="E21" i="61" s="1"/>
  <c r="F21" i="61" s="1"/>
  <c r="G21" i="61" s="1"/>
  <c r="H21" i="61" s="1"/>
  <c r="I21" i="61" s="1"/>
  <c r="J21" i="61" s="1"/>
  <c r="K21" i="61" s="1"/>
  <c r="L21" i="61" s="1"/>
  <c r="M21" i="61" s="1"/>
  <c r="N21" i="61" s="1"/>
  <c r="O21" i="61" s="1"/>
  <c r="P21" i="61" s="1"/>
  <c r="Q21" i="61" s="1"/>
  <c r="D34" i="61"/>
  <c r="E34" i="61" s="1"/>
  <c r="F34" i="61" s="1"/>
  <c r="G34" i="61" s="1"/>
  <c r="H34" i="61" s="1"/>
  <c r="I34" i="61" s="1"/>
  <c r="J34" i="61" s="1"/>
  <c r="K34" i="61" s="1"/>
  <c r="L34" i="61" s="1"/>
  <c r="M34" i="61" s="1"/>
  <c r="N34" i="61" s="1"/>
  <c r="O34" i="61" s="1"/>
  <c r="P34" i="61" s="1"/>
  <c r="Q34" i="61" s="1"/>
  <c r="N11" i="57"/>
  <c r="E32" i="61"/>
  <c r="F46" i="64"/>
  <c r="R33" i="61"/>
  <c r="H31" i="61"/>
  <c r="F7" i="61"/>
  <c r="E6" i="61"/>
  <c r="F8" i="61"/>
  <c r="G8" i="61" s="1"/>
  <c r="H8" i="61" s="1"/>
  <c r="I8" i="61" s="1"/>
  <c r="J8" i="61" s="1"/>
  <c r="K8" i="61" s="1"/>
  <c r="L8" i="61" s="1"/>
  <c r="M8" i="61" s="1"/>
  <c r="N8" i="61" s="1"/>
  <c r="O8" i="61" s="1"/>
  <c r="P8" i="61" s="1"/>
  <c r="Q8" i="61" s="1"/>
  <c r="R18" i="61"/>
  <c r="R9" i="61"/>
  <c r="C9" i="55"/>
  <c r="D50" i="64" l="1"/>
  <c r="E45" i="64"/>
  <c r="R10" i="61"/>
  <c r="D47" i="61"/>
  <c r="D12" i="61"/>
  <c r="R24" i="61"/>
  <c r="R22" i="61"/>
  <c r="M9" i="55"/>
  <c r="S14" i="52" s="1"/>
  <c r="R26" i="61"/>
  <c r="R19" i="61"/>
  <c r="R20" i="61"/>
  <c r="R21" i="61"/>
  <c r="D46" i="61"/>
  <c r="D27" i="61"/>
  <c r="R35" i="61"/>
  <c r="R34" i="61"/>
  <c r="D36" i="61"/>
  <c r="R23" i="61"/>
  <c r="G7" i="61"/>
  <c r="H15" i="61"/>
  <c r="F6" i="61"/>
  <c r="E46" i="61"/>
  <c r="F32" i="61"/>
  <c r="E36" i="61"/>
  <c r="R17" i="61"/>
  <c r="R25" i="61"/>
  <c r="I31" i="61"/>
  <c r="F16" i="61"/>
  <c r="E27" i="61"/>
  <c r="R8" i="61"/>
  <c r="G9" i="54"/>
  <c r="J8" i="54"/>
  <c r="H8" i="54"/>
  <c r="I8" i="54" s="1"/>
  <c r="K8" i="54" s="1"/>
  <c r="F10" i="55" s="1"/>
  <c r="G8" i="54"/>
  <c r="L8" i="54" s="1"/>
  <c r="J7" i="54"/>
  <c r="H7" i="54"/>
  <c r="I7" i="54" s="1"/>
  <c r="K7" i="54" s="1"/>
  <c r="G7" i="54"/>
  <c r="J6" i="54"/>
  <c r="H6" i="54"/>
  <c r="G6" i="54"/>
  <c r="P15" i="52"/>
  <c r="O15" i="52"/>
  <c r="N15" i="52"/>
  <c r="P14" i="52"/>
  <c r="O14" i="52"/>
  <c r="N14" i="52"/>
  <c r="P13" i="52"/>
  <c r="O13" i="52"/>
  <c r="N13" i="52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I6" i="54" l="1"/>
  <c r="L6" i="54"/>
  <c r="A29" i="33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C15" i="34"/>
  <c r="C16" i="34" s="1"/>
  <c r="C17" i="34" s="1"/>
  <c r="F45" i="64"/>
  <c r="F50" i="64" s="1"/>
  <c r="E50" i="64"/>
  <c r="G10" i="55"/>
  <c r="F11" i="55"/>
  <c r="E16" i="54" s="1"/>
  <c r="J10" i="54"/>
  <c r="S17" i="52"/>
  <c r="D48" i="61"/>
  <c r="D43" i="61"/>
  <c r="J31" i="61"/>
  <c r="G32" i="61"/>
  <c r="F36" i="61"/>
  <c r="G6" i="61"/>
  <c r="F46" i="61"/>
  <c r="G16" i="61"/>
  <c r="F27" i="61"/>
  <c r="I15" i="61"/>
  <c r="H7" i="61"/>
  <c r="I10" i="54"/>
  <c r="K6" i="54"/>
  <c r="G10" i="54"/>
  <c r="E9" i="34"/>
  <c r="H10" i="55" l="1"/>
  <c r="G11" i="55"/>
  <c r="F16" i="54" s="1"/>
  <c r="F40" i="61" s="1"/>
  <c r="F41" i="61" s="1"/>
  <c r="E40" i="61"/>
  <c r="D49" i="61"/>
  <c r="J15" i="61"/>
  <c r="H32" i="61"/>
  <c r="G36" i="61"/>
  <c r="K31" i="61"/>
  <c r="H16" i="61"/>
  <c r="G27" i="61"/>
  <c r="I7" i="61"/>
  <c r="C12" i="57" a="1"/>
  <c r="H6" i="61"/>
  <c r="G46" i="61"/>
  <c r="E41" i="61" l="1"/>
  <c r="I10" i="55"/>
  <c r="H11" i="55"/>
  <c r="G16" i="54" s="1"/>
  <c r="I16" i="61"/>
  <c r="H27" i="61"/>
  <c r="C15" i="57"/>
  <c r="J15" i="57" s="1"/>
  <c r="C19" i="57"/>
  <c r="J19" i="57" s="1"/>
  <c r="C23" i="57"/>
  <c r="J23" i="57" s="1"/>
  <c r="C13" i="57"/>
  <c r="J13" i="57" s="1"/>
  <c r="C16" i="57"/>
  <c r="J16" i="57" s="1"/>
  <c r="C12" i="57"/>
  <c r="C22" i="57"/>
  <c r="J22" i="57" s="1"/>
  <c r="C25" i="57"/>
  <c r="J25" i="57" s="1"/>
  <c r="C14" i="57"/>
  <c r="J14" i="57" s="1"/>
  <c r="C20" i="57"/>
  <c r="J20" i="57" s="1"/>
  <c r="C18" i="57"/>
  <c r="J18" i="57" s="1"/>
  <c r="C24" i="57"/>
  <c r="J24" i="57" s="1"/>
  <c r="C17" i="57"/>
  <c r="J17" i="57" s="1"/>
  <c r="C21" i="57"/>
  <c r="J21" i="57" s="1"/>
  <c r="I32" i="61"/>
  <c r="H36" i="61"/>
  <c r="I6" i="61"/>
  <c r="H46" i="61"/>
  <c r="J7" i="61"/>
  <c r="L31" i="61"/>
  <c r="K15" i="61"/>
  <c r="H16" i="54" l="1"/>
  <c r="G40" i="61"/>
  <c r="H40" i="61"/>
  <c r="H41" i="61" s="1"/>
  <c r="J40" i="61"/>
  <c r="L40" i="61"/>
  <c r="M40" i="61"/>
  <c r="I40" i="61"/>
  <c r="I41" i="61" s="1"/>
  <c r="P40" i="61"/>
  <c r="O40" i="61"/>
  <c r="Q40" i="61"/>
  <c r="G30" i="33" s="1"/>
  <c r="H30" i="33" s="1"/>
  <c r="K40" i="61"/>
  <c r="N40" i="61"/>
  <c r="L15" i="61"/>
  <c r="J41" i="61"/>
  <c r="J32" i="61"/>
  <c r="I36" i="61"/>
  <c r="M31" i="61"/>
  <c r="K7" i="61"/>
  <c r="J6" i="61"/>
  <c r="I46" i="61"/>
  <c r="J12" i="57"/>
  <c r="K12" i="57" s="1"/>
  <c r="D12" i="57"/>
  <c r="J16" i="61"/>
  <c r="I27" i="61"/>
  <c r="G41" i="61" l="1"/>
  <c r="R40" i="61"/>
  <c r="K16" i="61"/>
  <c r="J27" i="61"/>
  <c r="L7" i="61"/>
  <c r="D13" i="57"/>
  <c r="N12" i="57"/>
  <c r="K6" i="61"/>
  <c r="J46" i="61"/>
  <c r="K13" i="57"/>
  <c r="K32" i="61"/>
  <c r="J36" i="61"/>
  <c r="N31" i="61"/>
  <c r="K41" i="61"/>
  <c r="M15" i="61"/>
  <c r="C18" i="34"/>
  <c r="C19" i="34" s="1"/>
  <c r="C20" i="34" s="1"/>
  <c r="E35" i="51"/>
  <c r="D14" i="57" l="1"/>
  <c r="N13" i="57"/>
  <c r="E12" i="57"/>
  <c r="L41" i="61"/>
  <c r="K14" i="57"/>
  <c r="N15" i="61"/>
  <c r="O31" i="61"/>
  <c r="L32" i="61"/>
  <c r="K36" i="61"/>
  <c r="L6" i="61"/>
  <c r="K46" i="61"/>
  <c r="E13" i="57"/>
  <c r="I14" i="57" s="1"/>
  <c r="M7" i="61"/>
  <c r="L16" i="61"/>
  <c r="K27" i="61"/>
  <c r="E15" i="34"/>
  <c r="G15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P31" i="61" l="1"/>
  <c r="N7" i="61"/>
  <c r="M32" i="61"/>
  <c r="L36" i="61"/>
  <c r="K15" i="57"/>
  <c r="M16" i="61"/>
  <c r="L27" i="61"/>
  <c r="M41" i="61"/>
  <c r="I12" i="57"/>
  <c r="I13" i="57"/>
  <c r="L14" i="57" s="1"/>
  <c r="M14" i="57" s="1"/>
  <c r="N14" i="57"/>
  <c r="D15" i="57"/>
  <c r="E14" i="57"/>
  <c r="M6" i="61"/>
  <c r="L46" i="61"/>
  <c r="O15" i="61"/>
  <c r="E16" i="34"/>
  <c r="G16" i="34" s="1"/>
  <c r="AH6" i="50"/>
  <c r="AN6" i="50"/>
  <c r="M6" i="50"/>
  <c r="S6" i="50"/>
  <c r="Y6" i="50" s="1"/>
  <c r="L13" i="57" l="1"/>
  <c r="M13" i="57" s="1"/>
  <c r="N16" i="61"/>
  <c r="M27" i="61"/>
  <c r="N32" i="61"/>
  <c r="M36" i="61"/>
  <c r="Q31" i="61"/>
  <c r="N15" i="57"/>
  <c r="D16" i="57"/>
  <c r="E15" i="57"/>
  <c r="I16" i="57" s="1"/>
  <c r="L12" i="57"/>
  <c r="M12" i="57" s="1"/>
  <c r="K16" i="57"/>
  <c r="L15" i="57"/>
  <c r="O7" i="61"/>
  <c r="P15" i="61"/>
  <c r="M46" i="61"/>
  <c r="N6" i="61"/>
  <c r="I15" i="57"/>
  <c r="N41" i="61"/>
  <c r="E17" i="34"/>
  <c r="G17" i="34" s="1"/>
  <c r="A4" i="38"/>
  <c r="A1" i="34"/>
  <c r="O6" i="61" l="1"/>
  <c r="N46" i="61"/>
  <c r="Q15" i="61"/>
  <c r="O41" i="61"/>
  <c r="M15" i="57"/>
  <c r="O32" i="61"/>
  <c r="N36" i="61"/>
  <c r="K17" i="57"/>
  <c r="L16" i="57"/>
  <c r="M16" i="57" s="1"/>
  <c r="D17" i="57"/>
  <c r="N16" i="57"/>
  <c r="E16" i="57"/>
  <c r="R31" i="61"/>
  <c r="P7" i="61"/>
  <c r="O16" i="61"/>
  <c r="N27" i="61"/>
  <c r="E18" i="34"/>
  <c r="B19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4" l="1"/>
  <c r="P16" i="61"/>
  <c r="O27" i="61"/>
  <c r="Q7" i="61"/>
  <c r="P41" i="61"/>
  <c r="K18" i="57"/>
  <c r="L17" i="57"/>
  <c r="P32" i="61"/>
  <c r="O36" i="61"/>
  <c r="R15" i="61"/>
  <c r="P6" i="61"/>
  <c r="O46" i="61"/>
  <c r="D18" i="57"/>
  <c r="N17" i="57"/>
  <c r="E17" i="57"/>
  <c r="I18" i="57" s="1"/>
  <c r="I17" i="57"/>
  <c r="E19" i="34"/>
  <c r="G18" i="38"/>
  <c r="F17" i="38"/>
  <c r="G19" i="34" l="1"/>
  <c r="K19" i="57"/>
  <c r="L18" i="57"/>
  <c r="M18" i="57" s="1"/>
  <c r="Q32" i="61"/>
  <c r="P36" i="61"/>
  <c r="Q6" i="61"/>
  <c r="P46" i="61"/>
  <c r="Q16" i="61"/>
  <c r="P27" i="61"/>
  <c r="N18" i="57"/>
  <c r="D19" i="57"/>
  <c r="E18" i="57"/>
  <c r="M17" i="57"/>
  <c r="Q41" i="61"/>
  <c r="R39" i="61"/>
  <c r="R41" i="61" s="1"/>
  <c r="R7" i="61"/>
  <c r="C21" i="34"/>
  <c r="E20" i="34"/>
  <c r="G19" i="38"/>
  <c r="F18" i="38"/>
  <c r="G20" i="34" l="1"/>
  <c r="Q46" i="61"/>
  <c r="R6" i="61"/>
  <c r="N19" i="57"/>
  <c r="D20" i="57"/>
  <c r="E19" i="57"/>
  <c r="I19" i="57" s="1"/>
  <c r="R16" i="61"/>
  <c r="R27" i="61" s="1"/>
  <c r="Q27" i="61"/>
  <c r="R32" i="61"/>
  <c r="R36" i="61" s="1"/>
  <c r="Q36" i="61"/>
  <c r="K20" i="57"/>
  <c r="L19" i="57"/>
  <c r="C22" i="34"/>
  <c r="E21" i="34"/>
  <c r="G20" i="38"/>
  <c r="F19" i="38"/>
  <c r="G21" i="34" l="1"/>
  <c r="L20" i="57"/>
  <c r="K21" i="57"/>
  <c r="M19" i="57"/>
  <c r="R46" i="61"/>
  <c r="E20" i="57"/>
  <c r="I20" i="57" s="1"/>
  <c r="N20" i="57"/>
  <c r="D21" i="57"/>
  <c r="C23" i="34"/>
  <c r="E22" i="34"/>
  <c r="G21" i="38"/>
  <c r="F20" i="38"/>
  <c r="B18" i="34"/>
  <c r="B17" i="34"/>
  <c r="B16" i="34"/>
  <c r="B15" i="34"/>
  <c r="G22" i="34" l="1"/>
  <c r="E21" i="57"/>
  <c r="I21" i="57" s="1"/>
  <c r="D22" i="57"/>
  <c r="N21" i="57"/>
  <c r="K22" i="57"/>
  <c r="L21" i="57"/>
  <c r="M20" i="57"/>
  <c r="C24" i="34"/>
  <c r="E23" i="34"/>
  <c r="G23" i="34" s="1"/>
  <c r="G22" i="38"/>
  <c r="F21" i="38"/>
  <c r="I15" i="34"/>
  <c r="L22" i="57" l="1"/>
  <c r="K23" i="57"/>
  <c r="M21" i="57"/>
  <c r="D23" i="57"/>
  <c r="E22" i="57"/>
  <c r="I22" i="57" s="1"/>
  <c r="N22" i="57"/>
  <c r="C25" i="34"/>
  <c r="E24" i="34"/>
  <c r="G23" i="38"/>
  <c r="F22" i="38"/>
  <c r="I16" i="34"/>
  <c r="G24" i="34" l="1"/>
  <c r="N23" i="57"/>
  <c r="E23" i="57"/>
  <c r="I23" i="57" s="1"/>
  <c r="D24" i="57"/>
  <c r="K24" i="57"/>
  <c r="L23" i="57"/>
  <c r="M22" i="57"/>
  <c r="C26" i="34"/>
  <c r="E25" i="34"/>
  <c r="G24" i="38"/>
  <c r="F23" i="38"/>
  <c r="I17" i="34"/>
  <c r="G25" i="34" l="1"/>
  <c r="M23" i="57"/>
  <c r="K25" i="57"/>
  <c r="L24" i="57"/>
  <c r="N24" i="57"/>
  <c r="D25" i="57"/>
  <c r="E24" i="57"/>
  <c r="I24" i="57" s="1"/>
  <c r="C27" i="34"/>
  <c r="D15" i="34"/>
  <c r="F15" i="34" s="1"/>
  <c r="E26" i="34"/>
  <c r="G25" i="38"/>
  <c r="F24" i="38"/>
  <c r="I18" i="34"/>
  <c r="G26" i="34" l="1"/>
  <c r="M24" i="57"/>
  <c r="F27" i="57"/>
  <c r="J27" i="57" s="1"/>
  <c r="F31" i="57"/>
  <c r="J31" i="57" s="1"/>
  <c r="F35" i="57"/>
  <c r="J35" i="57" s="1"/>
  <c r="F39" i="57"/>
  <c r="J39" i="57" s="1"/>
  <c r="F43" i="57"/>
  <c r="J43" i="57" s="1"/>
  <c r="F47" i="57"/>
  <c r="J47" i="57" s="1"/>
  <c r="F51" i="57"/>
  <c r="J51" i="57" s="1"/>
  <c r="F55" i="57"/>
  <c r="J55" i="57" s="1"/>
  <c r="D26" i="57"/>
  <c r="F36" i="57"/>
  <c r="J36" i="57" s="1"/>
  <c r="F37" i="57"/>
  <c r="J37" i="57" s="1"/>
  <c r="F38" i="57"/>
  <c r="J38" i="57" s="1"/>
  <c r="F52" i="57"/>
  <c r="J52" i="57" s="1"/>
  <c r="F53" i="57"/>
  <c r="J53" i="57" s="1"/>
  <c r="F54" i="57"/>
  <c r="J54" i="57" s="1"/>
  <c r="F59" i="57"/>
  <c r="J59" i="57" s="1"/>
  <c r="F26" i="57"/>
  <c r="F40" i="57"/>
  <c r="J40" i="57" s="1"/>
  <c r="F41" i="57"/>
  <c r="J41" i="57" s="1"/>
  <c r="F42" i="57"/>
  <c r="J42" i="57" s="1"/>
  <c r="F58" i="57"/>
  <c r="J58" i="57" s="1"/>
  <c r="F61" i="57"/>
  <c r="J61" i="57" s="1"/>
  <c r="F33" i="57"/>
  <c r="J33" i="57" s="1"/>
  <c r="F45" i="57"/>
  <c r="J45" i="57" s="1"/>
  <c r="F57" i="57"/>
  <c r="J57" i="57" s="1"/>
  <c r="N25" i="57"/>
  <c r="F48" i="57"/>
  <c r="J48" i="57" s="1"/>
  <c r="F49" i="57"/>
  <c r="J49" i="57" s="1"/>
  <c r="F50" i="57"/>
  <c r="J50" i="57" s="1"/>
  <c r="F60" i="57"/>
  <c r="J60" i="57" s="1"/>
  <c r="F28" i="57"/>
  <c r="J28" i="57" s="1"/>
  <c r="F29" i="57"/>
  <c r="J29" i="57" s="1"/>
  <c r="F30" i="57"/>
  <c r="J30" i="57" s="1"/>
  <c r="F32" i="57"/>
  <c r="J32" i="57" s="1"/>
  <c r="F34" i="57"/>
  <c r="J34" i="57" s="1"/>
  <c r="F56" i="57"/>
  <c r="J56" i="57" s="1"/>
  <c r="F44" i="57"/>
  <c r="J44" i="57" s="1"/>
  <c r="F46" i="57"/>
  <c r="J46" i="57" s="1"/>
  <c r="E25" i="57"/>
  <c r="I25" i="57" s="1"/>
  <c r="L25" i="57"/>
  <c r="C28" i="34"/>
  <c r="D16" i="34"/>
  <c r="F16" i="34" s="1"/>
  <c r="E27" i="34"/>
  <c r="G27" i="34" s="1"/>
  <c r="G26" i="38"/>
  <c r="F25" i="38"/>
  <c r="I19" i="34"/>
  <c r="G31" i="33" l="1"/>
  <c r="H31" i="33" s="1"/>
  <c r="M25" i="57"/>
  <c r="J26" i="57"/>
  <c r="K26" i="57" s="1"/>
  <c r="G26" i="57"/>
  <c r="D27" i="57"/>
  <c r="E26" i="57"/>
  <c r="C29" i="34"/>
  <c r="D17" i="34"/>
  <c r="F17" i="34" s="1"/>
  <c r="E28" i="34"/>
  <c r="G28" i="34" s="1"/>
  <c r="G27" i="38"/>
  <c r="F26" i="38"/>
  <c r="H26" i="57" l="1"/>
  <c r="G27" i="57"/>
  <c r="K27" i="57"/>
  <c r="L26" i="57"/>
  <c r="D28" i="57"/>
  <c r="E27" i="57"/>
  <c r="I26" i="57"/>
  <c r="N26" i="57"/>
  <c r="C30" i="34"/>
  <c r="E29" i="34"/>
  <c r="G29" i="34" s="1"/>
  <c r="D18" i="34"/>
  <c r="F18" i="34" s="1"/>
  <c r="G28" i="38"/>
  <c r="F28" i="38" s="1"/>
  <c r="F27" i="38"/>
  <c r="D29" i="57" l="1"/>
  <c r="E28" i="57"/>
  <c r="K28" i="57"/>
  <c r="L27" i="57"/>
  <c r="N27" i="57"/>
  <c r="M26" i="57"/>
  <c r="G28" i="57"/>
  <c r="H27" i="57"/>
  <c r="I27" i="57" s="1"/>
  <c r="C31" i="34"/>
  <c r="D19" i="34"/>
  <c r="F19" i="34" s="1"/>
  <c r="E30" i="34"/>
  <c r="B20" i="34"/>
  <c r="G30" i="34" l="1"/>
  <c r="E11" i="61" a="1"/>
  <c r="M27" i="57"/>
  <c r="H28" i="57"/>
  <c r="I28" i="57" s="1"/>
  <c r="G29" i="57"/>
  <c r="N28" i="57"/>
  <c r="K29" i="57"/>
  <c r="L28" i="57"/>
  <c r="D30" i="57"/>
  <c r="E29" i="57"/>
  <c r="C32" i="34"/>
  <c r="D20" i="34"/>
  <c r="F20" i="34" s="1"/>
  <c r="E31" i="34"/>
  <c r="I20" i="34"/>
  <c r="H11" i="61" l="1"/>
  <c r="E11" i="61"/>
  <c r="M11" i="61"/>
  <c r="Q11" i="61"/>
  <c r="I11" i="61"/>
  <c r="O11" i="61"/>
  <c r="J11" i="61"/>
  <c r="P11" i="61"/>
  <c r="K11" i="61"/>
  <c r="F11" i="61"/>
  <c r="G11" i="61"/>
  <c r="N11" i="61"/>
  <c r="L11" i="61"/>
  <c r="M28" i="57"/>
  <c r="D31" i="57"/>
  <c r="E30" i="57"/>
  <c r="K30" i="57"/>
  <c r="L29" i="57"/>
  <c r="H29" i="57"/>
  <c r="I29" i="57" s="1"/>
  <c r="G30" i="57"/>
  <c r="N29" i="57"/>
  <c r="G31" i="34"/>
  <c r="C33" i="34"/>
  <c r="D21" i="34"/>
  <c r="F21" i="34" s="1"/>
  <c r="E32" i="34"/>
  <c r="B21" i="34"/>
  <c r="L47" i="61" l="1"/>
  <c r="L48" i="61" s="1"/>
  <c r="L12" i="61"/>
  <c r="L43" i="61" s="1"/>
  <c r="K47" i="61"/>
  <c r="K48" i="61" s="1"/>
  <c r="K12" i="61"/>
  <c r="K43" i="61" s="1"/>
  <c r="I47" i="61"/>
  <c r="I48" i="61" s="1"/>
  <c r="I12" i="61"/>
  <c r="I43" i="61" s="1"/>
  <c r="H12" i="61"/>
  <c r="H43" i="61" s="1"/>
  <c r="H47" i="61"/>
  <c r="H48" i="61" s="1"/>
  <c r="N47" i="61"/>
  <c r="N48" i="61" s="1"/>
  <c r="N12" i="61"/>
  <c r="N43" i="61" s="1"/>
  <c r="P47" i="61"/>
  <c r="P48" i="61" s="1"/>
  <c r="P12" i="61"/>
  <c r="P43" i="61" s="1"/>
  <c r="Q47" i="61"/>
  <c r="Q48" i="61" s="1"/>
  <c r="Q12" i="61"/>
  <c r="Q43" i="61" s="1"/>
  <c r="G47" i="61"/>
  <c r="G48" i="61" s="1"/>
  <c r="G12" i="61"/>
  <c r="G43" i="61" s="1"/>
  <c r="J47" i="61"/>
  <c r="J48" i="61" s="1"/>
  <c r="J12" i="61"/>
  <c r="J43" i="61" s="1"/>
  <c r="M12" i="61"/>
  <c r="M43" i="61" s="1"/>
  <c r="M47" i="61"/>
  <c r="M48" i="61" s="1"/>
  <c r="F47" i="61"/>
  <c r="F48" i="61" s="1"/>
  <c r="F12" i="61"/>
  <c r="F43" i="61" s="1"/>
  <c r="O47" i="61"/>
  <c r="O48" i="61" s="1"/>
  <c r="O12" i="61"/>
  <c r="O43" i="61" s="1"/>
  <c r="E47" i="61"/>
  <c r="E12" i="61"/>
  <c r="E43" i="61" s="1"/>
  <c r="R11" i="61"/>
  <c r="H30" i="57"/>
  <c r="G31" i="57"/>
  <c r="N30" i="57"/>
  <c r="M29" i="57"/>
  <c r="D32" i="57"/>
  <c r="E31" i="57"/>
  <c r="K31" i="57"/>
  <c r="L30" i="57"/>
  <c r="I30" i="57"/>
  <c r="G32" i="34"/>
  <c r="C34" i="34"/>
  <c r="E33" i="34"/>
  <c r="D22" i="34"/>
  <c r="F22" i="34" s="1"/>
  <c r="B22" i="34"/>
  <c r="I21" i="34"/>
  <c r="F49" i="61" l="1"/>
  <c r="Q49" i="61"/>
  <c r="H49" i="61"/>
  <c r="K49" i="61"/>
  <c r="R47" i="61"/>
  <c r="R48" i="61" s="1"/>
  <c r="R12" i="61"/>
  <c r="R43" i="61" s="1"/>
  <c r="M49" i="61"/>
  <c r="G49" i="61"/>
  <c r="C12" i="60" a="1"/>
  <c r="E48" i="61"/>
  <c r="E49" i="61" s="1"/>
  <c r="O49" i="61"/>
  <c r="P49" i="61"/>
  <c r="J49" i="61"/>
  <c r="N49" i="61"/>
  <c r="I49" i="61"/>
  <c r="L49" i="61"/>
  <c r="M30" i="57"/>
  <c r="D33" i="57"/>
  <c r="E32" i="57"/>
  <c r="G32" i="57"/>
  <c r="H31" i="57"/>
  <c r="I31" i="57" s="1"/>
  <c r="K32" i="57"/>
  <c r="L31" i="57"/>
  <c r="N31" i="57"/>
  <c r="G33" i="34"/>
  <c r="C35" i="34"/>
  <c r="D23" i="34"/>
  <c r="F23" i="34" s="1"/>
  <c r="E34" i="34"/>
  <c r="B23" i="34"/>
  <c r="I22" i="34"/>
  <c r="R49" i="61" l="1"/>
  <c r="C14" i="60"/>
  <c r="J14" i="60" s="1"/>
  <c r="C15" i="60"/>
  <c r="J15" i="60" s="1"/>
  <c r="C20" i="60"/>
  <c r="J20" i="60" s="1"/>
  <c r="C25" i="60"/>
  <c r="J25" i="60" s="1"/>
  <c r="C12" i="60"/>
  <c r="C17" i="60"/>
  <c r="J17" i="60" s="1"/>
  <c r="C23" i="60"/>
  <c r="J23" i="60" s="1"/>
  <c r="C16" i="60"/>
  <c r="J16" i="60" s="1"/>
  <c r="C21" i="60"/>
  <c r="J21" i="60" s="1"/>
  <c r="C13" i="60"/>
  <c r="J13" i="60" s="1"/>
  <c r="C19" i="60"/>
  <c r="J19" i="60" s="1"/>
  <c r="C24" i="60"/>
  <c r="J24" i="60" s="1"/>
  <c r="C22" i="60"/>
  <c r="J22" i="60" s="1"/>
  <c r="C18" i="60"/>
  <c r="J18" i="60" s="1"/>
  <c r="M31" i="57"/>
  <c r="H32" i="57"/>
  <c r="I32" i="57" s="1"/>
  <c r="G33" i="57"/>
  <c r="N32" i="57"/>
  <c r="K33" i="57"/>
  <c r="L32" i="57"/>
  <c r="D34" i="57"/>
  <c r="E33" i="57"/>
  <c r="G34" i="34"/>
  <c r="C36" i="34"/>
  <c r="D24" i="34"/>
  <c r="F24" i="34" s="1"/>
  <c r="E35" i="34"/>
  <c r="B24" i="34"/>
  <c r="I23" i="34"/>
  <c r="D12" i="60" l="1"/>
  <c r="J12" i="60"/>
  <c r="K12" i="60" s="1"/>
  <c r="M32" i="57"/>
  <c r="K34" i="57"/>
  <c r="L33" i="57"/>
  <c r="D35" i="57"/>
  <c r="E34" i="57"/>
  <c r="H33" i="57"/>
  <c r="I33" i="57" s="1"/>
  <c r="G34" i="57"/>
  <c r="N33" i="57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D13" i="60" l="1"/>
  <c r="E13" i="60" s="1"/>
  <c r="N12" i="60"/>
  <c r="K13" i="60"/>
  <c r="K14" i="60" s="1"/>
  <c r="K15" i="60" s="1"/>
  <c r="K16" i="60" s="1"/>
  <c r="K17" i="60" s="1"/>
  <c r="K18" i="60" s="1"/>
  <c r="K19" i="60" s="1"/>
  <c r="K20" i="60" s="1"/>
  <c r="M33" i="57"/>
  <c r="G35" i="57"/>
  <c r="H34" i="57"/>
  <c r="I34" i="57" s="1"/>
  <c r="D36" i="57"/>
  <c r="E35" i="57"/>
  <c r="K35" i="57"/>
  <c r="L34" i="57"/>
  <c r="N34" i="57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L19" i="60" l="1"/>
  <c r="I14" i="60"/>
  <c r="E12" i="60"/>
  <c r="D14" i="60"/>
  <c r="N13" i="60"/>
  <c r="K21" i="60"/>
  <c r="L20" i="60"/>
  <c r="K36" i="57"/>
  <c r="L35" i="57"/>
  <c r="G36" i="57"/>
  <c r="H35" i="57"/>
  <c r="I35" i="57" s="1"/>
  <c r="N35" i="57"/>
  <c r="M34" i="57"/>
  <c r="D37" i="57"/>
  <c r="E36" i="57"/>
  <c r="G37" i="34"/>
  <c r="C39" i="34"/>
  <c r="E38" i="34"/>
  <c r="H17" i="34"/>
  <c r="J17" i="34" s="1"/>
  <c r="K17" i="34" s="1"/>
  <c r="L17" i="34" s="1"/>
  <c r="B27" i="34"/>
  <c r="I26" i="34"/>
  <c r="D15" i="60" l="1"/>
  <c r="N14" i="60"/>
  <c r="E14" i="60"/>
  <c r="I15" i="60" s="1"/>
  <c r="I12" i="60"/>
  <c r="I13" i="60"/>
  <c r="K22" i="60"/>
  <c r="L21" i="60"/>
  <c r="H36" i="57"/>
  <c r="I36" i="57" s="1"/>
  <c r="G37" i="57"/>
  <c r="M35" i="57"/>
  <c r="N36" i="57"/>
  <c r="D38" i="57"/>
  <c r="E37" i="57"/>
  <c r="K37" i="57"/>
  <c r="L36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L12" i="60" l="1"/>
  <c r="M12" i="60" s="1"/>
  <c r="L14" i="60"/>
  <c r="M14" i="60" s="1"/>
  <c r="L15" i="60"/>
  <c r="M15" i="60" s="1"/>
  <c r="L13" i="60"/>
  <c r="M13" i="60" s="1"/>
  <c r="L22" i="60"/>
  <c r="K23" i="60"/>
  <c r="N15" i="60"/>
  <c r="D16" i="60"/>
  <c r="E15" i="60"/>
  <c r="L16" i="60" s="1"/>
  <c r="D39" i="57"/>
  <c r="E38" i="57"/>
  <c r="H37" i="57"/>
  <c r="I37" i="57" s="1"/>
  <c r="G38" i="57"/>
  <c r="K38" i="57"/>
  <c r="L37" i="57"/>
  <c r="N37" i="57"/>
  <c r="M36" i="57"/>
  <c r="G39" i="34"/>
  <c r="F28" i="34"/>
  <c r="C41" i="34"/>
  <c r="E40" i="34"/>
  <c r="H19" i="34"/>
  <c r="B29" i="34"/>
  <c r="I28" i="34"/>
  <c r="K24" i="60" l="1"/>
  <c r="L23" i="60"/>
  <c r="I16" i="60"/>
  <c r="M16" i="60" s="1"/>
  <c r="N16" i="60"/>
  <c r="D17" i="60"/>
  <c r="E16" i="60"/>
  <c r="I17" i="60" s="1"/>
  <c r="D40" i="57"/>
  <c r="E39" i="57"/>
  <c r="M37" i="57"/>
  <c r="G39" i="57"/>
  <c r="H38" i="57"/>
  <c r="I38" i="57" s="1"/>
  <c r="N38" i="57"/>
  <c r="K39" i="57"/>
  <c r="L38" i="57"/>
  <c r="G40" i="34"/>
  <c r="D29" i="34"/>
  <c r="F29" i="34" s="1"/>
  <c r="B30" i="34"/>
  <c r="D30" i="34" s="1"/>
  <c r="C42" i="34"/>
  <c r="C71" i="34" s="1"/>
  <c r="G16" i="33" s="1"/>
  <c r="E41" i="34"/>
  <c r="H20" i="34"/>
  <c r="J20" i="34" s="1"/>
  <c r="K20" i="34" s="1"/>
  <c r="J19" i="34"/>
  <c r="K19" i="34" s="1"/>
  <c r="L19" i="34" s="1"/>
  <c r="I29" i="34"/>
  <c r="G41" i="34" l="1"/>
  <c r="D18" i="60"/>
  <c r="N17" i="60"/>
  <c r="E17" i="60"/>
  <c r="I18" i="60" s="1"/>
  <c r="L17" i="60"/>
  <c r="M17" i="60" s="1"/>
  <c r="K25" i="60"/>
  <c r="L25" i="60" s="1"/>
  <c r="L24" i="60"/>
  <c r="M38" i="57"/>
  <c r="D41" i="57"/>
  <c r="E40" i="57"/>
  <c r="G40" i="57"/>
  <c r="H39" i="57"/>
  <c r="I39" i="57" s="1"/>
  <c r="K40" i="57"/>
  <c r="L39" i="57"/>
  <c r="N39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L18" i="60" l="1"/>
  <c r="M18" i="60" s="1"/>
  <c r="D19" i="60"/>
  <c r="N18" i="60"/>
  <c r="E18" i="60"/>
  <c r="K41" i="57"/>
  <c r="L40" i="57"/>
  <c r="N40" i="57"/>
  <c r="D42" i="57"/>
  <c r="E41" i="57"/>
  <c r="M39" i="57"/>
  <c r="G41" i="57"/>
  <c r="H40" i="57"/>
  <c r="I40" i="57" s="1"/>
  <c r="D31" i="34"/>
  <c r="F31" i="34" s="1"/>
  <c r="G71" i="34"/>
  <c r="G17" i="33" s="1"/>
  <c r="E70" i="34"/>
  <c r="G29" i="33" s="1"/>
  <c r="C44" i="34"/>
  <c r="E43" i="34"/>
  <c r="G43" i="34" s="1"/>
  <c r="H22" i="34"/>
  <c r="J22" i="34" s="1"/>
  <c r="K22" i="34" s="1"/>
  <c r="L22" i="34" s="1"/>
  <c r="D32" i="34"/>
  <c r="I31" i="34"/>
  <c r="N41" i="57" l="1"/>
  <c r="D20" i="60"/>
  <c r="N19" i="60"/>
  <c r="E19" i="60"/>
  <c r="I19" i="60" s="1"/>
  <c r="M19" i="60" s="1"/>
  <c r="M40" i="57"/>
  <c r="D43" i="57"/>
  <c r="E42" i="57"/>
  <c r="K42" i="57"/>
  <c r="L41" i="57"/>
  <c r="G42" i="57"/>
  <c r="H41" i="57"/>
  <c r="I41" i="57" s="1"/>
  <c r="F32" i="34"/>
  <c r="C45" i="34"/>
  <c r="E44" i="34"/>
  <c r="G44" i="34" s="1"/>
  <c r="F19" i="33"/>
  <c r="H23" i="34"/>
  <c r="J23" i="34" s="1"/>
  <c r="K23" i="34" s="1"/>
  <c r="L23" i="34" s="1"/>
  <c r="D33" i="34"/>
  <c r="I32" i="34"/>
  <c r="N42" i="57" l="1"/>
  <c r="F26" i="33"/>
  <c r="E20" i="60"/>
  <c r="I20" i="60" s="1"/>
  <c r="M20" i="60" s="1"/>
  <c r="D21" i="60"/>
  <c r="N20" i="60"/>
  <c r="D44" i="57"/>
  <c r="E43" i="57"/>
  <c r="M41" i="57"/>
  <c r="K43" i="57"/>
  <c r="L42" i="57"/>
  <c r="G43" i="57"/>
  <c r="H42" i="57"/>
  <c r="I42" i="57" s="1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D22" i="60" l="1"/>
  <c r="E21" i="60"/>
  <c r="I21" i="60" s="1"/>
  <c r="M21" i="60" s="1"/>
  <c r="N21" i="60"/>
  <c r="G44" i="57"/>
  <c r="H43" i="57"/>
  <c r="I43" i="57" s="1"/>
  <c r="M42" i="57"/>
  <c r="D45" i="57"/>
  <c r="E44" i="57"/>
  <c r="K44" i="57"/>
  <c r="L43" i="57"/>
  <c r="N43" i="57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F35" i="34" l="1"/>
  <c r="E22" i="60"/>
  <c r="I22" i="60" s="1"/>
  <c r="M22" i="60" s="1"/>
  <c r="D23" i="60"/>
  <c r="N22" i="60"/>
  <c r="N44" i="57"/>
  <c r="K45" i="57"/>
  <c r="L44" i="57"/>
  <c r="D46" i="57"/>
  <c r="E45" i="57"/>
  <c r="M43" i="57"/>
  <c r="G45" i="57"/>
  <c r="H44" i="57"/>
  <c r="I44" i="57" s="1"/>
  <c r="C48" i="34"/>
  <c r="E47" i="34"/>
  <c r="G47" i="34" s="1"/>
  <c r="H26" i="34"/>
  <c r="J26" i="34" s="1"/>
  <c r="K26" i="34" s="1"/>
  <c r="L26" i="34" s="1"/>
  <c r="B36" i="34"/>
  <c r="D36" i="34" s="1"/>
  <c r="I35" i="34"/>
  <c r="F36" i="34" l="1"/>
  <c r="N23" i="60"/>
  <c r="E23" i="60"/>
  <c r="I23" i="60" s="1"/>
  <c r="M23" i="60" s="1"/>
  <c r="D24" i="60"/>
  <c r="M44" i="57"/>
  <c r="G46" i="57"/>
  <c r="N46" i="57" s="1"/>
  <c r="H45" i="57"/>
  <c r="I45" i="57" s="1"/>
  <c r="N45" i="57"/>
  <c r="K46" i="57"/>
  <c r="L45" i="57"/>
  <c r="D47" i="57"/>
  <c r="E46" i="57"/>
  <c r="C49" i="34"/>
  <c r="E48" i="34"/>
  <c r="G48" i="34" s="1"/>
  <c r="H27" i="34"/>
  <c r="J27" i="34" s="1"/>
  <c r="K27" i="34" s="1"/>
  <c r="L27" i="34" s="1"/>
  <c r="B37" i="34"/>
  <c r="D37" i="34" s="1"/>
  <c r="I36" i="34"/>
  <c r="F37" i="34" l="1"/>
  <c r="N24" i="60"/>
  <c r="D25" i="60"/>
  <c r="E24" i="60"/>
  <c r="I24" i="60" s="1"/>
  <c r="M24" i="60" s="1"/>
  <c r="M45" i="57"/>
  <c r="G47" i="57"/>
  <c r="H46" i="57"/>
  <c r="I46" i="57" s="1"/>
  <c r="D48" i="57"/>
  <c r="E47" i="57"/>
  <c r="K47" i="57"/>
  <c r="L46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F39" i="60" l="1"/>
  <c r="J39" i="60" s="1"/>
  <c r="F29" i="60"/>
  <c r="J29" i="60" s="1"/>
  <c r="F46" i="60"/>
  <c r="J46" i="60" s="1"/>
  <c r="F26" i="60"/>
  <c r="F58" i="60"/>
  <c r="J58" i="60" s="1"/>
  <c r="F60" i="60"/>
  <c r="J60" i="60" s="1"/>
  <c r="F38" i="60"/>
  <c r="J38" i="60" s="1"/>
  <c r="D26" i="60"/>
  <c r="F52" i="60"/>
  <c r="J52" i="60" s="1"/>
  <c r="F31" i="60"/>
  <c r="J31" i="60" s="1"/>
  <c r="F44" i="60"/>
  <c r="J44" i="60" s="1"/>
  <c r="F56" i="60"/>
  <c r="J56" i="60" s="1"/>
  <c r="N25" i="60"/>
  <c r="F53" i="60"/>
  <c r="J53" i="60" s="1"/>
  <c r="F28" i="60"/>
  <c r="J28" i="60" s="1"/>
  <c r="F59" i="60"/>
  <c r="J59" i="60" s="1"/>
  <c r="F41" i="60"/>
  <c r="J41" i="60" s="1"/>
  <c r="F36" i="60"/>
  <c r="J36" i="60" s="1"/>
  <c r="F33" i="60"/>
  <c r="J33" i="60" s="1"/>
  <c r="F27" i="60"/>
  <c r="J27" i="60" s="1"/>
  <c r="F43" i="60"/>
  <c r="J43" i="60" s="1"/>
  <c r="F30" i="60"/>
  <c r="J30" i="60" s="1"/>
  <c r="F51" i="60"/>
  <c r="J51" i="60" s="1"/>
  <c r="F37" i="60"/>
  <c r="J37" i="60" s="1"/>
  <c r="F32" i="60"/>
  <c r="J32" i="60" s="1"/>
  <c r="F61" i="60"/>
  <c r="J61" i="60" s="1"/>
  <c r="F48" i="60"/>
  <c r="J48" i="60" s="1"/>
  <c r="F42" i="60"/>
  <c r="J42" i="60" s="1"/>
  <c r="F54" i="60"/>
  <c r="J54" i="60" s="1"/>
  <c r="F47" i="60"/>
  <c r="J47" i="60" s="1"/>
  <c r="F55" i="60"/>
  <c r="J55" i="60" s="1"/>
  <c r="F34" i="60"/>
  <c r="J34" i="60" s="1"/>
  <c r="F49" i="60"/>
  <c r="J49" i="60" s="1"/>
  <c r="F40" i="60"/>
  <c r="J40" i="60" s="1"/>
  <c r="F35" i="60"/>
  <c r="J35" i="60" s="1"/>
  <c r="F45" i="60"/>
  <c r="J45" i="60" s="1"/>
  <c r="F57" i="60"/>
  <c r="J57" i="60" s="1"/>
  <c r="F50" i="60"/>
  <c r="J50" i="60" s="1"/>
  <c r="E25" i="60"/>
  <c r="I25" i="60" s="1"/>
  <c r="M25" i="60" s="1"/>
  <c r="N47" i="57"/>
  <c r="M46" i="57"/>
  <c r="K48" i="57"/>
  <c r="L47" i="57"/>
  <c r="D49" i="57"/>
  <c r="E48" i="57"/>
  <c r="G48" i="57"/>
  <c r="N48" i="57" s="1"/>
  <c r="H47" i="57"/>
  <c r="I47" i="57" s="1"/>
  <c r="C51" i="34"/>
  <c r="E50" i="34"/>
  <c r="G50" i="34" s="1"/>
  <c r="H29" i="34"/>
  <c r="J29" i="34" s="1"/>
  <c r="K29" i="34" s="1"/>
  <c r="L29" i="34" s="1"/>
  <c r="B39" i="34"/>
  <c r="E26" i="60" l="1"/>
  <c r="D27" i="60"/>
  <c r="G32" i="33"/>
  <c r="J26" i="60"/>
  <c r="K26" i="60" s="1"/>
  <c r="G26" i="60"/>
  <c r="K49" i="57"/>
  <c r="L48" i="57"/>
  <c r="M47" i="57"/>
  <c r="G49" i="57"/>
  <c r="H48" i="57"/>
  <c r="I48" i="57" s="1"/>
  <c r="D50" i="57"/>
  <c r="E49" i="57"/>
  <c r="C52" i="34"/>
  <c r="E51" i="34"/>
  <c r="G51" i="34" s="1"/>
  <c r="H30" i="34"/>
  <c r="D39" i="34"/>
  <c r="F39" i="34" s="1"/>
  <c r="B40" i="34"/>
  <c r="D40" i="34" s="1"/>
  <c r="I39" i="34"/>
  <c r="I38" i="34"/>
  <c r="K27" i="60" l="1"/>
  <c r="L26" i="60"/>
  <c r="H32" i="33"/>
  <c r="G33" i="33"/>
  <c r="N26" i="60"/>
  <c r="G27" i="60"/>
  <c r="H26" i="60"/>
  <c r="I26" i="60" s="1"/>
  <c r="E27" i="60"/>
  <c r="D28" i="60"/>
  <c r="M48" i="57"/>
  <c r="D51" i="57"/>
  <c r="E50" i="57"/>
  <c r="K50" i="57"/>
  <c r="L49" i="57"/>
  <c r="G50" i="57"/>
  <c r="H49" i="57"/>
  <c r="I49" i="57" s="1"/>
  <c r="N49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M26" i="60" l="1"/>
  <c r="G35" i="33"/>
  <c r="K28" i="60"/>
  <c r="L27" i="60"/>
  <c r="N27" i="60"/>
  <c r="G28" i="60"/>
  <c r="H27" i="60"/>
  <c r="I27" i="60" s="1"/>
  <c r="D29" i="60"/>
  <c r="E28" i="60"/>
  <c r="N50" i="57"/>
  <c r="D52" i="57"/>
  <c r="E51" i="57"/>
  <c r="G51" i="57"/>
  <c r="H50" i="57"/>
  <c r="I50" i="57" s="1"/>
  <c r="M49" i="57"/>
  <c r="K51" i="57"/>
  <c r="L50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27" i="60" l="1"/>
  <c r="D30" i="60"/>
  <c r="E29" i="60"/>
  <c r="G37" i="33"/>
  <c r="K29" i="60"/>
  <c r="L28" i="60"/>
  <c r="N28" i="60"/>
  <c r="H28" i="60"/>
  <c r="I28" i="60" s="1"/>
  <c r="G29" i="60"/>
  <c r="D53" i="57"/>
  <c r="E52" i="57"/>
  <c r="G52" i="57"/>
  <c r="H51" i="57"/>
  <c r="N51" i="57"/>
  <c r="I51" i="57"/>
  <c r="M50" i="57"/>
  <c r="K52" i="57"/>
  <c r="L51" i="57"/>
  <c r="E17" i="38"/>
  <c r="D42" i="34"/>
  <c r="D70" i="34" s="1"/>
  <c r="B71" i="34"/>
  <c r="L32" i="34"/>
  <c r="C55" i="34"/>
  <c r="E54" i="34"/>
  <c r="G54" i="34" s="1"/>
  <c r="H33" i="34"/>
  <c r="J33" i="34" s="1"/>
  <c r="K33" i="34" s="1"/>
  <c r="B43" i="34"/>
  <c r="D43" i="34" s="1"/>
  <c r="M28" i="60" l="1"/>
  <c r="E30" i="60"/>
  <c r="D31" i="60"/>
  <c r="G38" i="33"/>
  <c r="H29" i="60"/>
  <c r="I29" i="60" s="1"/>
  <c r="G30" i="60"/>
  <c r="K30" i="60"/>
  <c r="L29" i="60"/>
  <c r="N29" i="60"/>
  <c r="K53" i="57"/>
  <c r="L52" i="57"/>
  <c r="N52" i="57"/>
  <c r="D54" i="57"/>
  <c r="E53" i="57"/>
  <c r="M51" i="57"/>
  <c r="G53" i="57"/>
  <c r="N53" i="57" s="1"/>
  <c r="H52" i="57"/>
  <c r="I52" i="57" s="1"/>
  <c r="F42" i="34"/>
  <c r="F71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1" i="34" s="1"/>
  <c r="K31" i="60" l="1"/>
  <c r="L30" i="60"/>
  <c r="H30" i="60"/>
  <c r="I30" i="60" s="1"/>
  <c r="G31" i="60"/>
  <c r="N30" i="60"/>
  <c r="M29" i="60"/>
  <c r="D32" i="60"/>
  <c r="E31" i="60"/>
  <c r="K54" i="57"/>
  <c r="L53" i="57"/>
  <c r="M52" i="57"/>
  <c r="G54" i="57"/>
  <c r="H53" i="57"/>
  <c r="I53" i="57" s="1"/>
  <c r="D55" i="57"/>
  <c r="E54" i="57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D33" i="60" l="1"/>
  <c r="E32" i="60"/>
  <c r="L31" i="60"/>
  <c r="K32" i="60"/>
  <c r="G32" i="60"/>
  <c r="H31" i="60"/>
  <c r="I31" i="60" s="1"/>
  <c r="N31" i="60"/>
  <c r="M30" i="60"/>
  <c r="D56" i="57"/>
  <c r="E55" i="57"/>
  <c r="K55" i="57"/>
  <c r="L54" i="57"/>
  <c r="M53" i="57"/>
  <c r="G55" i="57"/>
  <c r="N55" i="57" s="1"/>
  <c r="H54" i="57"/>
  <c r="I54" i="57" s="1"/>
  <c r="N54" i="57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K33" i="60" l="1"/>
  <c r="L32" i="60"/>
  <c r="D34" i="60"/>
  <c r="E33" i="60"/>
  <c r="M31" i="60"/>
  <c r="G33" i="60"/>
  <c r="H32" i="60"/>
  <c r="I32" i="60" s="1"/>
  <c r="N32" i="60"/>
  <c r="G56" i="57"/>
  <c r="H55" i="57"/>
  <c r="M54" i="57"/>
  <c r="K56" i="57"/>
  <c r="L55" i="57"/>
  <c r="I55" i="57"/>
  <c r="D57" i="57"/>
  <c r="E56" i="57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N33" i="60" l="1"/>
  <c r="K34" i="60"/>
  <c r="L33" i="60"/>
  <c r="H33" i="60"/>
  <c r="I33" i="60" s="1"/>
  <c r="G34" i="60"/>
  <c r="D35" i="60"/>
  <c r="E34" i="60"/>
  <c r="M32" i="60"/>
  <c r="D58" i="57"/>
  <c r="E57" i="57"/>
  <c r="K57" i="57"/>
  <c r="L56" i="57"/>
  <c r="N56" i="57"/>
  <c r="M55" i="57"/>
  <c r="G57" i="57"/>
  <c r="H56" i="57"/>
  <c r="I56" i="57" s="1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34" i="60" l="1"/>
  <c r="K35" i="60"/>
  <c r="N34" i="60"/>
  <c r="G35" i="60"/>
  <c r="H34" i="60"/>
  <c r="I34" i="60" s="1"/>
  <c r="D36" i="60"/>
  <c r="E35" i="60"/>
  <c r="M33" i="60"/>
  <c r="G58" i="57"/>
  <c r="H57" i="57"/>
  <c r="I57" i="57" s="1"/>
  <c r="K58" i="57"/>
  <c r="L57" i="57"/>
  <c r="N57" i="57"/>
  <c r="M56" i="57"/>
  <c r="D59" i="57"/>
  <c r="E58" i="57"/>
  <c r="F48" i="34"/>
  <c r="L37" i="34"/>
  <c r="D23" i="38" s="1"/>
  <c r="E23" i="38" s="1"/>
  <c r="C61" i="34"/>
  <c r="E61" i="34" s="1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N58" i="57" l="1"/>
  <c r="N35" i="60"/>
  <c r="M34" i="60"/>
  <c r="H35" i="60"/>
  <c r="I35" i="60" s="1"/>
  <c r="G36" i="60"/>
  <c r="D37" i="60"/>
  <c r="E36" i="60"/>
  <c r="H33" i="33"/>
  <c r="K36" i="60"/>
  <c r="L35" i="60"/>
  <c r="K59" i="57"/>
  <c r="L58" i="57"/>
  <c r="D60" i="57"/>
  <c r="E59" i="57"/>
  <c r="M57" i="57"/>
  <c r="G59" i="57"/>
  <c r="H58" i="57"/>
  <c r="I58" i="57" s="1"/>
  <c r="F49" i="34"/>
  <c r="C62" i="34"/>
  <c r="E62" i="34" s="1"/>
  <c r="G61" i="34"/>
  <c r="K39" i="34"/>
  <c r="H40" i="34"/>
  <c r="J40" i="34" s="1"/>
  <c r="B50" i="34"/>
  <c r="D50" i="34" s="1"/>
  <c r="H17" i="33"/>
  <c r="I48" i="34"/>
  <c r="M35" i="60" l="1"/>
  <c r="E37" i="60"/>
  <c r="G21" i="33" s="1"/>
  <c r="D38" i="60"/>
  <c r="H35" i="33"/>
  <c r="L36" i="60"/>
  <c r="K37" i="60"/>
  <c r="N36" i="60"/>
  <c r="H36" i="60"/>
  <c r="I36" i="60" s="1"/>
  <c r="G37" i="60"/>
  <c r="D61" i="57"/>
  <c r="E60" i="57"/>
  <c r="K60" i="57"/>
  <c r="L59" i="57"/>
  <c r="N59" i="57"/>
  <c r="G60" i="57"/>
  <c r="N60" i="57" s="1"/>
  <c r="H59" i="57"/>
  <c r="I59" i="57" s="1"/>
  <c r="M58" i="57"/>
  <c r="F50" i="34"/>
  <c r="C63" i="34"/>
  <c r="E63" i="34" s="1"/>
  <c r="G62" i="34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M36" i="60" l="1"/>
  <c r="H21" i="33"/>
  <c r="H37" i="33"/>
  <c r="K38" i="60"/>
  <c r="L37" i="60"/>
  <c r="H37" i="60"/>
  <c r="G38" i="60"/>
  <c r="N37" i="60"/>
  <c r="D39" i="60"/>
  <c r="E38" i="60"/>
  <c r="M59" i="57"/>
  <c r="E61" i="57"/>
  <c r="G61" i="57"/>
  <c r="H61" i="57" s="1"/>
  <c r="H60" i="57"/>
  <c r="I60" i="57" s="1"/>
  <c r="K61" i="57"/>
  <c r="L61" i="57" s="1"/>
  <c r="L60" i="57"/>
  <c r="F51" i="34"/>
  <c r="E25" i="38"/>
  <c r="C64" i="34"/>
  <c r="E64" i="34" s="1"/>
  <c r="G63" i="34"/>
  <c r="L40" i="34"/>
  <c r="D26" i="38" s="1"/>
  <c r="I21" i="38"/>
  <c r="K41" i="34"/>
  <c r="H22" i="38"/>
  <c r="I50" i="34"/>
  <c r="H42" i="34"/>
  <c r="B52" i="34"/>
  <c r="D52" i="34" s="1"/>
  <c r="N38" i="60" l="1"/>
  <c r="G39" i="60"/>
  <c r="H38" i="60"/>
  <c r="I38" i="60" s="1"/>
  <c r="E39" i="60"/>
  <c r="D40" i="60"/>
  <c r="I37" i="60"/>
  <c r="M37" i="60" s="1"/>
  <c r="G22" i="33"/>
  <c r="H38" i="33"/>
  <c r="G23" i="33"/>
  <c r="K39" i="60"/>
  <c r="L38" i="60"/>
  <c r="M60" i="57"/>
  <c r="I61" i="57"/>
  <c r="M61" i="57" s="1"/>
  <c r="N61" i="57"/>
  <c r="F52" i="34"/>
  <c r="J42" i="34"/>
  <c r="K42" i="34" s="1"/>
  <c r="K71" i="34" s="1"/>
  <c r="H71" i="34"/>
  <c r="E26" i="38"/>
  <c r="C65" i="34"/>
  <c r="E65" i="34" s="1"/>
  <c r="G64" i="34"/>
  <c r="L41" i="34"/>
  <c r="D27" i="38" s="1"/>
  <c r="I22" i="38"/>
  <c r="H23" i="38"/>
  <c r="H43" i="34"/>
  <c r="J43" i="34" s="1"/>
  <c r="B53" i="34"/>
  <c r="D53" i="34" s="1"/>
  <c r="M38" i="60" l="1"/>
  <c r="N39" i="60"/>
  <c r="K40" i="60"/>
  <c r="L39" i="60"/>
  <c r="G40" i="60"/>
  <c r="H39" i="60"/>
  <c r="I39" i="60" s="1"/>
  <c r="D41" i="60"/>
  <c r="E40" i="60"/>
  <c r="H23" i="33"/>
  <c r="H22" i="33"/>
  <c r="G24" i="33"/>
  <c r="F53" i="34"/>
  <c r="E27" i="38"/>
  <c r="C66" i="34"/>
  <c r="G65" i="34"/>
  <c r="L42" i="34"/>
  <c r="I23" i="38"/>
  <c r="H24" i="38"/>
  <c r="K43" i="34"/>
  <c r="L43" i="34" s="1"/>
  <c r="I51" i="34"/>
  <c r="H44" i="34"/>
  <c r="J44" i="34" s="1"/>
  <c r="B54" i="34"/>
  <c r="I52" i="34"/>
  <c r="H24" i="33" l="1"/>
  <c r="K41" i="60"/>
  <c r="L40" i="60"/>
  <c r="N40" i="60"/>
  <c r="G41" i="60"/>
  <c r="H40" i="60"/>
  <c r="I40" i="60" s="1"/>
  <c r="D42" i="60"/>
  <c r="E41" i="60"/>
  <c r="M39" i="60"/>
  <c r="C67" i="34"/>
  <c r="C68" i="34" s="1"/>
  <c r="E66" i="34"/>
  <c r="G66" i="34" s="1"/>
  <c r="E67" i="34" s="1"/>
  <c r="F54" i="34"/>
  <c r="D28" i="38"/>
  <c r="E28" i="38" s="1"/>
  <c r="E29" i="38" s="1"/>
  <c r="L70" i="34"/>
  <c r="I24" i="38"/>
  <c r="H25" i="38"/>
  <c r="K44" i="34"/>
  <c r="L44" i="34" s="1"/>
  <c r="H45" i="34"/>
  <c r="J45" i="34" s="1"/>
  <c r="B55" i="34"/>
  <c r="D55" i="34" s="1"/>
  <c r="I53" i="34"/>
  <c r="M40" i="60" l="1"/>
  <c r="N41" i="60"/>
  <c r="K42" i="60"/>
  <c r="L41" i="60"/>
  <c r="D43" i="60"/>
  <c r="E42" i="60"/>
  <c r="G42" i="60"/>
  <c r="H41" i="60"/>
  <c r="I41" i="60" s="1"/>
  <c r="G67" i="34"/>
  <c r="G68" i="34" s="1"/>
  <c r="I68" i="34" s="1"/>
  <c r="J68" i="34" s="1"/>
  <c r="K68" i="34" s="1"/>
  <c r="F55" i="34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I25" i="38"/>
  <c r="K45" i="34"/>
  <c r="L45" i="34" s="1"/>
  <c r="H26" i="38"/>
  <c r="H46" i="34"/>
  <c r="B56" i="34"/>
  <c r="I54" i="34"/>
  <c r="I67" i="34" l="1"/>
  <c r="D44" i="60"/>
  <c r="E43" i="60"/>
  <c r="G43" i="60"/>
  <c r="H42" i="60"/>
  <c r="I42" i="60" s="1"/>
  <c r="M41" i="60"/>
  <c r="K43" i="60"/>
  <c r="L42" i="60"/>
  <c r="N42" i="60"/>
  <c r="I26" i="38"/>
  <c r="H27" i="38"/>
  <c r="H47" i="34"/>
  <c r="J47" i="34" s="1"/>
  <c r="K47" i="34" s="1"/>
  <c r="J46" i="34"/>
  <c r="K46" i="34" s="1"/>
  <c r="L46" i="34" s="1"/>
  <c r="B57" i="34"/>
  <c r="I55" i="34"/>
  <c r="N43" i="60" l="1"/>
  <c r="M42" i="60"/>
  <c r="G44" i="60"/>
  <c r="H43" i="60"/>
  <c r="I43" i="60" s="1"/>
  <c r="D45" i="60"/>
  <c r="E44" i="60"/>
  <c r="K44" i="60"/>
  <c r="L43" i="60"/>
  <c r="L47" i="34"/>
  <c r="E31" i="38"/>
  <c r="H48" i="34"/>
  <c r="J48" i="34" s="1"/>
  <c r="I27" i="38"/>
  <c r="B58" i="34"/>
  <c r="I56" i="34"/>
  <c r="K45" i="60" l="1"/>
  <c r="L44" i="60"/>
  <c r="N44" i="60"/>
  <c r="G45" i="60"/>
  <c r="H44" i="60"/>
  <c r="I44" i="60" s="1"/>
  <c r="M43" i="60"/>
  <c r="D46" i="60"/>
  <c r="E45" i="60"/>
  <c r="K48" i="34"/>
  <c r="L48" i="34" s="1"/>
  <c r="H49" i="34"/>
  <c r="J49" i="34" s="1"/>
  <c r="B59" i="34"/>
  <c r="I57" i="34"/>
  <c r="N45" i="60" l="1"/>
  <c r="M44" i="60"/>
  <c r="K46" i="60"/>
  <c r="L45" i="60"/>
  <c r="D47" i="60"/>
  <c r="E46" i="60"/>
  <c r="G46" i="60"/>
  <c r="H45" i="60"/>
  <c r="I45" i="60" s="1"/>
  <c r="K49" i="34"/>
  <c r="L49" i="34" s="1"/>
  <c r="H28" i="38"/>
  <c r="D29" i="38"/>
  <c r="H50" i="34"/>
  <c r="J50" i="34" s="1"/>
  <c r="B60" i="34"/>
  <c r="I58" i="34"/>
  <c r="E47" i="60" l="1"/>
  <c r="D48" i="60"/>
  <c r="M45" i="60"/>
  <c r="N46" i="60"/>
  <c r="G47" i="60"/>
  <c r="H46" i="60"/>
  <c r="I46" i="60" s="1"/>
  <c r="K47" i="60"/>
  <c r="L46" i="60"/>
  <c r="K50" i="34"/>
  <c r="L50" i="34" s="1"/>
  <c r="H51" i="34"/>
  <c r="J51" i="34" s="1"/>
  <c r="H29" i="38"/>
  <c r="I28" i="38"/>
  <c r="I31" i="38" s="1"/>
  <c r="G18" i="33" s="1"/>
  <c r="B61" i="34"/>
  <c r="I59" i="34"/>
  <c r="M46" i="60" l="1"/>
  <c r="G48" i="60"/>
  <c r="H47" i="60"/>
  <c r="I47" i="60" s="1"/>
  <c r="N47" i="60"/>
  <c r="D49" i="60"/>
  <c r="E48" i="60"/>
  <c r="K48" i="60"/>
  <c r="L47" i="60"/>
  <c r="K51" i="34"/>
  <c r="L51" i="34" s="1"/>
  <c r="H18" i="33"/>
  <c r="G19" i="33"/>
  <c r="H52" i="34"/>
  <c r="J52" i="34" s="1"/>
  <c r="B62" i="34"/>
  <c r="I60" i="34"/>
  <c r="K49" i="60" l="1"/>
  <c r="L48" i="60"/>
  <c r="G26" i="33"/>
  <c r="N48" i="60"/>
  <c r="G49" i="60"/>
  <c r="H48" i="60"/>
  <c r="I48" i="60" s="1"/>
  <c r="M47" i="60"/>
  <c r="D50" i="60"/>
  <c r="E49" i="60"/>
  <c r="K52" i="34"/>
  <c r="L52" i="34" s="1"/>
  <c r="H53" i="34"/>
  <c r="J53" i="34" s="1"/>
  <c r="H19" i="33"/>
  <c r="B63" i="34"/>
  <c r="I61" i="34"/>
  <c r="G50" i="60" l="1"/>
  <c r="H49" i="60"/>
  <c r="I49" i="60" s="1"/>
  <c r="K50" i="60"/>
  <c r="L49" i="60"/>
  <c r="N49" i="60"/>
  <c r="H26" i="33"/>
  <c r="D51" i="60"/>
  <c r="E50" i="60"/>
  <c r="M48" i="60"/>
  <c r="K53" i="34"/>
  <c r="L53" i="34" s="1"/>
  <c r="H54" i="34"/>
  <c r="J54" i="34" s="1"/>
  <c r="B64" i="34"/>
  <c r="I62" i="34"/>
  <c r="M49" i="60" l="1"/>
  <c r="K51" i="60"/>
  <c r="L50" i="60"/>
  <c r="G51" i="60"/>
  <c r="H50" i="60"/>
  <c r="I50" i="60" s="1"/>
  <c r="D52" i="60"/>
  <c r="E51" i="60"/>
  <c r="N50" i="60"/>
  <c r="K54" i="34"/>
  <c r="L54" i="34" s="1"/>
  <c r="H55" i="34"/>
  <c r="J55" i="34" s="1"/>
  <c r="B65" i="34"/>
  <c r="I63" i="34"/>
  <c r="N51" i="60" l="1"/>
  <c r="D53" i="60"/>
  <c r="E52" i="60"/>
  <c r="G52" i="60"/>
  <c r="H51" i="60"/>
  <c r="I51" i="60" s="1"/>
  <c r="K52" i="60"/>
  <c r="L51" i="60"/>
  <c r="M50" i="60"/>
  <c r="K55" i="34"/>
  <c r="L55" i="34" s="1"/>
  <c r="H56" i="34"/>
  <c r="J56" i="34" s="1"/>
  <c r="B66" i="34"/>
  <c r="B67" i="34" s="1"/>
  <c r="B68" i="34" s="1"/>
  <c r="I64" i="34"/>
  <c r="H67" i="34" l="1"/>
  <c r="J67" i="34" s="1"/>
  <c r="K67" i="34" s="1"/>
  <c r="L68" i="34" s="1"/>
  <c r="D54" i="60"/>
  <c r="E53" i="60"/>
  <c r="G53" i="60"/>
  <c r="H52" i="60"/>
  <c r="I52" i="60" s="1"/>
  <c r="M51" i="60"/>
  <c r="N52" i="60"/>
  <c r="K53" i="60"/>
  <c r="L52" i="60"/>
  <c r="K56" i="34"/>
  <c r="L56" i="34" s="1"/>
  <c r="H57" i="34"/>
  <c r="J57" i="34" s="1"/>
  <c r="I65" i="34"/>
  <c r="M52" i="60" l="1"/>
  <c r="D55" i="60"/>
  <c r="E54" i="60"/>
  <c r="K54" i="60"/>
  <c r="L53" i="60"/>
  <c r="G54" i="60"/>
  <c r="H53" i="60"/>
  <c r="I53" i="60" s="1"/>
  <c r="N53" i="60"/>
  <c r="K57" i="34"/>
  <c r="L57" i="34" s="1"/>
  <c r="H58" i="34"/>
  <c r="J58" i="34" s="1"/>
  <c r="I66" i="34"/>
  <c r="M53" i="60" l="1"/>
  <c r="D56" i="60"/>
  <c r="E55" i="60"/>
  <c r="K55" i="60"/>
  <c r="L54" i="60"/>
  <c r="N54" i="60"/>
  <c r="G55" i="60"/>
  <c r="H54" i="60"/>
  <c r="I54" i="60" s="1"/>
  <c r="K58" i="34"/>
  <c r="L58" i="34" s="1"/>
  <c r="H59" i="34"/>
  <c r="J59" i="34" s="1"/>
  <c r="M54" i="60" l="1"/>
  <c r="D57" i="60"/>
  <c r="E56" i="60"/>
  <c r="K56" i="60"/>
  <c r="L55" i="60"/>
  <c r="G56" i="60"/>
  <c r="H55" i="60"/>
  <c r="I55" i="60" s="1"/>
  <c r="N55" i="60"/>
  <c r="K59" i="34"/>
  <c r="L59" i="34" s="1"/>
  <c r="H60" i="34"/>
  <c r="J60" i="34" s="1"/>
  <c r="M55" i="60" l="1"/>
  <c r="D58" i="60"/>
  <c r="E57" i="60"/>
  <c r="K57" i="60"/>
  <c r="L56" i="60"/>
  <c r="N56" i="60"/>
  <c r="G57" i="60"/>
  <c r="H56" i="60"/>
  <c r="I56" i="60" s="1"/>
  <c r="K60" i="34"/>
  <c r="L60" i="34" s="1"/>
  <c r="H61" i="34"/>
  <c r="J61" i="34" s="1"/>
  <c r="M56" i="60" l="1"/>
  <c r="K58" i="60"/>
  <c r="L57" i="60"/>
  <c r="G58" i="60"/>
  <c r="H57" i="60"/>
  <c r="I57" i="60" s="1"/>
  <c r="N57" i="60"/>
  <c r="D59" i="60"/>
  <c r="E58" i="60"/>
  <c r="K61" i="34"/>
  <c r="L61" i="34" s="1"/>
  <c r="H62" i="34"/>
  <c r="J62" i="34" s="1"/>
  <c r="K59" i="60" l="1"/>
  <c r="L58" i="60"/>
  <c r="N58" i="60"/>
  <c r="G59" i="60"/>
  <c r="H58" i="60"/>
  <c r="I58" i="60" s="1"/>
  <c r="D60" i="60"/>
  <c r="E59" i="60"/>
  <c r="M57" i="60"/>
  <c r="K62" i="34"/>
  <c r="L62" i="34" s="1"/>
  <c r="H63" i="34"/>
  <c r="J63" i="34" s="1"/>
  <c r="K60" i="60" l="1"/>
  <c r="L59" i="60"/>
  <c r="N59" i="60"/>
  <c r="G60" i="60"/>
  <c r="H59" i="60"/>
  <c r="I59" i="60" s="1"/>
  <c r="D61" i="60"/>
  <c r="E60" i="60"/>
  <c r="M58" i="60"/>
  <c r="K63" i="34"/>
  <c r="L63" i="34" s="1"/>
  <c r="H64" i="34"/>
  <c r="J64" i="34" s="1"/>
  <c r="K61" i="60" l="1"/>
  <c r="L61" i="60" s="1"/>
  <c r="L60" i="60"/>
  <c r="N60" i="60"/>
  <c r="G61" i="60"/>
  <c r="H61" i="60" s="1"/>
  <c r="H60" i="60"/>
  <c r="I60" i="60" s="1"/>
  <c r="E61" i="60"/>
  <c r="M59" i="60"/>
  <c r="K64" i="34"/>
  <c r="L64" i="34" s="1"/>
  <c r="H65" i="34"/>
  <c r="J65" i="34" s="1"/>
  <c r="N61" i="60" l="1"/>
  <c r="I61" i="60"/>
  <c r="M61" i="60" s="1"/>
  <c r="M60" i="60"/>
  <c r="K65" i="34"/>
  <c r="L65" i="34" s="1"/>
  <c r="H66" i="34"/>
  <c r="J66" i="34" s="1"/>
  <c r="K66" i="34" l="1"/>
  <c r="L66" i="34" l="1"/>
  <c r="L67" i="34"/>
</calcChain>
</file>

<file path=xl/sharedStrings.xml><?xml version="1.0" encoding="utf-8"?>
<sst xmlns="http://schemas.openxmlformats.org/spreadsheetml/2006/main" count="746" uniqueCount="373">
  <si>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</si>
  <si>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</si>
  <si>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</si>
  <si>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</si>
  <si>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</si>
  <si>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</si>
  <si>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</si>
  <si>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</si>
  <si>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</si>
  <si>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</si>
  <si>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</si>
  <si>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</si>
  <si>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</si>
  <si>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</si>
  <si>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</si>
  <si>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</si>
  <si>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</si>
  <si>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</si>
  <si>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</si>
  <si>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</si>
  <si>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</si>
  <si>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</si>
  <si>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</si>
  <si>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</si>
  <si>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</si>
  <si>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</si>
  <si>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</si>
  <si>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</si>
  <si>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</si>
  <si>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</si>
  <si>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</si>
  <si>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</si>
  <si>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</si>
  <si>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</si>
  <si>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</si>
  <si>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</si>
  <si>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</si>
  <si>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</si>
  <si>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</si>
  <si>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</si>
  <si>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</si>
  <si>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</si>
  <si>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</si>
  <si>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</si>
  <si>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</si>
  <si>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</si>
  <si>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</si>
  <si>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</si>
  <si>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</si>
  <si>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</si>
  <si>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</si>
  <si>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</si>
  <si>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</si>
  <si>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</si>
  <si>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</si>
  <si>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</si>
  <si>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</si>
  <si>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</si>
  <si>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</si>
  <si>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</si>
  <si>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</si>
  <si>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</si>
  <si>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</si>
  <si>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</si>
  <si>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</si>
  <si>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</si>
  <si>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</si>
  <si>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</si>
  <si>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</si>
  <si>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</si>
  <si>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</si>
  <si>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</si>
  <si>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</si>
  <si>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</si>
  <si>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</si>
  <si>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</si>
  <si>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</si>
  <si>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</si>
  <si>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</si>
  <si>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</si>
  <si>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</si>
  <si>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</si>
  <si>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</si>
  <si>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</si>
  <si>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</si>
  <si>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</si>
  <si>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</si>
  <si>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</si>
  <si>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</si>
  <si>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</si>
  <si>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</si>
  <si>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</si>
  <si>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</si>
  <si>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</si>
  <si>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</si>
  <si>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</si>
  <si>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</si>
  <si>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</si>
  <si>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</si>
  <si>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</si>
  <si>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</si>
  <si>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</si>
  <si>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</si>
  <si>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</si>
  <si>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</si>
  <si>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</si>
  <si>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</si>
  <si>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</si>
  <si>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</si>
  <si>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</si>
  <si>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</si>
  <si>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</si>
  <si>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</si>
  <si>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</si>
  <si>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</si>
  <si>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</si>
  <si>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</si>
  <si>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</si>
  <si>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</si>
  <si>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</si>
  <si>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</si>
  <si>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</si>
  <si>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</si>
  <si>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</si>
  <si>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</si>
  <si>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</si>
  <si>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</si>
  <si>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</si>
  <si>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</si>
  <si>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</si>
  <si>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</si>
  <si>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</si>
  <si>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</si>
  <si>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</si>
  <si>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</si>
  <si>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</si>
  <si>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</si>
  <si>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</si>
  <si>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</si>
  <si>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</si>
  <si>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</si>
  <si>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</si>
  <si>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</si>
  <si>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</si>
  <si>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</si>
  <si>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</si>
  <si>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</si>
  <si>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</si>
  <si>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</si>
  <si>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</si>
  <si>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</si>
  <si>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</si>
  <si>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</si>
  <si>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</si>
  <si>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</si>
  <si>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</si>
  <si>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</si>
  <si>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</si>
  <si>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</si>
  <si>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</si>
  <si>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</si>
  <si>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</si>
  <si>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</si>
  <si>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</si>
  <si>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</si>
  <si>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</si>
  <si>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</si>
  <si>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</si>
  <si>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</si>
  <si>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</si>
  <si>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</si>
  <si>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</si>
  <si>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</si>
  <si>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</si>
  <si>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</si>
  <si>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</si>
  <si>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</si>
  <si>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</si>
  <si>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</si>
  <si>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</si>
  <si>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</si>
  <si>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</si>
  <si>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</si>
  <si>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</si>
  <si>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</si>
  <si>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</si>
  <si>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</si>
  <si>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</si>
  <si>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</si>
  <si>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AUTOMATED METER INFRASTRUCTURE ("AMI") - GAS</t>
  </si>
  <si>
    <t>TY</t>
  </si>
  <si>
    <t>RESTATED</t>
  </si>
  <si>
    <t>%'s</t>
  </si>
  <si>
    <t>(c)=(b)-(a)</t>
  </si>
  <si>
    <t>(d)</t>
  </si>
  <si>
    <t>(e)=(d)-(b)</t>
  </si>
  <si>
    <t>Total Utility Plant</t>
  </si>
  <si>
    <t>Utility Plant</t>
  </si>
  <si>
    <t>PLANT ADDITIONS JAN-JUN 2019  (1)</t>
  </si>
  <si>
    <t>ACCUM DEPRECIATION  (1)</t>
  </si>
  <si>
    <t>DEFERRED INCOME TAX LIABILITY  (1)</t>
  </si>
  <si>
    <t>Deferrals</t>
  </si>
  <si>
    <t>DEPRECIATION DEFERRAL  (3)</t>
  </si>
  <si>
    <t>ACCUM AMORT ON DEPRECIATION DEFERRAL  (2)</t>
  </si>
  <si>
    <t>DFIT ON DEPRECIATION DEFERRAL  (2)</t>
  </si>
  <si>
    <t>Total Deferred Depreciation</t>
  </si>
  <si>
    <t>NET RATEBASE</t>
  </si>
  <si>
    <t>DEPRECIATION EXPENSE  (1)</t>
  </si>
  <si>
    <t>AMORT OF DEF'D RETURN THROUGH APR 2020:  3YRS MAY '20 - APR '23  (2)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</si>
  <si>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</si>
  <si>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</si>
  <si>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</si>
  <si>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</si>
  <si>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</si>
  <si>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</si>
  <si>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</si>
  <si>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</si>
  <si>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</si>
  <si>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</si>
  <si>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</si>
  <si>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</si>
  <si>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</si>
  <si>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</si>
  <si>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</si>
  <si>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</si>
  <si>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</si>
  <si>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</si>
  <si>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</si>
  <si>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</si>
  <si>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</si>
  <si>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</si>
  <si>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</si>
  <si>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</si>
  <si>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</si>
  <si>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</si>
  <si>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</si>
  <si>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</si>
  <si>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</si>
  <si>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</si>
  <si>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</si>
  <si>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</si>
  <si>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</si>
  <si>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</si>
  <si>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</si>
  <si>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</si>
  <si>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</si>
  <si>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</si>
  <si>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</si>
  <si>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</si>
  <si>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</si>
  <si>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</si>
  <si>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</si>
  <si>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</si>
  <si>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</si>
  <si>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</si>
  <si>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</si>
  <si>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</si>
  <si>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</si>
  <si>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</si>
  <si>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</si>
  <si>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</si>
  <si>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</si>
  <si>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</si>
  <si>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</si>
  <si>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</si>
  <si>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</si>
  <si>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</si>
  <si>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</si>
  <si>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</si>
  <si>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</si>
  <si>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</si>
  <si>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</si>
  <si>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</si>
  <si>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</si>
  <si>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</si>
  <si>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</si>
  <si>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</si>
  <si>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</si>
  <si>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</si>
  <si>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</si>
  <si>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</si>
  <si>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</si>
  <si>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</si>
  <si>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</si>
  <si>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</si>
  <si>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</si>
  <si>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</si>
  <si>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</si>
  <si>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</si>
  <si>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</si>
  <si>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</si>
  <si>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</si>
  <si>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</si>
  <si>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</si>
  <si>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</si>
  <si>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</si>
  <si>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</si>
  <si>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</si>
  <si>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Description</t>
  </si>
  <si>
    <t>No.</t>
  </si>
  <si>
    <t xml:space="preserve">Line </t>
  </si>
  <si>
    <t>Federal Tax Rate</t>
  </si>
  <si>
    <t>Weighted Average Cost of Debt</t>
  </si>
  <si>
    <t>Grand Total Depreciation Net of AMR Retirement Depreciation</t>
  </si>
  <si>
    <t>Gas Depreciation Net of AMR Retirements</t>
  </si>
  <si>
    <t>Electric Depreciation Net of AMR Retirements</t>
  </si>
  <si>
    <t>Grand Total Net Depreciation by Business</t>
  </si>
  <si>
    <t>G</t>
  </si>
  <si>
    <t>E</t>
  </si>
  <si>
    <t>Less Avoided Deprec Fr AMR Reiterments</t>
  </si>
  <si>
    <t xml:space="preserve">     Total Other Misc</t>
  </si>
  <si>
    <t>143003060 G</t>
  </si>
  <si>
    <t>143003060 E</t>
  </si>
  <si>
    <t>142000988 G</t>
  </si>
  <si>
    <t>142000987 G</t>
  </si>
  <si>
    <t>142000986 G</t>
  </si>
  <si>
    <t xml:space="preserve">     Total Intangibles</t>
  </si>
  <si>
    <t>143003226 G</t>
  </si>
  <si>
    <t>143003226 E</t>
  </si>
  <si>
    <t>143003178 G</t>
  </si>
  <si>
    <t>143003178 E</t>
  </si>
  <si>
    <t>143003176 G</t>
  </si>
  <si>
    <t>143003176 E</t>
  </si>
  <si>
    <t>143002517 G</t>
  </si>
  <si>
    <t>143002517 E</t>
  </si>
  <si>
    <t>143002516 G</t>
  </si>
  <si>
    <t>143002516 E</t>
  </si>
  <si>
    <t>143002450 G</t>
  </si>
  <si>
    <t>143002450 E</t>
  </si>
  <si>
    <t>Misc Intangibles</t>
  </si>
  <si>
    <t xml:space="preserve">     Total Meters and Modules</t>
  </si>
  <si>
    <t>Additions after March 2019 (Apr-June)</t>
  </si>
  <si>
    <t>Meters and Modules</t>
  </si>
  <si>
    <t>Total Deferred</t>
  </si>
  <si>
    <t>4 Factor Gas</t>
  </si>
  <si>
    <t xml:space="preserve"> Forecast</t>
  </si>
  <si>
    <t>Actual</t>
  </si>
  <si>
    <t>4 Factor Elec</t>
  </si>
  <si>
    <t>Depreciation Deferral - March 2019 Actuals + Additions Based on April - June Estimates</t>
  </si>
  <si>
    <t>Sum of Total Depr Exp</t>
  </si>
  <si>
    <t>Sum of Total Depr Expense</t>
  </si>
  <si>
    <t>&lt;= Plant is not increasing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</si>
  <si>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</si>
  <si>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</si>
  <si>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</si>
  <si>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</si>
  <si>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</si>
  <si>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</si>
  <si>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</si>
  <si>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</si>
  <si>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</si>
  <si>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</si>
  <si>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</si>
  <si>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</si>
  <si>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</si>
  <si>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</si>
  <si>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</si>
  <si>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</si>
  <si>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</si>
  <si>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AMI - Gas Return on June 2018 Rate Base</t>
  </si>
  <si>
    <t>Gas Moduel Invesment 2019</t>
  </si>
  <si>
    <t>Attachment A to 2018 ERF Accounting Instructions - Determination of Return on Gas AMI Plant</t>
  </si>
  <si>
    <t>TOTAL GAS</t>
  </si>
  <si>
    <t>DIRECT GAS</t>
  </si>
  <si>
    <t>COMMON ALLOCATED TO GAS</t>
  </si>
  <si>
    <t>CAPITAL RECOVERY</t>
  </si>
  <si>
    <t>TAX DEPRECIATION RATES</t>
  </si>
  <si>
    <t>E370 DST Meters   Note A</t>
  </si>
  <si>
    <t>G3813 DST Modules    Note A</t>
  </si>
  <si>
    <t>Note A:  Support to Depreciation Deferral Entry</t>
  </si>
  <si>
    <t>Tot Mar - June</t>
  </si>
  <si>
    <t>LESS AVOIDED DPERECIATION FROM AMR RETIREMENTS IN RATE YR (1)</t>
  </si>
  <si>
    <t>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</si>
</sst>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Check=&gt;&quot;\ 0.00"/>
    <numFmt numFmtId="175" formatCode="_(* #,##0.0000_);_(* \(#,##0.0000\);_(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Continuous" vertical="center"/>
    </xf>
    <xf numFmtId="0" fontId="9" fillId="0" borderId="24" xfId="0" applyNumberFormat="1" applyFont="1" applyBorder="1" applyAlignment="1">
      <alignment horizontal="centerContinuous" vertical="center"/>
    </xf>
    <xf numFmtId="0" fontId="9" fillId="0" borderId="25" xfId="0" applyNumberFormat="1" applyFont="1" applyBorder="1" applyAlignment="1">
      <alignment horizontal="centerContinuous" vertical="center"/>
    </xf>
    <xf numFmtId="171" fontId="9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9" fillId="0" borderId="26" xfId="0" applyNumberFormat="1" applyFont="1" applyBorder="1" applyAlignment="1">
      <alignment horizontal="center"/>
    </xf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6" xfId="0" applyNumberFormat="1" applyFont="1" applyBorder="1" applyAlignment="1">
      <alignment horizontal="center"/>
    </xf>
    <xf numFmtId="9" fontId="9" fillId="0" borderId="26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29" xfId="0" applyNumberFormat="1" applyFont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171" fontId="9" fillId="0" borderId="27" xfId="0" applyNumberFormat="1" applyFont="1" applyBorder="1" applyAlignment="1">
      <alignment horizontal="center"/>
    </xf>
    <xf numFmtId="9" fontId="9" fillId="0" borderId="27" xfId="0" applyNumberFormat="1" applyFont="1" applyBorder="1" applyAlignment="1">
      <alignment horizontal="center"/>
    </xf>
    <xf numFmtId="171" fontId="9" fillId="0" borderId="27" xfId="0" quotePrefix="1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32" xfId="0" applyNumberFormat="1" applyFont="1" applyBorder="1" applyAlignment="1">
      <alignment horizontal="center"/>
    </xf>
    <xf numFmtId="169" fontId="9" fillId="0" borderId="30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33" xfId="0" applyNumberFormat="1" applyFont="1" applyBorder="1" applyAlignment="1"/>
    <xf numFmtId="41" fontId="2" fillId="3" borderId="33" xfId="0" applyNumberFormat="1" applyFont="1" applyFill="1" applyBorder="1" applyAlignment="1"/>
    <xf numFmtId="41" fontId="9" fillId="3" borderId="33" xfId="0" applyNumberFormat="1" applyFont="1" applyFill="1" applyBorder="1" applyAlignment="1"/>
    <xf numFmtId="41" fontId="9" fillId="3" borderId="34" xfId="0" applyNumberFormat="1" applyFont="1" applyFill="1" applyBorder="1" applyAlignment="1"/>
    <xf numFmtId="169" fontId="9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2" fillId="0" borderId="37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40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0" fontId="19" fillId="0" borderId="0" xfId="0" applyNumberFormat="1" applyFont="1" applyFill="1" applyAlignment="1"/>
    <xf numFmtId="43" fontId="2" fillId="0" borderId="0" xfId="0" applyNumberFormat="1" applyFont="1" applyAlignment="1"/>
    <xf numFmtId="0" fontId="20" fillId="0" borderId="0" xfId="0" applyNumberFormat="1" applyFont="1" applyFill="1" applyAlignment="1">
      <alignment horizontal="left" indent="2"/>
    </xf>
    <xf numFmtId="42" fontId="20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41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6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0" fontId="0" fillId="4" borderId="0" xfId="0" applyFill="1" applyAlignment="1">
      <alignment horizontal="left"/>
    </xf>
    <xf numFmtId="0" fontId="0" fillId="4" borderId="0" xfId="0" applyFill="1"/>
    <xf numFmtId="4" fontId="0" fillId="4" borderId="0" xfId="0" applyNumberFormat="1" applyFill="1"/>
    <xf numFmtId="43" fontId="0" fillId="4" borderId="0" xfId="0" applyNumberFormat="1" applyFont="1" applyFill="1"/>
    <xf numFmtId="0" fontId="1" fillId="0" borderId="42" xfId="0" applyFont="1" applyFill="1" applyBorder="1" applyAlignment="1">
      <alignment horizontal="left"/>
    </xf>
    <xf numFmtId="43" fontId="0" fillId="0" borderId="2" xfId="0" applyNumberFormat="1" applyFont="1" applyFill="1" applyBorder="1"/>
    <xf numFmtId="0" fontId="1" fillId="5" borderId="42" xfId="0" applyFont="1" applyFill="1" applyBorder="1" applyAlignment="1">
      <alignment horizontal="left"/>
    </xf>
    <xf numFmtId="4" fontId="1" fillId="5" borderId="42" xfId="0" applyNumberFormat="1" applyFont="1" applyFill="1" applyBorder="1"/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4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left"/>
    </xf>
    <xf numFmtId="172" fontId="2" fillId="4" borderId="0" xfId="0" applyNumberFormat="1" applyFont="1" applyFill="1" applyBorder="1" applyAlignment="1">
      <alignment horizontal="right"/>
    </xf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31" xfId="0" applyNumberFormat="1" applyFont="1" applyFill="1" applyBorder="1" applyAlignment="1"/>
    <xf numFmtId="0" fontId="1" fillId="5" borderId="0" xfId="0" applyFont="1" applyFill="1"/>
    <xf numFmtId="0" fontId="1" fillId="5" borderId="43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6" fontId="0" fillId="0" borderId="0" xfId="0" applyNumberFormat="1"/>
    <xf numFmtId="42" fontId="0" fillId="0" borderId="0" xfId="0" applyNumberFormat="1"/>
    <xf numFmtId="0" fontId="1" fillId="0" borderId="0" xfId="0" applyFont="1"/>
    <xf numFmtId="17" fontId="1" fillId="0" borderId="0" xfId="0" applyNumberFormat="1" applyFont="1"/>
    <xf numFmtId="0" fontId="1" fillId="8" borderId="43" xfId="0" applyFont="1" applyFill="1" applyBorder="1"/>
    <xf numFmtId="8" fontId="0" fillId="4" borderId="0" xfId="0" applyNumberFormat="1" applyFill="1"/>
    <xf numFmtId="0" fontId="1" fillId="0" borderId="0" xfId="0" applyFont="1" applyFill="1"/>
    <xf numFmtId="43" fontId="1" fillId="5" borderId="0" xfId="0" applyNumberFormat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Font="1" applyBorder="1"/>
    <xf numFmtId="43" fontId="0" fillId="0" borderId="0" xfId="0" applyNumberFormat="1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7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39" fontId="0" fillId="0" borderId="0" xfId="0" applyNumberFormat="1" applyFont="1" applyBorder="1"/>
    <xf numFmtId="0" fontId="2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39" fontId="1" fillId="7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64" fontId="0" fillId="0" borderId="0" xfId="0" applyNumberFormat="1" applyFont="1" applyBorder="1"/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4" fontId="0" fillId="12" borderId="0" xfId="0" applyNumberFormat="1" applyFill="1"/>
    <xf numFmtId="164" fontId="0" fillId="12" borderId="0" xfId="0" applyNumberFormat="1" applyFont="1" applyFill="1"/>
    <xf numFmtId="0" fontId="0" fillId="12" borderId="0" xfId="0" applyFill="1"/>
    <xf numFmtId="0" fontId="0" fillId="0" borderId="2" xfId="0" applyBorder="1"/>
    <xf numFmtId="0" fontId="30" fillId="13" borderId="0" xfId="0" applyFont="1" applyFill="1" applyAlignment="1">
      <alignment horizontal="center" wrapText="1"/>
    </xf>
    <xf numFmtId="165" fontId="0" fillId="0" borderId="0" xfId="0" applyNumberFormat="1" applyFont="1"/>
    <xf numFmtId="165" fontId="0" fillId="0" borderId="2" xfId="0" applyNumberFormat="1" applyFont="1" applyBorder="1"/>
    <xf numFmtId="0" fontId="31" fillId="0" borderId="0" xfId="0" applyFont="1" applyAlignment="1">
      <alignment horizontal="right"/>
    </xf>
    <xf numFmtId="175" fontId="0" fillId="0" borderId="0" xfId="0" applyNumberFormat="1" applyFont="1"/>
    <xf numFmtId="175" fontId="0" fillId="0" borderId="0" xfId="0" applyNumberFormat="1"/>
    <xf numFmtId="165" fontId="31" fillId="0" borderId="0" xfId="0" applyNumberFormat="1" applyFont="1"/>
    <xf numFmtId="0" fontId="13" fillId="0" borderId="0" xfId="0" applyNumberFormat="1" applyFont="1" applyAlignment="1"/>
    <xf numFmtId="164" fontId="4" fillId="0" borderId="0" xfId="0" applyNumberFormat="1" applyFont="1" applyFill="1"/>
    <xf numFmtId="0" fontId="32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33" fillId="0" borderId="0" xfId="0" applyNumberFormat="1" applyFont="1" applyAlignment="1"/>
    <xf numFmtId="0" fontId="33" fillId="0" borderId="9" xfId="0" applyNumberFormat="1" applyFont="1" applyBorder="1" applyAlignment="1"/>
    <xf numFmtId="0" fontId="33" fillId="0" borderId="10" xfId="0" applyNumberFormat="1" applyFont="1" applyBorder="1" applyAlignment="1"/>
    <xf numFmtId="0" fontId="33" fillId="0" borderId="1" xfId="0" applyNumberFormat="1" applyFont="1" applyBorder="1" applyAlignment="1"/>
    <xf numFmtId="164" fontId="3" fillId="0" borderId="1" xfId="0" applyNumberFormat="1" applyFont="1" applyFill="1" applyBorder="1"/>
    <xf numFmtId="164" fontId="33" fillId="0" borderId="8" xfId="0" applyNumberFormat="1" applyFont="1" applyBorder="1" applyAlignment="1"/>
    <xf numFmtId="164" fontId="33" fillId="0" borderId="12" xfId="0" applyNumberFormat="1" applyFont="1" applyFill="1" applyBorder="1"/>
    <xf numFmtId="164" fontId="33" fillId="0" borderId="0" xfId="0" applyNumberFormat="1" applyFont="1" applyFill="1" applyBorder="1"/>
    <xf numFmtId="41" fontId="33" fillId="0" borderId="0" xfId="0" applyNumberFormat="1" applyFont="1" applyFill="1" applyBorder="1"/>
    <xf numFmtId="164" fontId="3" fillId="0" borderId="0" xfId="0" applyNumberFormat="1" applyFont="1" applyFill="1" applyBorder="1"/>
    <xf numFmtId="0" fontId="33" fillId="0" borderId="0" xfId="0" applyNumberFormat="1" applyFont="1" applyBorder="1" applyAlignment="1"/>
    <xf numFmtId="17" fontId="33" fillId="0" borderId="0" xfId="0" applyNumberFormat="1" applyFont="1" applyFill="1" applyBorder="1"/>
    <xf numFmtId="164" fontId="33" fillId="0" borderId="8" xfId="0" applyNumberFormat="1" applyFont="1" applyFill="1" applyBorder="1" applyAlignment="1"/>
    <xf numFmtId="164" fontId="33" fillId="14" borderId="8" xfId="0" applyNumberFormat="1" applyFont="1" applyFill="1" applyBorder="1" applyAlignment="1"/>
    <xf numFmtId="164" fontId="33" fillId="14" borderId="12" xfId="0" applyNumberFormat="1" applyFont="1" applyFill="1" applyBorder="1"/>
    <xf numFmtId="164" fontId="34" fillId="14" borderId="0" xfId="0" applyNumberFormat="1" applyFont="1" applyFill="1" applyBorder="1"/>
    <xf numFmtId="164" fontId="33" fillId="14" borderId="0" xfId="0" applyNumberFormat="1" applyFont="1" applyFill="1" applyBorder="1"/>
    <xf numFmtId="164" fontId="3" fillId="14" borderId="0" xfId="0" applyNumberFormat="1" applyFont="1" applyFill="1" applyBorder="1"/>
    <xf numFmtId="17" fontId="35" fillId="14" borderId="0" xfId="0" applyNumberFormat="1" applyFont="1" applyFill="1" applyBorder="1"/>
    <xf numFmtId="17" fontId="33" fillId="14" borderId="0" xfId="0" applyNumberFormat="1" applyFont="1" applyFill="1" applyBorder="1"/>
    <xf numFmtId="6" fontId="33" fillId="0" borderId="0" xfId="0" applyNumberFormat="1" applyFont="1" applyFill="1" applyBorder="1"/>
    <xf numFmtId="14" fontId="33" fillId="0" borderId="0" xfId="0" applyNumberFormat="1" applyFont="1" applyFill="1" applyBorder="1"/>
    <xf numFmtId="5" fontId="33" fillId="0" borderId="12" xfId="0" applyNumberFormat="1" applyFont="1" applyFill="1" applyBorder="1"/>
    <xf numFmtId="38" fontId="33" fillId="0" borderId="0" xfId="0" applyNumberFormat="1" applyFont="1" applyFill="1" applyBorder="1"/>
    <xf numFmtId="0" fontId="33" fillId="0" borderId="8" xfId="0" applyNumberFormat="1" applyFont="1" applyBorder="1" applyAlignment="1"/>
    <xf numFmtId="5" fontId="33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6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9" xfId="0" applyNumberFormat="1" applyFont="1" applyFill="1" applyBorder="1" applyAlignment="1"/>
    <xf numFmtId="0" fontId="33" fillId="0" borderId="1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Continuous"/>
    </xf>
    <xf numFmtId="0" fontId="33" fillId="0" borderId="8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Continuous"/>
    </xf>
    <xf numFmtId="0" fontId="33" fillId="0" borderId="7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8" fillId="0" borderId="0" xfId="0" applyNumberFormat="1" applyFont="1"/>
    <xf numFmtId="0" fontId="38" fillId="0" borderId="0" xfId="0" applyFont="1" applyAlignment="1">
      <alignment horizontal="right"/>
    </xf>
    <xf numFmtId="42" fontId="0" fillId="0" borderId="46" xfId="0" applyNumberFormat="1" applyBorder="1"/>
    <xf numFmtId="42" fontId="0" fillId="0" borderId="39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46" xfId="0" applyNumberFormat="1" applyFill="1" applyBorder="1"/>
    <xf numFmtId="42" fontId="0" fillId="0" borderId="39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9" fontId="0" fillId="0" borderId="47" xfId="0" applyNumberFormat="1" applyFont="1" applyBorder="1"/>
    <xf numFmtId="0" fontId="0" fillId="0" borderId="48" xfId="0" applyBorder="1"/>
    <xf numFmtId="10" fontId="0" fillId="0" borderId="38" xfId="0" applyNumberFormat="1" applyBorder="1"/>
    <xf numFmtId="0" fontId="0" fillId="0" borderId="49" xfId="0" applyBorder="1"/>
    <xf numFmtId="10" fontId="0" fillId="0" borderId="50" xfId="0" applyNumberFormat="1" applyBorder="1"/>
    <xf numFmtId="0" fontId="0" fillId="0" borderId="51" xfId="0" applyBorder="1"/>
    <xf numFmtId="0" fontId="39" fillId="0" borderId="0" xfId="0" applyFont="1"/>
    <xf numFmtId="174" fontId="38" fillId="0" borderId="0" xfId="0" applyNumberFormat="1" applyFont="1"/>
    <xf numFmtId="0" fontId="0" fillId="0" borderId="0" xfId="0" applyFont="1" applyFill="1" applyBorder="1" applyAlignment="1">
      <alignment horizontal="left"/>
    </xf>
    <xf numFmtId="164" fontId="0" fillId="4" borderId="0" xfId="0" applyNumberFormat="1" applyFont="1" applyFill="1"/>
    <xf numFmtId="164" fontId="0" fillId="0" borderId="0" xfId="0" quotePrefix="1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64" fontId="0" fillId="0" borderId="4" xfId="0" applyNumberFormat="1" applyFont="1" applyBorder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8" fontId="0" fillId="0" borderId="2" xfId="0" applyNumberFormat="1" applyBorder="1"/>
    <xf numFmtId="8" fontId="0" fillId="0" borderId="0" xfId="0" applyNumberFormat="1"/>
    <xf numFmtId="17" fontId="1" fillId="6" borderId="0" xfId="0" applyNumberFormat="1" applyFont="1" applyFill="1"/>
    <xf numFmtId="49" fontId="1" fillId="0" borderId="0" xfId="0" applyNumberFormat="1" applyFont="1"/>
    <xf numFmtId="49" fontId="1" fillId="15" borderId="0" xfId="0" applyNumberFormat="1" applyFont="1" applyFill="1" applyAlignment="1">
      <alignment horizontal="center"/>
    </xf>
    <xf numFmtId="0" fontId="42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17" fontId="1" fillId="4" borderId="0" xfId="0" applyNumberFormat="1" applyFont="1" applyFill="1"/>
    <xf numFmtId="0" fontId="0" fillId="0" borderId="0" xfId="0" applyFill="1" applyAlignment="1">
      <alignment horizontal="center"/>
    </xf>
    <xf numFmtId="0" fontId="1" fillId="16" borderId="0" xfId="0" applyFont="1" applyFill="1"/>
    <xf numFmtId="17" fontId="1" fillId="16" borderId="0" xfId="0" applyNumberFormat="1" applyFont="1" applyFill="1"/>
    <xf numFmtId="9" fontId="0" fillId="0" borderId="0" xfId="0" applyNumberFormat="1" applyFill="1"/>
    <xf numFmtId="41" fontId="0" fillId="0" borderId="15" xfId="0" applyNumberFormat="1" applyFill="1" applyBorder="1"/>
    <xf numFmtId="41" fontId="7" fillId="0" borderId="15" xfId="0" applyNumberFormat="1" applyFont="1" applyFill="1" applyBorder="1" applyAlignment="1"/>
    <xf numFmtId="42" fontId="7" fillId="0" borderId="46" xfId="0" applyNumberFormat="1" applyFont="1" applyFill="1" applyBorder="1" applyAlignment="1"/>
    <xf numFmtId="9" fontId="7" fillId="0" borderId="0" xfId="0" applyNumberFormat="1" applyFont="1" applyFill="1" applyBorder="1" applyAlignment="1"/>
    <xf numFmtId="43" fontId="0" fillId="0" borderId="0" xfId="0" applyNumberFormat="1"/>
    <xf numFmtId="3" fontId="0" fillId="17" borderId="0" xfId="0" applyNumberFormat="1" applyFill="1"/>
    <xf numFmtId="0" fontId="0" fillId="17" borderId="0" xfId="0" applyFill="1" applyAlignment="1">
      <alignment horizontal="right"/>
    </xf>
    <xf numFmtId="165" fontId="0" fillId="17" borderId="0" xfId="0" applyNumberFormat="1" applyFont="1" applyFill="1" applyAlignment="1">
      <alignment horizontal="left"/>
    </xf>
    <xf numFmtId="10" fontId="0" fillId="17" borderId="0" xfId="0" applyNumberFormat="1" applyFont="1" applyFill="1" applyAlignment="1">
      <alignment horizontal="left"/>
    </xf>
    <xf numFmtId="164" fontId="0" fillId="17" borderId="0" xfId="0" applyNumberFormat="1" applyFont="1" applyFill="1"/>
    <xf numFmtId="166" fontId="0" fillId="17" borderId="0" xfId="0" applyNumberFormat="1" applyFill="1"/>
    <xf numFmtId="0" fontId="0" fillId="17" borderId="0" xfId="0" applyFill="1"/>
    <xf numFmtId="173" fontId="0" fillId="17" borderId="0" xfId="0" applyNumberFormat="1" applyFill="1"/>
    <xf numFmtId="164" fontId="0" fillId="0" borderId="0" xfId="0" applyNumberFormat="1" applyFont="1" applyAlignment="1">
      <alignment horizontal="center"/>
    </xf>
    <xf numFmtId="41" fontId="2" fillId="0" borderId="52" xfId="0" applyNumberFormat="1" applyFont="1" applyBorder="1" applyAlignment="1"/>
    <xf numFmtId="41" fontId="2" fillId="0" borderId="53" xfId="0" applyNumberFormat="1" applyFont="1" applyBorder="1" applyAlignment="1"/>
    <xf numFmtId="41" fontId="2" fillId="0" borderId="38" xfId="0" applyNumberFormat="1" applyFont="1" applyBorder="1" applyAlignment="1"/>
    <xf numFmtId="41" fontId="43" fillId="0" borderId="21" xfId="0" applyNumberFormat="1" applyFont="1" applyBorder="1" applyAlignment="1"/>
    <xf numFmtId="164" fontId="43" fillId="0" borderId="21" xfId="0" applyNumberFormat="1" applyFont="1" applyBorder="1" applyAlignment="1"/>
    <xf numFmtId="41" fontId="43" fillId="0" borderId="21" xfId="0" applyNumberFormat="1" applyFont="1" applyFill="1" applyBorder="1" applyAlignment="1"/>
    <xf numFmtId="41" fontId="2" fillId="0" borderId="38" xfId="0" applyNumberFormat="1" applyFont="1" applyFill="1" applyBorder="1" applyAlignment="1"/>
    <xf numFmtId="41" fontId="2" fillId="0" borderId="21" xfId="0" applyNumberFormat="1" applyFont="1" applyBorder="1" applyAlignment="1"/>
    <xf numFmtId="41" fontId="2" fillId="4" borderId="38" xfId="0" applyNumberFormat="1" applyFont="1" applyFill="1" applyBorder="1" applyAlignment="1"/>
    <xf numFmtId="41" fontId="2" fillId="0" borderId="33" xfId="0" applyNumberFormat="1" applyFont="1" applyFill="1" applyBorder="1" applyAlignment="1"/>
    <xf numFmtId="41" fontId="2" fillId="0" borderId="33" xfId="0" applyNumberFormat="1" applyFont="1" applyBorder="1" applyAlignment="1"/>
    <xf numFmtId="164" fontId="2" fillId="0" borderId="33" xfId="0" applyNumberFormat="1" applyFont="1" applyFill="1" applyBorder="1" applyAlignment="1"/>
    <xf numFmtId="41" fontId="2" fillId="0" borderId="34" xfId="0" applyNumberFormat="1" applyFont="1" applyFill="1" applyBorder="1" applyAlignment="1"/>
    <xf numFmtId="41" fontId="2" fillId="0" borderId="54" xfId="0" applyNumberFormat="1" applyFont="1" applyBorder="1" applyAlignment="1"/>
    <xf numFmtId="49" fontId="1" fillId="15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00FFFF"/>
      <color rgb="FF0000FF"/>
      <color rgb="FFCCFF33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51</xdr:row>
      <xdr:rowOff>47625</xdr:rowOff>
    </xdr:from>
    <xdr:to>
      <xdr:col>16</xdr:col>
      <xdr:colOff>84047</xdr:colOff>
      <xdr:row>59</xdr:row>
      <xdr:rowOff>66482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98393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56972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-349.9707447681435</v>
          </cell>
          <cell r="F14">
            <v>0</v>
          </cell>
          <cell r="G14">
            <v>-18635.942158903639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B36" sqref="B36"/>
    </sheetView>
  </sheetViews>
  <sheetFormatPr defaultRowHeight="15" x14ac:dyDescent="0.25"/>
  <cols>
    <col min="1" max="1" width="5" bestFit="1" customWidth="1"/>
    <col min="2" max="2" width="66" bestFit="1" customWidth="1"/>
    <col min="3" max="3" width="4.5703125" customWidth="1"/>
    <col min="4" max="4" width="8.28515625" customWidth="1"/>
    <col min="5" max="5" width="10.28515625" customWidth="1"/>
    <col min="6" max="6" width="13.140625" bestFit="1" customWidth="1"/>
    <col min="7" max="7" width="13.140625" customWidth="1"/>
    <col min="8" max="8" width="18.5703125" bestFit="1" customWidth="1"/>
    <col min="9" max="9" width="1.7109375" customWidth="1"/>
    <col min="11" max="11" width="9.7109375" customWidth="1"/>
    <col min="12" max="12" width="11.5703125" bestFit="1" customWidth="1"/>
  </cols>
  <sheetData>
    <row r="2" spans="1:9" x14ac:dyDescent="0.25">
      <c r="A2" s="2"/>
      <c r="B2" s="2"/>
      <c r="C2" s="2"/>
      <c r="D2" s="2"/>
      <c r="E2" s="2"/>
      <c r="F2" s="2"/>
      <c r="G2" s="2"/>
    </row>
    <row r="3" spans="1:9" x14ac:dyDescent="0.25">
      <c r="A3" s="2"/>
      <c r="B3" s="2"/>
      <c r="C3" s="2"/>
      <c r="D3" s="2"/>
      <c r="E3" s="2"/>
      <c r="F3" s="2"/>
      <c r="G3" s="2"/>
    </row>
    <row r="4" spans="1:9" x14ac:dyDescent="0.25">
      <c r="A4" s="3"/>
      <c r="B4" s="3"/>
      <c r="C4" s="3"/>
      <c r="D4" s="3"/>
      <c r="E4" s="3"/>
      <c r="F4" s="3"/>
      <c r="G4" s="3"/>
    </row>
    <row r="5" spans="1:9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9" x14ac:dyDescent="0.25">
      <c r="A6" s="5" t="s">
        <v>189</v>
      </c>
      <c r="B6" s="5"/>
      <c r="C6" s="5"/>
      <c r="D6" s="5"/>
      <c r="E6" s="5"/>
      <c r="F6" s="5"/>
      <c r="G6" s="5"/>
      <c r="H6" s="5"/>
    </row>
    <row r="7" spans="1:9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9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9" x14ac:dyDescent="0.25">
      <c r="A9" s="6"/>
      <c r="B9" s="6"/>
      <c r="C9" s="216"/>
      <c r="D9" s="217" t="s">
        <v>190</v>
      </c>
      <c r="E9" s="217"/>
      <c r="F9" s="217" t="s">
        <v>191</v>
      </c>
      <c r="G9" s="217"/>
      <c r="H9" s="217" t="s">
        <v>11</v>
      </c>
    </row>
    <row r="10" spans="1:9" x14ac:dyDescent="0.25">
      <c r="A10" s="7" t="s">
        <v>7</v>
      </c>
      <c r="B10" s="8"/>
      <c r="C10" s="218"/>
      <c r="D10" s="217" t="s">
        <v>10</v>
      </c>
      <c r="E10" s="217" t="s">
        <v>191</v>
      </c>
      <c r="F10" s="217" t="s">
        <v>12</v>
      </c>
      <c r="G10" s="217" t="s">
        <v>11</v>
      </c>
      <c r="H10" s="217" t="s">
        <v>12</v>
      </c>
    </row>
    <row r="11" spans="1:9" x14ac:dyDescent="0.25">
      <c r="A11" s="9" t="s">
        <v>8</v>
      </c>
      <c r="B11" s="10" t="s">
        <v>9</v>
      </c>
      <c r="C11" s="219" t="s">
        <v>192</v>
      </c>
      <c r="D11" s="220" t="s">
        <v>40</v>
      </c>
      <c r="E11" s="220" t="s">
        <v>41</v>
      </c>
      <c r="F11" s="220" t="s">
        <v>193</v>
      </c>
      <c r="G11" s="220" t="s">
        <v>194</v>
      </c>
      <c r="H11" s="220" t="s">
        <v>195</v>
      </c>
    </row>
    <row r="12" spans="1:9" x14ac:dyDescent="0.25">
      <c r="A12" s="11"/>
      <c r="B12" s="11"/>
      <c r="C12" s="11"/>
      <c r="D12" s="11"/>
      <c r="E12" s="11"/>
      <c r="F12" s="11"/>
      <c r="G12" s="11"/>
      <c r="H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</row>
    <row r="14" spans="1:9" x14ac:dyDescent="0.25">
      <c r="A14" s="12">
        <v>1</v>
      </c>
      <c r="B14" s="15" t="s">
        <v>13</v>
      </c>
      <c r="C14" s="15"/>
      <c r="D14" s="15"/>
      <c r="E14" s="15"/>
      <c r="F14" s="16"/>
      <c r="G14" s="16"/>
      <c r="H14" s="16"/>
    </row>
    <row r="15" spans="1:9" x14ac:dyDescent="0.25">
      <c r="A15" s="12">
        <f>A14+1</f>
        <v>2</v>
      </c>
      <c r="B15" s="15" t="s">
        <v>197</v>
      </c>
      <c r="C15" s="15"/>
      <c r="D15" s="15"/>
      <c r="E15" s="15"/>
      <c r="F15" s="16"/>
      <c r="G15" s="16"/>
      <c r="H15" s="16"/>
    </row>
    <row r="16" spans="1:9" x14ac:dyDescent="0.25">
      <c r="A16" s="12">
        <f t="shared" ref="A16:A42" si="0">A15+1</f>
        <v>3</v>
      </c>
      <c r="B16" s="17" t="s">
        <v>198</v>
      </c>
      <c r="C16" s="17"/>
      <c r="D16" s="18"/>
      <c r="E16" s="18"/>
      <c r="F16" s="18">
        <v>0</v>
      </c>
      <c r="G16" s="18">
        <f>+'Gas AMI Additions'!C71</f>
        <v>12465833.289999997</v>
      </c>
      <c r="H16" s="18">
        <f>+G16-F16</f>
        <v>12465833.289999997</v>
      </c>
      <c r="I16" s="18"/>
    </row>
    <row r="17" spans="1:10" x14ac:dyDescent="0.25">
      <c r="A17" s="12">
        <f t="shared" si="0"/>
        <v>4</v>
      </c>
      <c r="B17" s="19" t="s">
        <v>199</v>
      </c>
      <c r="C17" s="19"/>
      <c r="D17" s="14"/>
      <c r="E17" s="14"/>
      <c r="F17" s="14">
        <v>0</v>
      </c>
      <c r="G17" s="14">
        <f>+'Gas AMI Additions'!G71</f>
        <v>-1019306.0138624996</v>
      </c>
      <c r="H17" s="14">
        <f>+G17-F17</f>
        <v>-1019306.0138624996</v>
      </c>
      <c r="I17" s="14"/>
    </row>
    <row r="18" spans="1:10" x14ac:dyDescent="0.25">
      <c r="A18" s="12">
        <f t="shared" si="0"/>
        <v>5</v>
      </c>
      <c r="B18" s="19" t="s">
        <v>200</v>
      </c>
      <c r="C18" s="19"/>
      <c r="D18" s="14"/>
      <c r="E18" s="14"/>
      <c r="F18" s="14">
        <v>0</v>
      </c>
      <c r="G18" s="14">
        <f>'DFIT '!I31</f>
        <v>-872688.03016393958</v>
      </c>
      <c r="H18" s="14">
        <f>+G18-F18</f>
        <v>-872688.03016393958</v>
      </c>
      <c r="I18" s="14"/>
    </row>
    <row r="19" spans="1:10" ht="15.75" thickBot="1" x14ac:dyDescent="0.3">
      <c r="A19" s="12">
        <f t="shared" si="0"/>
        <v>6</v>
      </c>
      <c r="B19" s="20" t="s">
        <v>196</v>
      </c>
      <c r="C19" s="20"/>
      <c r="D19" s="21"/>
      <c r="E19" s="21"/>
      <c r="F19" s="21">
        <f>SUM(F16:F18)</f>
        <v>0</v>
      </c>
      <c r="G19" s="21">
        <f>SUM(G16:G18)</f>
        <v>10573839.245973557</v>
      </c>
      <c r="H19" s="21">
        <f>SUM(H16:H18)</f>
        <v>10573839.245973557</v>
      </c>
      <c r="I19" s="21"/>
      <c r="J19" t="s">
        <v>86</v>
      </c>
    </row>
    <row r="20" spans="1:10" ht="15.75" thickTop="1" x14ac:dyDescent="0.25">
      <c r="A20" s="12">
        <f t="shared" si="0"/>
        <v>7</v>
      </c>
      <c r="B20" s="15" t="s">
        <v>201</v>
      </c>
      <c r="C20" s="20"/>
      <c r="D20" s="18"/>
      <c r="E20" s="18"/>
      <c r="F20" s="18"/>
      <c r="G20" s="18"/>
      <c r="H20" s="18"/>
      <c r="I20" s="18"/>
    </row>
    <row r="21" spans="1:10" x14ac:dyDescent="0.25">
      <c r="A21" s="12">
        <f t="shared" si="0"/>
        <v>8</v>
      </c>
      <c r="B21" s="19" t="s">
        <v>202</v>
      </c>
      <c r="C21" s="20"/>
      <c r="D21" s="18"/>
      <c r="E21" s="18"/>
      <c r="F21" s="18">
        <v>0</v>
      </c>
      <c r="G21" s="18">
        <f>+'Amort of Gas Def''d Deprec'!E37</f>
        <v>5026060.749488458</v>
      </c>
      <c r="H21" s="18">
        <f>+G21-F21</f>
        <v>5026060.749488458</v>
      </c>
      <c r="I21" s="18"/>
    </row>
    <row r="22" spans="1:10" x14ac:dyDescent="0.25">
      <c r="A22" s="12">
        <f t="shared" si="0"/>
        <v>9</v>
      </c>
      <c r="B22" s="19" t="s">
        <v>203</v>
      </c>
      <c r="C22" s="20"/>
      <c r="D22" s="18"/>
      <c r="E22" s="18"/>
      <c r="F22" s="14">
        <v>0</v>
      </c>
      <c r="G22" s="14">
        <f>+'Amort of Gas Def''d Deprec'!H37</f>
        <v>-837676.79158140963</v>
      </c>
      <c r="H22" s="18">
        <f>+G22-F22</f>
        <v>-837676.79158140963</v>
      </c>
      <c r="I22" s="14"/>
    </row>
    <row r="23" spans="1:10" x14ac:dyDescent="0.25">
      <c r="A23" s="12">
        <f t="shared" si="0"/>
        <v>10</v>
      </c>
      <c r="B23" s="19" t="s">
        <v>204</v>
      </c>
      <c r="C23" s="20"/>
      <c r="D23" s="18"/>
      <c r="E23" s="18"/>
      <c r="F23" s="14">
        <v>0</v>
      </c>
      <c r="G23" s="14">
        <f>+'Amort of Gas Def''d Deprec'!L37</f>
        <v>-879560.63116048009</v>
      </c>
      <c r="H23" s="18">
        <f>+G23-F23</f>
        <v>-879560.63116048009</v>
      </c>
      <c r="I23" s="14"/>
    </row>
    <row r="24" spans="1:10" x14ac:dyDescent="0.25">
      <c r="A24" s="12">
        <f t="shared" si="0"/>
        <v>11</v>
      </c>
      <c r="B24" s="19" t="s">
        <v>205</v>
      </c>
      <c r="C24" s="20"/>
      <c r="D24" s="402">
        <f>SUM(D21:D23)</f>
        <v>0</v>
      </c>
      <c r="E24" s="402">
        <f t="shared" ref="E24:H24" si="1">SUM(E21:E23)</f>
        <v>0</v>
      </c>
      <c r="F24" s="402">
        <f t="shared" si="1"/>
        <v>0</v>
      </c>
      <c r="G24" s="402">
        <f t="shared" si="1"/>
        <v>3308823.3267465685</v>
      </c>
      <c r="H24" s="402">
        <f t="shared" si="1"/>
        <v>3308823.3267465685</v>
      </c>
      <c r="I24" s="402"/>
    </row>
    <row r="25" spans="1:10" x14ac:dyDescent="0.25">
      <c r="A25" s="12">
        <f t="shared" si="0"/>
        <v>12</v>
      </c>
      <c r="B25" s="19"/>
      <c r="C25" s="20"/>
      <c r="D25" s="18"/>
      <c r="E25" s="18"/>
      <c r="F25" s="18"/>
      <c r="G25" s="18"/>
      <c r="H25" s="18"/>
      <c r="I25" s="18"/>
    </row>
    <row r="26" spans="1:10" ht="15.75" thickBot="1" x14ac:dyDescent="0.3">
      <c r="A26" s="12">
        <f t="shared" si="0"/>
        <v>13</v>
      </c>
      <c r="B26" s="20" t="s">
        <v>206</v>
      </c>
      <c r="C26" s="20"/>
      <c r="D26" s="403">
        <f>D19+D24</f>
        <v>0</v>
      </c>
      <c r="E26" s="403">
        <f t="shared" ref="E26:H26" si="2">E19+E24</f>
        <v>0</v>
      </c>
      <c r="F26" s="403">
        <f t="shared" si="2"/>
        <v>0</v>
      </c>
      <c r="G26" s="403">
        <f t="shared" si="2"/>
        <v>13882662.572720125</v>
      </c>
      <c r="H26" s="403">
        <f t="shared" si="2"/>
        <v>13882662.572720125</v>
      </c>
      <c r="I26" s="403"/>
    </row>
    <row r="27" spans="1:10" ht="16.5" thickTop="1" x14ac:dyDescent="0.25">
      <c r="A27" s="12">
        <f t="shared" si="0"/>
        <v>14</v>
      </c>
      <c r="B27" s="157"/>
      <c r="C27" s="20"/>
      <c r="D27" s="18"/>
      <c r="E27" s="18"/>
      <c r="F27" s="18"/>
      <c r="G27" s="18"/>
      <c r="H27" s="18"/>
      <c r="I27" s="404"/>
    </row>
    <row r="28" spans="1:10" ht="15.75" x14ac:dyDescent="0.25">
      <c r="A28" s="12">
        <f t="shared" si="0"/>
        <v>15</v>
      </c>
      <c r="B28" s="22" t="s">
        <v>14</v>
      </c>
      <c r="C28" s="157"/>
      <c r="D28" s="158"/>
      <c r="E28" s="158"/>
      <c r="F28" s="158"/>
      <c r="G28" s="158"/>
      <c r="H28" s="158"/>
      <c r="I28" s="158"/>
    </row>
    <row r="29" spans="1:10" x14ac:dyDescent="0.25">
      <c r="A29" s="12">
        <f t="shared" si="0"/>
        <v>16</v>
      </c>
      <c r="B29" s="23" t="s">
        <v>207</v>
      </c>
      <c r="C29" s="23"/>
      <c r="D29" s="18"/>
      <c r="E29" s="18"/>
      <c r="F29" s="18">
        <v>0</v>
      </c>
      <c r="G29" s="18">
        <f>+'Gas AMI Additions'!E70</f>
        <v>654456.24772499979</v>
      </c>
      <c r="H29" s="18">
        <f>+G29-F29</f>
        <v>654456.24772499979</v>
      </c>
      <c r="I29" s="18"/>
    </row>
    <row r="30" spans="1:10" x14ac:dyDescent="0.25">
      <c r="A30" s="12">
        <f t="shared" si="0"/>
        <v>17</v>
      </c>
      <c r="B30" s="23" t="s">
        <v>371</v>
      </c>
      <c r="C30" s="23"/>
      <c r="D30" s="14">
        <v>0</v>
      </c>
      <c r="E30" s="14">
        <v>0</v>
      </c>
      <c r="F30" s="14">
        <v>0</v>
      </c>
      <c r="G30" s="18">
        <f>+'Depreciation Def''d Mar19-Apr20'!Q40*12</f>
        <v>-45793.413416894138</v>
      </c>
      <c r="H30" s="14">
        <f>+G30-F30</f>
        <v>-45793.413416894138</v>
      </c>
      <c r="I30" s="18"/>
    </row>
    <row r="31" spans="1:10" x14ac:dyDescent="0.25">
      <c r="A31" s="12">
        <f t="shared" si="0"/>
        <v>18</v>
      </c>
      <c r="B31" s="23" t="s">
        <v>208</v>
      </c>
      <c r="C31" s="23"/>
      <c r="D31" s="14">
        <v>0</v>
      </c>
      <c r="E31" s="14">
        <v>0</v>
      </c>
      <c r="F31" s="14">
        <v>0</v>
      </c>
      <c r="G31" s="14">
        <f>SUM('Amort Gas Return on RB'!F26:F37)</f>
        <v>390538.48325363314</v>
      </c>
      <c r="H31" s="14">
        <f>+G31-F31</f>
        <v>390538.48325363314</v>
      </c>
      <c r="I31" s="14"/>
    </row>
    <row r="32" spans="1:10" x14ac:dyDescent="0.25">
      <c r="A32" s="12">
        <f t="shared" si="0"/>
        <v>19</v>
      </c>
      <c r="B32" s="23" t="s">
        <v>209</v>
      </c>
      <c r="C32" s="23"/>
      <c r="D32" s="14">
        <v>0</v>
      </c>
      <c r="E32" s="14">
        <v>0</v>
      </c>
      <c r="F32" s="14">
        <v>0</v>
      </c>
      <c r="G32" s="14">
        <f>SUM('Amort of Gas Def''d Deprec'!F26:F37)</f>
        <v>1675353.5831628193</v>
      </c>
      <c r="H32" s="14">
        <f>+G32-F32</f>
        <v>1675353.5831628193</v>
      </c>
      <c r="I32" s="14"/>
    </row>
    <row r="33" spans="1:9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2674554.9007245582</v>
      </c>
      <c r="H33" s="21">
        <f>SUM(H29:H32)</f>
        <v>2674554.9007245582</v>
      </c>
      <c r="I33" s="21"/>
    </row>
    <row r="34" spans="1:9" ht="16.5" thickTop="1" x14ac:dyDescent="0.25">
      <c r="A34" s="12">
        <f t="shared" si="0"/>
        <v>21</v>
      </c>
      <c r="B34" s="159"/>
      <c r="C34" s="159"/>
      <c r="D34" s="162"/>
      <c r="E34" s="162"/>
      <c r="F34" s="162"/>
      <c r="G34" s="162"/>
      <c r="H34" s="162"/>
      <c r="I34" s="162"/>
    </row>
    <row r="35" spans="1:9" x14ac:dyDescent="0.25">
      <c r="A35" s="12">
        <f t="shared" si="0"/>
        <v>22</v>
      </c>
      <c r="B35" s="24" t="s">
        <v>15</v>
      </c>
      <c r="C35" s="24"/>
      <c r="D35" s="14"/>
      <c r="E35" s="14"/>
      <c r="F35" s="14"/>
      <c r="G35" s="18">
        <f>+G33</f>
        <v>2674554.9007245582</v>
      </c>
      <c r="H35" s="14">
        <f>H33</f>
        <v>2674554.9007245582</v>
      </c>
      <c r="I35" s="14"/>
    </row>
    <row r="36" spans="1:9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  <c r="I36" s="14"/>
    </row>
    <row r="37" spans="1:9" x14ac:dyDescent="0.25">
      <c r="A37" s="12">
        <f t="shared" si="0"/>
        <v>24</v>
      </c>
      <c r="B37" s="24" t="s">
        <v>16</v>
      </c>
      <c r="C37" s="165">
        <v>0.21</v>
      </c>
      <c r="D37" s="166"/>
      <c r="E37" s="166"/>
      <c r="F37" s="166"/>
      <c r="G37" s="14">
        <f>-G35*$C$37</f>
        <v>-561656.52915215725</v>
      </c>
      <c r="H37" s="166">
        <f>-H35*$C$37</f>
        <v>-561656.52915215725</v>
      </c>
      <c r="I37" s="166"/>
    </row>
    <row r="38" spans="1:9" ht="15.75" thickBot="1" x14ac:dyDescent="0.3">
      <c r="A38" s="12">
        <f t="shared" si="0"/>
        <v>25</v>
      </c>
      <c r="B38" s="24" t="s">
        <v>17</v>
      </c>
      <c r="C38" s="24"/>
      <c r="D38" s="167"/>
      <c r="E38" s="167"/>
      <c r="F38" s="167"/>
      <c r="G38" s="167">
        <f>-G35-G37</f>
        <v>-2112898.3715724009</v>
      </c>
      <c r="H38" s="167">
        <f>-H35-H37</f>
        <v>-2112898.3715724009</v>
      </c>
      <c r="I38" s="167"/>
    </row>
    <row r="39" spans="1:9" ht="15.75" thickTop="1" x14ac:dyDescent="0.25">
      <c r="A39" s="12">
        <f t="shared" si="0"/>
        <v>26</v>
      </c>
      <c r="C39" s="13"/>
      <c r="D39" s="13"/>
      <c r="E39" s="13"/>
      <c r="F39" s="13"/>
      <c r="G39" s="13"/>
      <c r="H39" s="13"/>
    </row>
    <row r="40" spans="1:9" x14ac:dyDescent="0.25">
      <c r="A40" s="12">
        <f t="shared" si="0"/>
        <v>27</v>
      </c>
      <c r="B40" s="221" t="s">
        <v>210</v>
      </c>
      <c r="C40" s="155"/>
      <c r="D40" s="155"/>
      <c r="E40" s="155"/>
      <c r="F40" s="13"/>
      <c r="G40" s="13"/>
      <c r="H40" s="13"/>
    </row>
    <row r="41" spans="1:9" x14ac:dyDescent="0.25">
      <c r="A41" s="12">
        <f t="shared" si="0"/>
        <v>28</v>
      </c>
      <c r="B41" s="221" t="s">
        <v>211</v>
      </c>
    </row>
    <row r="42" spans="1:9" x14ac:dyDescent="0.25">
      <c r="A42" s="12">
        <f t="shared" si="0"/>
        <v>29</v>
      </c>
      <c r="B42" s="221" t="s">
        <v>212</v>
      </c>
    </row>
  </sheetData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70" zoomScaleNormal="70" workbookViewId="0">
      <pane xSplit="1" ySplit="13" topLeftCell="B14" activePane="bottomRight" state="frozen"/>
      <selection activeCell="C20" sqref="C20"/>
      <selection pane="topRight" activeCell="C20" sqref="C20"/>
      <selection pane="bottomLeft" activeCell="C20" sqref="C20"/>
      <selection pane="bottomRight" activeCell="B6" sqref="B6"/>
    </sheetView>
  </sheetViews>
  <sheetFormatPr defaultColWidth="8.85546875" defaultRowHeight="12.75" outlineLevelRow="1" x14ac:dyDescent="0.2"/>
  <cols>
    <col min="1" max="1" width="24.42578125" style="53" customWidth="1"/>
    <col min="2" max="2" width="11.42578125" style="53" bestFit="1" customWidth="1"/>
    <col min="3" max="3" width="15.140625" style="53" bestFit="1" customWidth="1"/>
    <col min="4" max="4" width="11.85546875" style="53" bestFit="1" customWidth="1"/>
    <col min="5" max="5" width="13.28515625" style="53" bestFit="1" customWidth="1"/>
    <col min="6" max="6" width="12.140625" style="53" bestFit="1" customWidth="1"/>
    <col min="7" max="7" width="14.5703125" style="53" bestFit="1" customWidth="1"/>
    <col min="8" max="8" width="12.5703125" style="53" bestFit="1" customWidth="1"/>
    <col min="9" max="9" width="12.28515625" style="53" bestFit="1" customWidth="1"/>
    <col min="10" max="10" width="11.7109375" style="53" bestFit="1" customWidth="1"/>
    <col min="11" max="11" width="11.140625" style="53" bestFit="1" customWidth="1"/>
    <col min="12" max="12" width="13.140625" style="53" bestFit="1" customWidth="1"/>
    <col min="13" max="13" width="7.28515625" style="53" bestFit="1" customWidth="1"/>
    <col min="14" max="14" width="12.85546875" style="53" bestFit="1" customWidth="1"/>
    <col min="15" max="15" width="8.85546875" style="53"/>
    <col min="16" max="16" width="9.28515625" style="53" bestFit="1" customWidth="1"/>
    <col min="17" max="16384" width="8.85546875" style="53"/>
  </cols>
  <sheetData>
    <row r="1" spans="1:16" s="30" customFormat="1" x14ac:dyDescent="0.2">
      <c r="A1" s="213" t="str">
        <f>+'Lead G'!A6</f>
        <v>AUTOMATED METER INFRASTRUCTURE ("AMI") - GAS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213"/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214" t="s">
        <v>162</v>
      </c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187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188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8" t="s">
        <v>19</v>
      </c>
      <c r="B8" s="49" t="s">
        <v>20</v>
      </c>
      <c r="C8" s="50"/>
      <c r="D8" s="49" t="s">
        <v>21</v>
      </c>
      <c r="E8" s="51"/>
      <c r="F8" s="49" t="s">
        <v>22</v>
      </c>
      <c r="G8" s="50"/>
      <c r="H8" s="49" t="s">
        <v>0</v>
      </c>
      <c r="I8" s="50"/>
      <c r="J8" s="52" t="s">
        <v>23</v>
      </c>
      <c r="K8" s="52" t="s">
        <v>24</v>
      </c>
      <c r="L8" s="52" t="s">
        <v>25</v>
      </c>
    </row>
    <row r="9" spans="1:16" ht="14.25" thickTop="1" thickBot="1" x14ac:dyDescent="0.25">
      <c r="A9" s="54"/>
      <c r="B9" s="55"/>
      <c r="C9" s="56"/>
      <c r="D9" s="55" t="s">
        <v>83</v>
      </c>
      <c r="E9" s="160">
        <f>+'AMI Depr and Tax lives'!D13</f>
        <v>5.2499999999999998E-2</v>
      </c>
      <c r="F9" s="57"/>
      <c r="G9" s="56"/>
      <c r="H9" s="58"/>
      <c r="I9" s="59"/>
      <c r="J9" s="60"/>
      <c r="K9" s="60"/>
      <c r="L9" s="60" t="s">
        <v>26</v>
      </c>
    </row>
    <row r="10" spans="1:16" ht="13.5" thickBot="1" x14ac:dyDescent="0.25">
      <c r="A10" s="54"/>
      <c r="B10" s="55"/>
      <c r="C10" s="56"/>
      <c r="D10" s="55" t="s">
        <v>84</v>
      </c>
      <c r="E10" s="161"/>
      <c r="F10" s="57"/>
      <c r="G10" s="56"/>
      <c r="H10" s="58"/>
      <c r="I10" s="59"/>
      <c r="J10" s="60"/>
      <c r="K10" s="164" t="s">
        <v>86</v>
      </c>
      <c r="L10" s="60"/>
    </row>
    <row r="11" spans="1:16" x14ac:dyDescent="0.2">
      <c r="A11" s="61"/>
      <c r="B11" s="62" t="s">
        <v>27</v>
      </c>
      <c r="C11" s="63" t="s">
        <v>28</v>
      </c>
      <c r="D11" s="62" t="s">
        <v>29</v>
      </c>
      <c r="E11" s="63" t="s">
        <v>30</v>
      </c>
      <c r="F11" s="58" t="s">
        <v>27</v>
      </c>
      <c r="G11" s="59" t="s">
        <v>28</v>
      </c>
      <c r="H11" s="58" t="s">
        <v>27</v>
      </c>
      <c r="I11" s="59" t="s">
        <v>31</v>
      </c>
      <c r="J11" s="64" t="s">
        <v>32</v>
      </c>
      <c r="K11" s="65">
        <v>0.21</v>
      </c>
      <c r="L11" s="60" t="s">
        <v>33</v>
      </c>
    </row>
    <row r="12" spans="1:16" x14ac:dyDescent="0.2">
      <c r="A12" s="61"/>
      <c r="B12" s="62"/>
      <c r="C12" s="63"/>
      <c r="D12" s="62" t="s">
        <v>34</v>
      </c>
      <c r="E12" s="59" t="s">
        <v>35</v>
      </c>
      <c r="F12" s="58" t="s">
        <v>36</v>
      </c>
      <c r="G12" s="59" t="s">
        <v>37</v>
      </c>
      <c r="H12" s="58"/>
      <c r="I12" s="59"/>
      <c r="J12" s="64"/>
      <c r="K12" s="65" t="s">
        <v>38</v>
      </c>
      <c r="L12" s="60" t="s">
        <v>39</v>
      </c>
    </row>
    <row r="13" spans="1:16" x14ac:dyDescent="0.2">
      <c r="A13" s="66"/>
      <c r="B13" s="67" t="s">
        <v>40</v>
      </c>
      <c r="C13" s="68" t="s">
        <v>41</v>
      </c>
      <c r="D13" s="67"/>
      <c r="E13" s="68" t="s">
        <v>42</v>
      </c>
      <c r="F13" s="69" t="s">
        <v>43</v>
      </c>
      <c r="G13" s="70" t="s">
        <v>44</v>
      </c>
      <c r="H13" s="69" t="s">
        <v>45</v>
      </c>
      <c r="I13" s="70" t="s">
        <v>46</v>
      </c>
      <c r="J13" s="71" t="s">
        <v>47</v>
      </c>
      <c r="K13" s="72">
        <v>0.21</v>
      </c>
      <c r="L13" s="73" t="s">
        <v>48</v>
      </c>
    </row>
    <row r="14" spans="1:16" outlineLevel="1" x14ac:dyDescent="0.2">
      <c r="A14" s="74">
        <v>43465</v>
      </c>
      <c r="B14" s="415">
        <v>0</v>
      </c>
      <c r="C14" s="416">
        <v>0</v>
      </c>
      <c r="D14" s="416">
        <v>0</v>
      </c>
      <c r="E14" s="416">
        <v>0</v>
      </c>
      <c r="F14" s="416">
        <v>0</v>
      </c>
      <c r="G14" s="416">
        <v>0</v>
      </c>
      <c r="H14" s="416">
        <v>0</v>
      </c>
      <c r="I14" s="416">
        <v>0</v>
      </c>
      <c r="J14" s="416">
        <v>0</v>
      </c>
      <c r="K14" s="416">
        <v>0</v>
      </c>
      <c r="L14" s="428">
        <v>0</v>
      </c>
    </row>
    <row r="15" spans="1:16" ht="15" x14ac:dyDescent="0.25">
      <c r="A15" s="74">
        <v>43496</v>
      </c>
      <c r="B15" s="417">
        <f t="shared" ref="B15:B20" si="2">C15</f>
        <v>1528921.4200000002</v>
      </c>
      <c r="C15" s="418">
        <f>+'AMI Additions'!N14+'AMI Additions'!N15</f>
        <v>1528921.4200000002</v>
      </c>
      <c r="D15" s="76">
        <f>+C26*$B$6/12</f>
        <v>207763.88816666664</v>
      </c>
      <c r="E15" s="199">
        <f>+C15*$E$9/12</f>
        <v>6689.0312125000009</v>
      </c>
      <c r="F15" s="76">
        <f>-D15+F14</f>
        <v>-207763.88816666664</v>
      </c>
      <c r="G15" s="76">
        <f>+G14-E15</f>
        <v>-6689.0312125000009</v>
      </c>
      <c r="H15" s="76">
        <f>B15+F15</f>
        <v>1321157.5318333334</v>
      </c>
      <c r="I15" s="76">
        <f t="shared" ref="I15:I19" si="3">C15+G15</f>
        <v>1522232.3887875001</v>
      </c>
      <c r="J15" s="76">
        <f t="shared" ref="J15:J19" si="4">I15-H15</f>
        <v>201074.85695416667</v>
      </c>
      <c r="K15" s="76">
        <f t="shared" ref="K15:K18" si="5">-J15*$K$11</f>
        <v>-42225.719960374998</v>
      </c>
      <c r="L15" s="77">
        <f t="shared" ref="L15:L66" si="6">-K15+K14</f>
        <v>42225.719960374998</v>
      </c>
      <c r="N15" s="92"/>
      <c r="O15"/>
    </row>
    <row r="16" spans="1:16" x14ac:dyDescent="0.2">
      <c r="A16" s="74">
        <v>43524</v>
      </c>
      <c r="B16" s="417">
        <f t="shared" si="2"/>
        <v>2031410.7600000005</v>
      </c>
      <c r="C16" s="419">
        <f>+'AMI Additions'!O14+'AMI Additions'!O15+C15</f>
        <v>2031410.7600000005</v>
      </c>
      <c r="D16" s="76">
        <f t="shared" ref="D16:D24" si="7">+C27*$B$6/12</f>
        <v>207763.88816666664</v>
      </c>
      <c r="E16" s="199">
        <f t="shared" ref="E16:E50" si="8">+C16*$E$9/12</f>
        <v>8887.4220750000022</v>
      </c>
      <c r="F16" s="76">
        <f t="shared" ref="F16:F66" si="9">-D16+F15</f>
        <v>-415527.77633333328</v>
      </c>
      <c r="G16" s="76">
        <f t="shared" ref="G16:G66" si="10">+G15-E16</f>
        <v>-15576.453287500004</v>
      </c>
      <c r="H16" s="76">
        <f t="shared" ref="H16:H18" si="11">B16+F16</f>
        <v>1615882.9836666672</v>
      </c>
      <c r="I16" s="76">
        <f t="shared" si="3"/>
        <v>2015834.3067125005</v>
      </c>
      <c r="J16" s="76">
        <f t="shared" si="4"/>
        <v>399951.32304583327</v>
      </c>
      <c r="K16" s="76">
        <f t="shared" si="5"/>
        <v>-83989.777839624978</v>
      </c>
      <c r="L16" s="77">
        <f t="shared" si="6"/>
        <v>41764.05787924998</v>
      </c>
    </row>
    <row r="17" spans="1:15" x14ac:dyDescent="0.2">
      <c r="A17" s="74">
        <v>43555</v>
      </c>
      <c r="B17" s="417">
        <f t="shared" si="2"/>
        <v>5834911.21</v>
      </c>
      <c r="C17" s="418">
        <f>+'AMI Additions'!P14+'AMI Additions'!P15+C16</f>
        <v>5834911.21</v>
      </c>
      <c r="D17" s="76">
        <f t="shared" si="7"/>
        <v>207763.88816666664</v>
      </c>
      <c r="E17" s="199">
        <f t="shared" si="8"/>
        <v>25527.736543749998</v>
      </c>
      <c r="F17" s="76">
        <f t="shared" si="9"/>
        <v>-623291.66449999996</v>
      </c>
      <c r="G17" s="76">
        <f t="shared" si="10"/>
        <v>-41104.189831249998</v>
      </c>
      <c r="H17" s="76">
        <f t="shared" si="11"/>
        <v>5211619.5455</v>
      </c>
      <c r="I17" s="76">
        <f t="shared" si="3"/>
        <v>5793807.0201687496</v>
      </c>
      <c r="J17" s="76">
        <f t="shared" si="4"/>
        <v>582187.47466874961</v>
      </c>
      <c r="K17" s="76">
        <f t="shared" si="5"/>
        <v>-122259.36968043742</v>
      </c>
      <c r="L17" s="77">
        <f t="shared" si="6"/>
        <v>38269.591840812442</v>
      </c>
    </row>
    <row r="18" spans="1:15" s="40" customFormat="1" x14ac:dyDescent="0.2">
      <c r="A18" s="74">
        <v>43585</v>
      </c>
      <c r="B18" s="417">
        <f t="shared" si="2"/>
        <v>5834911.21</v>
      </c>
      <c r="C18" s="420">
        <f>+'AMI Additions'!Q14+C17</f>
        <v>5834911.21</v>
      </c>
      <c r="D18" s="76">
        <f t="shared" si="7"/>
        <v>207763.88816666664</v>
      </c>
      <c r="E18" s="199">
        <f t="shared" si="8"/>
        <v>25527.736543749998</v>
      </c>
      <c r="F18" s="76">
        <f t="shared" si="9"/>
        <v>-831055.55266666657</v>
      </c>
      <c r="G18" s="76">
        <f t="shared" si="10"/>
        <v>-66631.926374999995</v>
      </c>
      <c r="H18" s="76">
        <f t="shared" si="11"/>
        <v>5003855.657333333</v>
      </c>
      <c r="I18" s="76">
        <f t="shared" si="3"/>
        <v>5768279.2836250002</v>
      </c>
      <c r="J18" s="76">
        <f t="shared" si="4"/>
        <v>764423.62629166711</v>
      </c>
      <c r="K18" s="76">
        <f t="shared" si="5"/>
        <v>-160528.96152125008</v>
      </c>
      <c r="L18" s="77">
        <f t="shared" si="6"/>
        <v>38269.59184081266</v>
      </c>
      <c r="N18" s="53"/>
      <c r="O18" s="53"/>
    </row>
    <row r="19" spans="1:15" s="40" customFormat="1" x14ac:dyDescent="0.2">
      <c r="A19" s="74">
        <v>43616</v>
      </c>
      <c r="B19" s="76">
        <f t="shared" si="2"/>
        <v>5834911.21</v>
      </c>
      <c r="C19" s="420">
        <f>+'AMI Additions'!R14+C18</f>
        <v>5834911.21</v>
      </c>
      <c r="D19" s="76">
        <f t="shared" si="7"/>
        <v>207763.88816666664</v>
      </c>
      <c r="E19" s="199">
        <f t="shared" si="8"/>
        <v>25527.736543749998</v>
      </c>
      <c r="F19" s="76">
        <f t="shared" si="9"/>
        <v>-1038819.4408333332</v>
      </c>
      <c r="G19" s="76">
        <f t="shared" si="10"/>
        <v>-92159.662918749993</v>
      </c>
      <c r="H19" s="76">
        <f>B19+F19</f>
        <v>4796091.769166667</v>
      </c>
      <c r="I19" s="76">
        <f t="shared" si="3"/>
        <v>5742751.5470812498</v>
      </c>
      <c r="J19" s="76">
        <f t="shared" si="4"/>
        <v>946659.77791458275</v>
      </c>
      <c r="K19" s="76">
        <f t="shared" ref="K19:K66" si="12">-J19*$K$11</f>
        <v>-198798.55336206238</v>
      </c>
      <c r="L19" s="77">
        <f t="shared" si="6"/>
        <v>38269.591840812296</v>
      </c>
      <c r="M19" s="78"/>
      <c r="N19" s="53"/>
      <c r="O19" s="53"/>
    </row>
    <row r="20" spans="1:15" s="40" customFormat="1" x14ac:dyDescent="0.2">
      <c r="A20" s="74">
        <v>43646</v>
      </c>
      <c r="B20" s="76">
        <f t="shared" si="2"/>
        <v>12465833.289999999</v>
      </c>
      <c r="C20" s="420">
        <f>+'AMI Additions'!S14+C19</f>
        <v>12465833.289999999</v>
      </c>
      <c r="D20" s="76">
        <f t="shared" si="7"/>
        <v>207763.88816666664</v>
      </c>
      <c r="E20" s="199">
        <f t="shared" si="8"/>
        <v>54538.020643749995</v>
      </c>
      <c r="F20" s="76">
        <f t="shared" si="9"/>
        <v>-1246583.3289999999</v>
      </c>
      <c r="G20" s="76">
        <f t="shared" si="10"/>
        <v>-146697.68356249999</v>
      </c>
      <c r="H20" s="76">
        <f t="shared" ref="H20:I59" si="13">B20+F20</f>
        <v>11219249.960999999</v>
      </c>
      <c r="I20" s="76">
        <f t="shared" si="13"/>
        <v>12319135.606437499</v>
      </c>
      <c r="J20" s="76">
        <f t="shared" ref="J20:J56" si="14">I20-H20</f>
        <v>1099885.6454374995</v>
      </c>
      <c r="K20" s="76">
        <f t="shared" si="12"/>
        <v>-230975.98554187489</v>
      </c>
      <c r="L20" s="77">
        <f t="shared" si="6"/>
        <v>32177.432179812517</v>
      </c>
      <c r="M20" s="79"/>
      <c r="N20" s="53"/>
      <c r="O20" s="53"/>
    </row>
    <row r="21" spans="1:15" s="40" customFormat="1" x14ac:dyDescent="0.2">
      <c r="A21" s="74">
        <v>43677</v>
      </c>
      <c r="B21" s="421">
        <f>+C21</f>
        <v>12465833.289999999</v>
      </c>
      <c r="C21" s="422">
        <f t="shared" ref="C21:C68" si="15">+C20</f>
        <v>12465833.289999999</v>
      </c>
      <c r="D21" s="76">
        <f t="shared" si="7"/>
        <v>207763.88816666664</v>
      </c>
      <c r="E21" s="199">
        <f t="shared" si="8"/>
        <v>54538.020643749995</v>
      </c>
      <c r="F21" s="76">
        <f t="shared" si="9"/>
        <v>-1454347.2171666666</v>
      </c>
      <c r="G21" s="76">
        <f t="shared" si="10"/>
        <v>-201235.70420625</v>
      </c>
      <c r="H21" s="76">
        <f t="shared" si="13"/>
        <v>11011486.072833333</v>
      </c>
      <c r="I21" s="76">
        <f t="shared" si="13"/>
        <v>12264597.585793748</v>
      </c>
      <c r="J21" s="76">
        <f t="shared" si="14"/>
        <v>1253111.5129604153</v>
      </c>
      <c r="K21" s="76">
        <f t="shared" si="12"/>
        <v>-263153.41772168723</v>
      </c>
      <c r="L21" s="77">
        <f t="shared" si="6"/>
        <v>32177.432179812342</v>
      </c>
      <c r="M21" s="79"/>
      <c r="N21" s="53"/>
      <c r="O21" s="53"/>
    </row>
    <row r="22" spans="1:15" s="40" customFormat="1" x14ac:dyDescent="0.2">
      <c r="A22" s="74">
        <v>43708</v>
      </c>
      <c r="B22" s="421">
        <f t="shared" ref="B22:B33" si="16">B21</f>
        <v>12465833.289999999</v>
      </c>
      <c r="C22" s="422">
        <f t="shared" si="15"/>
        <v>12465833.289999999</v>
      </c>
      <c r="D22" s="76">
        <f t="shared" si="7"/>
        <v>207763.88816666664</v>
      </c>
      <c r="E22" s="199">
        <f t="shared" si="8"/>
        <v>54538.020643749995</v>
      </c>
      <c r="F22" s="76">
        <f t="shared" si="9"/>
        <v>-1662111.1053333334</v>
      </c>
      <c r="G22" s="76">
        <f t="shared" si="10"/>
        <v>-255773.72485</v>
      </c>
      <c r="H22" s="76">
        <f t="shared" si="13"/>
        <v>10803722.184666665</v>
      </c>
      <c r="I22" s="76">
        <f t="shared" si="13"/>
        <v>12210059.565149998</v>
      </c>
      <c r="J22" s="76">
        <f t="shared" si="14"/>
        <v>1406337.380483333</v>
      </c>
      <c r="K22" s="76">
        <f t="shared" si="12"/>
        <v>-295330.84990149993</v>
      </c>
      <c r="L22" s="77">
        <f t="shared" si="6"/>
        <v>32177.432179812691</v>
      </c>
      <c r="M22" s="79"/>
      <c r="N22" s="156"/>
      <c r="O22" s="53"/>
    </row>
    <row r="23" spans="1:15" s="40" customFormat="1" x14ac:dyDescent="0.2">
      <c r="A23" s="74">
        <v>43738</v>
      </c>
      <c r="B23" s="76">
        <f t="shared" si="16"/>
        <v>12465833.289999999</v>
      </c>
      <c r="C23" s="422">
        <f t="shared" si="15"/>
        <v>12465833.289999999</v>
      </c>
      <c r="D23" s="76">
        <f t="shared" si="7"/>
        <v>207763.88816666664</v>
      </c>
      <c r="E23" s="199">
        <f t="shared" si="8"/>
        <v>54538.020643749995</v>
      </c>
      <c r="F23" s="76">
        <f t="shared" si="9"/>
        <v>-1869874.9935000001</v>
      </c>
      <c r="G23" s="76">
        <f t="shared" si="10"/>
        <v>-310311.74549374997</v>
      </c>
      <c r="H23" s="76">
        <f t="shared" si="13"/>
        <v>10595958.296499999</v>
      </c>
      <c r="I23" s="76">
        <f>C23+G23</f>
        <v>12155521.54450625</v>
      </c>
      <c r="J23" s="76">
        <f t="shared" si="14"/>
        <v>1559563.2480062507</v>
      </c>
      <c r="K23" s="76">
        <f t="shared" si="12"/>
        <v>-327508.28208131262</v>
      </c>
      <c r="L23" s="77">
        <f t="shared" si="6"/>
        <v>32177.432179812691</v>
      </c>
      <c r="M23" s="79"/>
      <c r="N23" s="53"/>
      <c r="O23" s="53"/>
    </row>
    <row r="24" spans="1:15" s="40" customFormat="1" x14ac:dyDescent="0.2">
      <c r="A24" s="74">
        <v>43769</v>
      </c>
      <c r="B24" s="76">
        <f t="shared" si="16"/>
        <v>12465833.289999999</v>
      </c>
      <c r="C24" s="422">
        <f t="shared" si="15"/>
        <v>12465833.289999999</v>
      </c>
      <c r="D24" s="76">
        <f t="shared" si="7"/>
        <v>207763.88816666664</v>
      </c>
      <c r="E24" s="199">
        <f t="shared" si="8"/>
        <v>54538.020643749995</v>
      </c>
      <c r="F24" s="76">
        <f t="shared" si="9"/>
        <v>-2077638.8816666668</v>
      </c>
      <c r="G24" s="76">
        <f t="shared" si="10"/>
        <v>-364849.76613749994</v>
      </c>
      <c r="H24" s="76">
        <f t="shared" si="13"/>
        <v>10388194.408333331</v>
      </c>
      <c r="I24" s="76">
        <f t="shared" si="13"/>
        <v>12100983.5238625</v>
      </c>
      <c r="J24" s="76">
        <f t="shared" si="14"/>
        <v>1712789.1155291684</v>
      </c>
      <c r="K24" s="76">
        <f t="shared" si="12"/>
        <v>-359685.71426112537</v>
      </c>
      <c r="L24" s="77">
        <f t="shared" si="6"/>
        <v>32177.432179812749</v>
      </c>
      <c r="M24" s="79"/>
      <c r="N24" s="53"/>
      <c r="O24" s="53"/>
    </row>
    <row r="25" spans="1:15" s="40" customFormat="1" x14ac:dyDescent="0.2">
      <c r="A25" s="74">
        <v>43799</v>
      </c>
      <c r="B25" s="76">
        <f t="shared" si="16"/>
        <v>12465833.289999999</v>
      </c>
      <c r="C25" s="422">
        <f t="shared" si="15"/>
        <v>12465833.289999999</v>
      </c>
      <c r="D25" s="76">
        <f t="shared" ref="D25:D26" si="17">+B25*$B$6/12</f>
        <v>207763.88816666664</v>
      </c>
      <c r="E25" s="199">
        <f t="shared" si="8"/>
        <v>54538.020643749995</v>
      </c>
      <c r="F25" s="76">
        <f t="shared" si="9"/>
        <v>-2285402.7698333333</v>
      </c>
      <c r="G25" s="76">
        <f t="shared" si="10"/>
        <v>-419387.78678124992</v>
      </c>
      <c r="H25" s="76">
        <f t="shared" si="13"/>
        <v>10180430.520166665</v>
      </c>
      <c r="I25" s="76">
        <f t="shared" si="13"/>
        <v>12046445.50321875</v>
      </c>
      <c r="J25" s="76">
        <f t="shared" si="14"/>
        <v>1866014.9830520842</v>
      </c>
      <c r="K25" s="76">
        <f t="shared" si="12"/>
        <v>-391863.14644093765</v>
      </c>
      <c r="L25" s="77">
        <f t="shared" si="6"/>
        <v>32177.432179812284</v>
      </c>
      <c r="M25" s="79"/>
      <c r="N25" s="53"/>
      <c r="O25" s="53"/>
    </row>
    <row r="26" spans="1:15" s="40" customFormat="1" x14ac:dyDescent="0.2">
      <c r="A26" s="74">
        <v>43830</v>
      </c>
      <c r="B26" s="76">
        <f t="shared" si="16"/>
        <v>12465833.289999999</v>
      </c>
      <c r="C26" s="422">
        <f t="shared" si="15"/>
        <v>12465833.289999999</v>
      </c>
      <c r="D26" s="76">
        <f t="shared" si="17"/>
        <v>207763.88816666664</v>
      </c>
      <c r="E26" s="199">
        <f t="shared" si="8"/>
        <v>54538.020643749995</v>
      </c>
      <c r="F26" s="76">
        <f t="shared" si="9"/>
        <v>-2493166.6579999998</v>
      </c>
      <c r="G26" s="76">
        <f t="shared" si="10"/>
        <v>-473925.80742499989</v>
      </c>
      <c r="H26" s="76">
        <f t="shared" si="13"/>
        <v>9972666.6319999993</v>
      </c>
      <c r="I26" s="76">
        <f t="shared" si="13"/>
        <v>11991907.482574999</v>
      </c>
      <c r="J26" s="76">
        <f t="shared" si="14"/>
        <v>2019240.850575</v>
      </c>
      <c r="K26" s="76">
        <f t="shared" si="12"/>
        <v>-424040.57862074999</v>
      </c>
      <c r="L26" s="77">
        <f t="shared" si="6"/>
        <v>32177.432179812342</v>
      </c>
      <c r="M26" s="79"/>
      <c r="N26" s="53"/>
      <c r="O26" s="53"/>
    </row>
    <row r="27" spans="1:15" s="40" customFormat="1" x14ac:dyDescent="0.2">
      <c r="A27" s="74">
        <v>43861</v>
      </c>
      <c r="B27" s="76">
        <f t="shared" si="16"/>
        <v>12465833.289999999</v>
      </c>
      <c r="C27" s="422">
        <f t="shared" si="15"/>
        <v>12465833.289999999</v>
      </c>
      <c r="D27" s="76">
        <f t="shared" ref="D27:D29" si="18">B27*$C$6/12</f>
        <v>332422.22106666665</v>
      </c>
      <c r="E27" s="199">
        <f t="shared" si="8"/>
        <v>54538.020643749995</v>
      </c>
      <c r="F27" s="76">
        <f t="shared" si="9"/>
        <v>-2825588.8790666666</v>
      </c>
      <c r="G27" s="76">
        <f t="shared" si="10"/>
        <v>-528463.82806874986</v>
      </c>
      <c r="H27" s="76">
        <f t="shared" si="13"/>
        <v>9640244.4109333325</v>
      </c>
      <c r="I27" s="76">
        <f t="shared" si="13"/>
        <v>11937369.461931249</v>
      </c>
      <c r="J27" s="76">
        <f t="shared" si="14"/>
        <v>2297125.0509979166</v>
      </c>
      <c r="K27" s="76">
        <f t="shared" si="12"/>
        <v>-482396.26070956246</v>
      </c>
      <c r="L27" s="77">
        <f t="shared" si="6"/>
        <v>58355.682088812464</v>
      </c>
      <c r="M27" s="79"/>
    </row>
    <row r="28" spans="1:15" s="40" customFormat="1" x14ac:dyDescent="0.2">
      <c r="A28" s="74">
        <v>43890</v>
      </c>
      <c r="B28" s="76">
        <f t="shared" si="16"/>
        <v>12465833.289999999</v>
      </c>
      <c r="C28" s="422">
        <f t="shared" si="15"/>
        <v>12465833.289999999</v>
      </c>
      <c r="D28" s="76">
        <f t="shared" si="18"/>
        <v>332422.22106666665</v>
      </c>
      <c r="E28" s="199">
        <f t="shared" si="8"/>
        <v>54538.020643749995</v>
      </c>
      <c r="F28" s="76">
        <f t="shared" si="9"/>
        <v>-3158011.1001333334</v>
      </c>
      <c r="G28" s="76">
        <f t="shared" si="10"/>
        <v>-583001.84871249984</v>
      </c>
      <c r="H28" s="76">
        <f t="shared" si="13"/>
        <v>9307822.1898666658</v>
      </c>
      <c r="I28" s="76">
        <f t="shared" si="13"/>
        <v>11882831.441287499</v>
      </c>
      <c r="J28" s="76">
        <f t="shared" si="14"/>
        <v>2575009.2514208332</v>
      </c>
      <c r="K28" s="76">
        <f t="shared" si="12"/>
        <v>-540751.94279837492</v>
      </c>
      <c r="L28" s="77">
        <f t="shared" si="6"/>
        <v>58355.682088812464</v>
      </c>
      <c r="M28" s="79"/>
      <c r="N28" s="53"/>
      <c r="O28" s="78"/>
    </row>
    <row r="29" spans="1:15" s="40" customFormat="1" x14ac:dyDescent="0.2">
      <c r="A29" s="74">
        <v>43921</v>
      </c>
      <c r="B29" s="76">
        <f t="shared" si="16"/>
        <v>12465833.289999999</v>
      </c>
      <c r="C29" s="422">
        <f t="shared" si="15"/>
        <v>12465833.289999999</v>
      </c>
      <c r="D29" s="76">
        <f t="shared" si="18"/>
        <v>332422.22106666665</v>
      </c>
      <c r="E29" s="199">
        <f t="shared" si="8"/>
        <v>54538.020643749995</v>
      </c>
      <c r="F29" s="76">
        <f t="shared" si="9"/>
        <v>-3490433.3212000001</v>
      </c>
      <c r="G29" s="76">
        <f t="shared" si="10"/>
        <v>-637539.86935624981</v>
      </c>
      <c r="H29" s="76">
        <f t="shared" si="13"/>
        <v>8975399.968799999</v>
      </c>
      <c r="I29" s="76">
        <f t="shared" si="13"/>
        <v>11828293.420643749</v>
      </c>
      <c r="J29" s="76">
        <f t="shared" si="14"/>
        <v>2852893.4518437497</v>
      </c>
      <c r="K29" s="76">
        <f t="shared" si="12"/>
        <v>-599107.62488718738</v>
      </c>
      <c r="L29" s="77">
        <f t="shared" si="6"/>
        <v>58355.682088812464</v>
      </c>
      <c r="M29" s="79"/>
      <c r="N29" s="78"/>
      <c r="O29" s="78"/>
    </row>
    <row r="30" spans="1:15" s="40" customFormat="1" x14ac:dyDescent="0.2">
      <c r="A30" s="74">
        <v>43951</v>
      </c>
      <c r="B30" s="76">
        <f t="shared" si="16"/>
        <v>12465833.289999999</v>
      </c>
      <c r="C30" s="422">
        <f t="shared" si="15"/>
        <v>12465833.289999999</v>
      </c>
      <c r="D30" s="76">
        <f t="shared" ref="D30:D38" si="19">B30*$C$6/12</f>
        <v>332422.22106666665</v>
      </c>
      <c r="E30" s="199">
        <f t="shared" si="8"/>
        <v>54538.020643749995</v>
      </c>
      <c r="F30" s="76">
        <f t="shared" si="9"/>
        <v>-3822855.5422666669</v>
      </c>
      <c r="G30" s="76">
        <f t="shared" si="10"/>
        <v>-692077.88999999978</v>
      </c>
      <c r="H30" s="76">
        <f t="shared" ref="H30:H46" si="20">B30+F30</f>
        <v>8642977.7477333322</v>
      </c>
      <c r="I30" s="76">
        <f t="shared" si="13"/>
        <v>11773755.399999999</v>
      </c>
      <c r="J30" s="76">
        <f t="shared" si="14"/>
        <v>3130777.6522666663</v>
      </c>
      <c r="K30" s="76">
        <f t="shared" si="12"/>
        <v>-657463.30697599985</v>
      </c>
      <c r="L30" s="77">
        <f t="shared" si="6"/>
        <v>58355.682088812464</v>
      </c>
      <c r="M30" s="79"/>
      <c r="N30" s="53"/>
      <c r="O30" s="78"/>
    </row>
    <row r="31" spans="1:15" s="40" customFormat="1" x14ac:dyDescent="0.2">
      <c r="A31" s="222">
        <v>43982</v>
      </c>
      <c r="B31" s="223">
        <f t="shared" si="16"/>
        <v>12465833.289999999</v>
      </c>
      <c r="C31" s="223">
        <f t="shared" si="15"/>
        <v>12465833.289999999</v>
      </c>
      <c r="D31" s="223">
        <f t="shared" si="19"/>
        <v>332422.22106666665</v>
      </c>
      <c r="E31" s="224">
        <f t="shared" si="8"/>
        <v>54538.020643749995</v>
      </c>
      <c r="F31" s="223">
        <f t="shared" si="9"/>
        <v>-4155277.7633333337</v>
      </c>
      <c r="G31" s="223">
        <f t="shared" si="10"/>
        <v>-746615.91064374975</v>
      </c>
      <c r="H31" s="223">
        <f t="shared" si="20"/>
        <v>8310555.5266666654</v>
      </c>
      <c r="I31" s="223">
        <f t="shared" si="13"/>
        <v>11719217.37935625</v>
      </c>
      <c r="J31" s="223">
        <f t="shared" si="14"/>
        <v>3408661.8526895847</v>
      </c>
      <c r="K31" s="223">
        <f t="shared" si="12"/>
        <v>-715818.98906481278</v>
      </c>
      <c r="L31" s="225">
        <f t="shared" si="6"/>
        <v>58355.68208881293</v>
      </c>
      <c r="M31" s="79"/>
      <c r="N31" s="53"/>
      <c r="O31" s="78"/>
    </row>
    <row r="32" spans="1:15" s="40" customFormat="1" x14ac:dyDescent="0.2">
      <c r="A32" s="222">
        <v>44012</v>
      </c>
      <c r="B32" s="223">
        <f t="shared" si="16"/>
        <v>12465833.289999999</v>
      </c>
      <c r="C32" s="223">
        <f t="shared" si="15"/>
        <v>12465833.289999999</v>
      </c>
      <c r="D32" s="223">
        <f t="shared" si="19"/>
        <v>332422.22106666665</v>
      </c>
      <c r="E32" s="224">
        <f t="shared" si="8"/>
        <v>54538.020643749995</v>
      </c>
      <c r="F32" s="223">
        <f t="shared" si="9"/>
        <v>-4487699.9844000004</v>
      </c>
      <c r="G32" s="223">
        <f t="shared" si="10"/>
        <v>-801153.93128749973</v>
      </c>
      <c r="H32" s="223">
        <f t="shared" si="20"/>
        <v>7978133.3055999987</v>
      </c>
      <c r="I32" s="223">
        <f t="shared" si="13"/>
        <v>11664679.3587125</v>
      </c>
      <c r="J32" s="223">
        <f t="shared" si="14"/>
        <v>3686546.0531125013</v>
      </c>
      <c r="K32" s="223">
        <f t="shared" si="12"/>
        <v>-774174.67115362524</v>
      </c>
      <c r="L32" s="225">
        <f t="shared" si="6"/>
        <v>58355.682088812464</v>
      </c>
      <c r="M32" s="78"/>
      <c r="O32" s="78"/>
    </row>
    <row r="33" spans="1:15" s="40" customFormat="1" x14ac:dyDescent="0.2">
      <c r="A33" s="222">
        <v>44043</v>
      </c>
      <c r="B33" s="223">
        <f t="shared" si="16"/>
        <v>12465833.289999999</v>
      </c>
      <c r="C33" s="223">
        <f t="shared" si="15"/>
        <v>12465833.289999999</v>
      </c>
      <c r="D33" s="223">
        <f t="shared" si="19"/>
        <v>332422.22106666665</v>
      </c>
      <c r="E33" s="224">
        <f t="shared" si="8"/>
        <v>54538.020643749995</v>
      </c>
      <c r="F33" s="223">
        <f t="shared" si="9"/>
        <v>-4820122.2054666672</v>
      </c>
      <c r="G33" s="223">
        <f t="shared" si="10"/>
        <v>-855691.9519312497</v>
      </c>
      <c r="H33" s="223">
        <f t="shared" si="20"/>
        <v>7645711.0845333319</v>
      </c>
      <c r="I33" s="223">
        <f t="shared" si="13"/>
        <v>11610141.33806875</v>
      </c>
      <c r="J33" s="223">
        <f t="shared" si="14"/>
        <v>3964430.2535354178</v>
      </c>
      <c r="K33" s="223">
        <f t="shared" si="12"/>
        <v>-832530.3532424377</v>
      </c>
      <c r="L33" s="225">
        <f t="shared" si="6"/>
        <v>58355.682088812464</v>
      </c>
      <c r="M33" s="78"/>
      <c r="N33" s="78"/>
      <c r="O33" s="78"/>
    </row>
    <row r="34" spans="1:15" s="40" customFormat="1" x14ac:dyDescent="0.2">
      <c r="A34" s="222">
        <v>44074</v>
      </c>
      <c r="B34" s="423">
        <f t="shared" ref="B34:B47" si="21">B33</f>
        <v>12465833.289999999</v>
      </c>
      <c r="C34" s="223">
        <f t="shared" si="15"/>
        <v>12465833.289999999</v>
      </c>
      <c r="D34" s="223">
        <f t="shared" si="19"/>
        <v>332422.22106666665</v>
      </c>
      <c r="E34" s="224">
        <f t="shared" si="8"/>
        <v>54538.020643749995</v>
      </c>
      <c r="F34" s="223">
        <f t="shared" si="9"/>
        <v>-5152544.426533334</v>
      </c>
      <c r="G34" s="223">
        <f t="shared" si="10"/>
        <v>-910229.97257499967</v>
      </c>
      <c r="H34" s="223">
        <f t="shared" si="20"/>
        <v>7313288.8634666651</v>
      </c>
      <c r="I34" s="223">
        <f t="shared" si="13"/>
        <v>11555603.317425</v>
      </c>
      <c r="J34" s="223">
        <f t="shared" si="14"/>
        <v>4242314.4539583344</v>
      </c>
      <c r="K34" s="223">
        <f t="shared" si="12"/>
        <v>-890886.03533125017</v>
      </c>
      <c r="L34" s="225">
        <f t="shared" si="6"/>
        <v>58355.682088812464</v>
      </c>
      <c r="M34" s="78"/>
      <c r="N34" s="78"/>
      <c r="O34" s="78"/>
    </row>
    <row r="35" spans="1:15" s="40" customFormat="1" x14ac:dyDescent="0.2">
      <c r="A35" s="222">
        <v>44104</v>
      </c>
      <c r="B35" s="223">
        <f t="shared" si="21"/>
        <v>12465833.289999999</v>
      </c>
      <c r="C35" s="223">
        <f t="shared" si="15"/>
        <v>12465833.289999999</v>
      </c>
      <c r="D35" s="223">
        <f t="shared" si="19"/>
        <v>332422.22106666665</v>
      </c>
      <c r="E35" s="224">
        <f t="shared" si="8"/>
        <v>54538.020643749995</v>
      </c>
      <c r="F35" s="223">
        <f t="shared" si="9"/>
        <v>-5484966.6476000007</v>
      </c>
      <c r="G35" s="223">
        <f t="shared" si="10"/>
        <v>-964767.99321874965</v>
      </c>
      <c r="H35" s="223">
        <f t="shared" si="20"/>
        <v>6980866.6423999984</v>
      </c>
      <c r="I35" s="223">
        <f t="shared" si="13"/>
        <v>11501065.296781249</v>
      </c>
      <c r="J35" s="223">
        <f t="shared" si="14"/>
        <v>4520198.654381251</v>
      </c>
      <c r="K35" s="223">
        <f t="shared" si="12"/>
        <v>-949241.71742006263</v>
      </c>
      <c r="L35" s="225">
        <f t="shared" si="6"/>
        <v>58355.682088812464</v>
      </c>
      <c r="M35" s="78"/>
      <c r="N35" s="78"/>
      <c r="O35" s="78"/>
    </row>
    <row r="36" spans="1:15" s="40" customFormat="1" x14ac:dyDescent="0.2">
      <c r="A36" s="222">
        <v>44135</v>
      </c>
      <c r="B36" s="223">
        <f t="shared" si="21"/>
        <v>12465833.289999999</v>
      </c>
      <c r="C36" s="223">
        <f t="shared" si="15"/>
        <v>12465833.289999999</v>
      </c>
      <c r="D36" s="223">
        <f t="shared" si="19"/>
        <v>332422.22106666665</v>
      </c>
      <c r="E36" s="224">
        <f t="shared" si="8"/>
        <v>54538.020643749995</v>
      </c>
      <c r="F36" s="223">
        <f t="shared" si="9"/>
        <v>-5817388.8686666675</v>
      </c>
      <c r="G36" s="223">
        <f t="shared" si="10"/>
        <v>-1019306.0138624996</v>
      </c>
      <c r="H36" s="223">
        <f t="shared" si="20"/>
        <v>6648444.4213333316</v>
      </c>
      <c r="I36" s="223">
        <f t="shared" si="13"/>
        <v>11446527.276137499</v>
      </c>
      <c r="J36" s="223">
        <f t="shared" si="14"/>
        <v>4798082.8548041675</v>
      </c>
      <c r="K36" s="223">
        <f t="shared" si="12"/>
        <v>-1007597.3995088751</v>
      </c>
      <c r="L36" s="225">
        <f t="shared" si="6"/>
        <v>58355.682088812464</v>
      </c>
      <c r="M36" s="78"/>
      <c r="N36" s="78"/>
      <c r="O36" s="78"/>
    </row>
    <row r="37" spans="1:15" s="40" customFormat="1" x14ac:dyDescent="0.2">
      <c r="A37" s="222">
        <v>44165</v>
      </c>
      <c r="B37" s="223">
        <f t="shared" si="21"/>
        <v>12465833.289999999</v>
      </c>
      <c r="C37" s="223">
        <f t="shared" si="15"/>
        <v>12465833.289999999</v>
      </c>
      <c r="D37" s="223">
        <f t="shared" si="19"/>
        <v>332422.22106666665</v>
      </c>
      <c r="E37" s="224">
        <f t="shared" si="8"/>
        <v>54538.020643749995</v>
      </c>
      <c r="F37" s="223">
        <f t="shared" si="9"/>
        <v>-6149811.0897333343</v>
      </c>
      <c r="G37" s="223">
        <f t="shared" si="10"/>
        <v>-1073844.0345062497</v>
      </c>
      <c r="H37" s="223">
        <f t="shared" si="20"/>
        <v>6316022.2002666648</v>
      </c>
      <c r="I37" s="223">
        <f t="shared" si="13"/>
        <v>11391989.255493749</v>
      </c>
      <c r="J37" s="223">
        <f t="shared" si="14"/>
        <v>5075967.0552270841</v>
      </c>
      <c r="K37" s="223">
        <f t="shared" si="12"/>
        <v>-1065953.0815976877</v>
      </c>
      <c r="L37" s="225">
        <f t="shared" si="6"/>
        <v>58355.68208881258</v>
      </c>
      <c r="M37" s="78"/>
      <c r="N37" s="78"/>
      <c r="O37" s="78"/>
    </row>
    <row r="38" spans="1:15" s="40" customFormat="1" x14ac:dyDescent="0.2">
      <c r="A38" s="222">
        <v>44196</v>
      </c>
      <c r="B38" s="223">
        <f t="shared" si="21"/>
        <v>12465833.289999999</v>
      </c>
      <c r="C38" s="223">
        <f t="shared" si="15"/>
        <v>12465833.289999999</v>
      </c>
      <c r="D38" s="223">
        <f t="shared" si="19"/>
        <v>332422.22106666665</v>
      </c>
      <c r="E38" s="224">
        <f t="shared" si="8"/>
        <v>54538.020643749995</v>
      </c>
      <c r="F38" s="223">
        <f t="shared" si="9"/>
        <v>-6482233.310800001</v>
      </c>
      <c r="G38" s="223">
        <f t="shared" si="10"/>
        <v>-1128382.0551499997</v>
      </c>
      <c r="H38" s="223">
        <f t="shared" si="20"/>
        <v>5983599.9791999981</v>
      </c>
      <c r="I38" s="223">
        <f t="shared" si="13"/>
        <v>11337451.234849999</v>
      </c>
      <c r="J38" s="223">
        <f t="shared" si="14"/>
        <v>5353851.2556500006</v>
      </c>
      <c r="K38" s="223">
        <f t="shared" si="12"/>
        <v>-1124308.7636865</v>
      </c>
      <c r="L38" s="225">
        <f t="shared" si="6"/>
        <v>58355.682088812348</v>
      </c>
      <c r="M38" s="78"/>
      <c r="N38" s="78"/>
      <c r="O38" s="78"/>
    </row>
    <row r="39" spans="1:15" s="40" customFormat="1" x14ac:dyDescent="0.2">
      <c r="A39" s="222">
        <v>44227</v>
      </c>
      <c r="B39" s="223">
        <f t="shared" si="21"/>
        <v>12465833.289999999</v>
      </c>
      <c r="C39" s="223">
        <f t="shared" si="15"/>
        <v>12465833.289999999</v>
      </c>
      <c r="D39" s="223">
        <f t="shared" ref="D39:D46" si="22">B39*$D$6/12</f>
        <v>199453.33264000001</v>
      </c>
      <c r="E39" s="224">
        <f t="shared" si="8"/>
        <v>54538.020643749995</v>
      </c>
      <c r="F39" s="223">
        <f t="shared" si="9"/>
        <v>-6681686.6434400007</v>
      </c>
      <c r="G39" s="223">
        <f t="shared" si="10"/>
        <v>-1182920.0757937497</v>
      </c>
      <c r="H39" s="223">
        <f t="shared" si="20"/>
        <v>5784146.6465599984</v>
      </c>
      <c r="I39" s="223">
        <f t="shared" si="13"/>
        <v>11282913.214206249</v>
      </c>
      <c r="J39" s="223">
        <f t="shared" si="14"/>
        <v>5498766.5676462501</v>
      </c>
      <c r="K39" s="223">
        <f t="shared" si="12"/>
        <v>-1154740.9792057124</v>
      </c>
      <c r="L39" s="225">
        <f t="shared" si="6"/>
        <v>30432.215519212419</v>
      </c>
      <c r="M39" s="78"/>
      <c r="N39" s="78"/>
      <c r="O39" s="78"/>
    </row>
    <row r="40" spans="1:15" s="40" customFormat="1" x14ac:dyDescent="0.2">
      <c r="A40" s="222">
        <v>44255</v>
      </c>
      <c r="B40" s="223">
        <f t="shared" si="21"/>
        <v>12465833.289999999</v>
      </c>
      <c r="C40" s="223">
        <f t="shared" si="15"/>
        <v>12465833.289999999</v>
      </c>
      <c r="D40" s="223">
        <f t="shared" si="22"/>
        <v>199453.33264000001</v>
      </c>
      <c r="E40" s="224">
        <f t="shared" si="8"/>
        <v>54538.020643749995</v>
      </c>
      <c r="F40" s="223">
        <f t="shared" si="9"/>
        <v>-6881139.9760800004</v>
      </c>
      <c r="G40" s="223">
        <f t="shared" si="10"/>
        <v>-1237458.0964374996</v>
      </c>
      <c r="H40" s="223">
        <f t="shared" si="20"/>
        <v>5584693.3139199987</v>
      </c>
      <c r="I40" s="223">
        <f t="shared" si="13"/>
        <v>11228375.1935625</v>
      </c>
      <c r="J40" s="223">
        <f t="shared" si="14"/>
        <v>5643681.8796425015</v>
      </c>
      <c r="K40" s="223">
        <f t="shared" si="12"/>
        <v>-1185173.1947249253</v>
      </c>
      <c r="L40" s="225">
        <f t="shared" si="6"/>
        <v>30432.215519212885</v>
      </c>
      <c r="M40" s="78"/>
      <c r="N40" s="78"/>
      <c r="O40" s="78"/>
    </row>
    <row r="41" spans="1:15" s="40" customFormat="1" x14ac:dyDescent="0.2">
      <c r="A41" s="222">
        <v>44286</v>
      </c>
      <c r="B41" s="223">
        <f t="shared" si="21"/>
        <v>12465833.289999999</v>
      </c>
      <c r="C41" s="223">
        <f t="shared" si="15"/>
        <v>12465833.289999999</v>
      </c>
      <c r="D41" s="223">
        <f t="shared" si="22"/>
        <v>199453.33264000001</v>
      </c>
      <c r="E41" s="224">
        <f t="shared" si="8"/>
        <v>54538.020643749995</v>
      </c>
      <c r="F41" s="223">
        <f t="shared" si="9"/>
        <v>-7080593.3087200001</v>
      </c>
      <c r="G41" s="223">
        <f t="shared" si="10"/>
        <v>-1291996.1170812496</v>
      </c>
      <c r="H41" s="223">
        <f t="shared" si="20"/>
        <v>5385239.981279999</v>
      </c>
      <c r="I41" s="223">
        <f t="shared" si="13"/>
        <v>11173837.17291875</v>
      </c>
      <c r="J41" s="223">
        <f t="shared" si="14"/>
        <v>5788597.191638751</v>
      </c>
      <c r="K41" s="223">
        <f t="shared" si="12"/>
        <v>-1215605.4102441377</v>
      </c>
      <c r="L41" s="225">
        <f t="shared" si="6"/>
        <v>30432.215519212419</v>
      </c>
      <c r="M41" s="78"/>
      <c r="N41" s="78"/>
      <c r="O41" s="78"/>
    </row>
    <row r="42" spans="1:15" s="40" customFormat="1" x14ac:dyDescent="0.2">
      <c r="A42" s="222">
        <v>44316</v>
      </c>
      <c r="B42" s="223">
        <f t="shared" si="21"/>
        <v>12465833.289999999</v>
      </c>
      <c r="C42" s="223">
        <f t="shared" si="15"/>
        <v>12465833.289999999</v>
      </c>
      <c r="D42" s="223">
        <f t="shared" si="22"/>
        <v>199453.33264000001</v>
      </c>
      <c r="E42" s="224">
        <f t="shared" si="8"/>
        <v>54538.020643749995</v>
      </c>
      <c r="F42" s="223">
        <f t="shared" si="9"/>
        <v>-7280046.6413599998</v>
      </c>
      <c r="G42" s="223">
        <f t="shared" si="10"/>
        <v>-1346534.1377249996</v>
      </c>
      <c r="H42" s="223">
        <f t="shared" si="20"/>
        <v>5185786.6486399993</v>
      </c>
      <c r="I42" s="223">
        <f t="shared" si="13"/>
        <v>11119299.152275</v>
      </c>
      <c r="J42" s="223">
        <f t="shared" si="14"/>
        <v>5933512.5036350004</v>
      </c>
      <c r="K42" s="223">
        <f t="shared" si="12"/>
        <v>-1246037.6257633499</v>
      </c>
      <c r="L42" s="225">
        <f t="shared" si="6"/>
        <v>30432.215519212186</v>
      </c>
      <c r="M42" s="78"/>
      <c r="N42" s="78"/>
      <c r="O42" s="78"/>
    </row>
    <row r="43" spans="1:15" s="40" customFormat="1" x14ac:dyDescent="0.2">
      <c r="A43" s="74">
        <v>44347</v>
      </c>
      <c r="B43" s="76">
        <f t="shared" si="21"/>
        <v>12465833.289999999</v>
      </c>
      <c r="C43" s="422">
        <f t="shared" si="15"/>
        <v>12465833.289999999</v>
      </c>
      <c r="D43" s="76">
        <f t="shared" si="22"/>
        <v>199453.33264000001</v>
      </c>
      <c r="E43" s="199">
        <f t="shared" si="8"/>
        <v>54538.020643749995</v>
      </c>
      <c r="F43" s="76">
        <f t="shared" si="9"/>
        <v>-7479499.9739999995</v>
      </c>
      <c r="G43" s="76">
        <f t="shared" si="10"/>
        <v>-1401072.1583687495</v>
      </c>
      <c r="H43" s="76">
        <f t="shared" si="20"/>
        <v>4986333.3159999996</v>
      </c>
      <c r="I43" s="76">
        <f t="shared" si="13"/>
        <v>11064761.13163125</v>
      </c>
      <c r="J43" s="76">
        <f t="shared" si="14"/>
        <v>6078427.8156312499</v>
      </c>
      <c r="K43" s="76">
        <f t="shared" si="12"/>
        <v>-1276469.8412825624</v>
      </c>
      <c r="L43" s="77">
        <f t="shared" si="6"/>
        <v>30432.215519212419</v>
      </c>
      <c r="M43" s="78"/>
      <c r="N43" s="78"/>
      <c r="O43" s="78"/>
    </row>
    <row r="44" spans="1:15" s="40" customFormat="1" x14ac:dyDescent="0.2">
      <c r="A44" s="74">
        <v>44377</v>
      </c>
      <c r="B44" s="76">
        <f t="shared" si="21"/>
        <v>12465833.289999999</v>
      </c>
      <c r="C44" s="422">
        <f t="shared" si="15"/>
        <v>12465833.289999999</v>
      </c>
      <c r="D44" s="76">
        <f t="shared" si="22"/>
        <v>199453.33264000001</v>
      </c>
      <c r="E44" s="199">
        <f t="shared" si="8"/>
        <v>54538.020643749995</v>
      </c>
      <c r="F44" s="76">
        <f t="shared" si="9"/>
        <v>-7678953.3066399992</v>
      </c>
      <c r="G44" s="76">
        <f t="shared" si="10"/>
        <v>-1455610.1790124995</v>
      </c>
      <c r="H44" s="76">
        <f t="shared" si="20"/>
        <v>4786879.98336</v>
      </c>
      <c r="I44" s="76">
        <f t="shared" si="13"/>
        <v>11010223.110987499</v>
      </c>
      <c r="J44" s="76">
        <f t="shared" si="14"/>
        <v>6223343.1276274994</v>
      </c>
      <c r="K44" s="76">
        <f t="shared" si="12"/>
        <v>-1306902.0568017748</v>
      </c>
      <c r="L44" s="77">
        <f t="shared" si="6"/>
        <v>30432.215519212419</v>
      </c>
      <c r="M44" s="78"/>
      <c r="N44" s="78"/>
      <c r="O44" s="78"/>
    </row>
    <row r="45" spans="1:15" s="40" customFormat="1" x14ac:dyDescent="0.2">
      <c r="A45" s="74">
        <v>44408</v>
      </c>
      <c r="B45" s="76">
        <f t="shared" si="21"/>
        <v>12465833.289999999</v>
      </c>
      <c r="C45" s="422">
        <f t="shared" si="15"/>
        <v>12465833.289999999</v>
      </c>
      <c r="D45" s="76">
        <f t="shared" si="22"/>
        <v>199453.33264000001</v>
      </c>
      <c r="E45" s="199">
        <f t="shared" si="8"/>
        <v>54538.020643749995</v>
      </c>
      <c r="F45" s="76">
        <f t="shared" si="9"/>
        <v>-7878406.6392799988</v>
      </c>
      <c r="G45" s="76">
        <f t="shared" si="10"/>
        <v>-1510148.1996562495</v>
      </c>
      <c r="H45" s="76">
        <f t="shared" si="20"/>
        <v>4587426.6507200003</v>
      </c>
      <c r="I45" s="76">
        <f t="shared" si="13"/>
        <v>10955685.090343749</v>
      </c>
      <c r="J45" s="76">
        <f t="shared" si="14"/>
        <v>6368258.4396237489</v>
      </c>
      <c r="K45" s="76">
        <f t="shared" si="12"/>
        <v>-1337334.2723209872</v>
      </c>
      <c r="L45" s="77">
        <f t="shared" si="6"/>
        <v>30432.215519212419</v>
      </c>
      <c r="M45" s="78"/>
      <c r="N45" s="78"/>
      <c r="O45" s="78"/>
    </row>
    <row r="46" spans="1:15" s="40" customFormat="1" x14ac:dyDescent="0.2">
      <c r="A46" s="74">
        <v>44439</v>
      </c>
      <c r="B46" s="76">
        <f t="shared" si="21"/>
        <v>12465833.289999999</v>
      </c>
      <c r="C46" s="422">
        <f t="shared" si="15"/>
        <v>12465833.289999999</v>
      </c>
      <c r="D46" s="76">
        <f t="shared" si="22"/>
        <v>199453.33264000001</v>
      </c>
      <c r="E46" s="199">
        <f t="shared" si="8"/>
        <v>54538.020643749995</v>
      </c>
      <c r="F46" s="76">
        <f t="shared" si="9"/>
        <v>-8077859.9719199985</v>
      </c>
      <c r="G46" s="76">
        <f t="shared" si="10"/>
        <v>-1564686.2202999995</v>
      </c>
      <c r="H46" s="76">
        <f t="shared" si="20"/>
        <v>4387973.3180800006</v>
      </c>
      <c r="I46" s="76">
        <f t="shared" si="13"/>
        <v>10901147.069699999</v>
      </c>
      <c r="J46" s="76">
        <f t="shared" si="14"/>
        <v>6513173.7516199984</v>
      </c>
      <c r="K46" s="76">
        <f t="shared" si="12"/>
        <v>-1367766.4878401996</v>
      </c>
      <c r="L46" s="77">
        <f t="shared" si="6"/>
        <v>30432.215519212419</v>
      </c>
      <c r="M46" s="78"/>
      <c r="N46" s="78"/>
      <c r="O46" s="78"/>
    </row>
    <row r="47" spans="1:15" s="40" customFormat="1" x14ac:dyDescent="0.2">
      <c r="A47" s="74">
        <v>44469</v>
      </c>
      <c r="B47" s="76">
        <f t="shared" si="21"/>
        <v>12465833.289999999</v>
      </c>
      <c r="C47" s="422">
        <f t="shared" si="15"/>
        <v>12465833.289999999</v>
      </c>
      <c r="D47" s="76">
        <f t="shared" ref="D47:D50" si="23">B47*$D$6/12</f>
        <v>199453.33264000001</v>
      </c>
      <c r="E47" s="199">
        <f t="shared" si="8"/>
        <v>54538.020643749995</v>
      </c>
      <c r="F47" s="76">
        <f t="shared" si="9"/>
        <v>-8277313.3045599982</v>
      </c>
      <c r="G47" s="76">
        <f t="shared" si="10"/>
        <v>-1619224.2409437494</v>
      </c>
      <c r="H47" s="76">
        <f t="shared" si="13"/>
        <v>4188519.9854400009</v>
      </c>
      <c r="I47" s="76">
        <f t="shared" si="13"/>
        <v>10846609.049056251</v>
      </c>
      <c r="J47" s="76">
        <f t="shared" si="14"/>
        <v>6658089.0636162497</v>
      </c>
      <c r="K47" s="76">
        <f t="shared" si="12"/>
        <v>-1398198.7033594125</v>
      </c>
      <c r="L47" s="77">
        <f t="shared" si="6"/>
        <v>30432.215519212885</v>
      </c>
      <c r="M47" s="78"/>
      <c r="N47" s="78"/>
      <c r="O47" s="78"/>
    </row>
    <row r="48" spans="1:15" s="40" customFormat="1" x14ac:dyDescent="0.2">
      <c r="A48" s="74">
        <v>44500</v>
      </c>
      <c r="B48" s="76">
        <f t="shared" ref="B48:B52" si="24">B47</f>
        <v>12465833.289999999</v>
      </c>
      <c r="C48" s="422">
        <f t="shared" si="15"/>
        <v>12465833.289999999</v>
      </c>
      <c r="D48" s="76">
        <f>B48*$D$6/12</f>
        <v>199453.33264000001</v>
      </c>
      <c r="E48" s="199">
        <f t="shared" si="8"/>
        <v>54538.020643749995</v>
      </c>
      <c r="F48" s="76">
        <f t="shared" si="9"/>
        <v>-8476766.6371999979</v>
      </c>
      <c r="G48" s="76">
        <f t="shared" si="10"/>
        <v>-1673762.2615874994</v>
      </c>
      <c r="H48" s="76">
        <f t="shared" si="13"/>
        <v>3989066.6528000012</v>
      </c>
      <c r="I48" s="76">
        <f t="shared" si="13"/>
        <v>10792071.0284125</v>
      </c>
      <c r="J48" s="76">
        <f t="shared" si="14"/>
        <v>6803004.3756124992</v>
      </c>
      <c r="K48" s="76">
        <f t="shared" si="12"/>
        <v>-1428630.9188786247</v>
      </c>
      <c r="L48" s="77">
        <f t="shared" si="6"/>
        <v>30432.215519212186</v>
      </c>
      <c r="M48" s="78"/>
      <c r="N48" s="78"/>
      <c r="O48" s="78"/>
    </row>
    <row r="49" spans="1:15" s="40" customFormat="1" x14ac:dyDescent="0.2">
      <c r="A49" s="74">
        <v>44530</v>
      </c>
      <c r="B49" s="76">
        <f t="shared" si="24"/>
        <v>12465833.289999999</v>
      </c>
      <c r="C49" s="422">
        <f t="shared" si="15"/>
        <v>12465833.289999999</v>
      </c>
      <c r="D49" s="76">
        <f t="shared" si="23"/>
        <v>199453.33264000001</v>
      </c>
      <c r="E49" s="199">
        <f t="shared" si="8"/>
        <v>54538.020643749995</v>
      </c>
      <c r="F49" s="76">
        <f t="shared" si="9"/>
        <v>-8676219.9698399976</v>
      </c>
      <c r="G49" s="76">
        <f t="shared" si="10"/>
        <v>-1728300.2822312494</v>
      </c>
      <c r="H49" s="76">
        <f t="shared" si="13"/>
        <v>3789613.3201600015</v>
      </c>
      <c r="I49" s="76">
        <f t="shared" si="13"/>
        <v>10737533.00776875</v>
      </c>
      <c r="J49" s="76">
        <f t="shared" si="14"/>
        <v>6947919.6876087487</v>
      </c>
      <c r="K49" s="76">
        <f t="shared" si="12"/>
        <v>-1459063.1343978371</v>
      </c>
      <c r="L49" s="77">
        <f t="shared" si="6"/>
        <v>30432.215519212419</v>
      </c>
      <c r="M49" s="78"/>
      <c r="N49" s="78"/>
      <c r="O49" s="78"/>
    </row>
    <row r="50" spans="1:15" s="40" customFormat="1" x14ac:dyDescent="0.2">
      <c r="A50" s="74">
        <v>44561</v>
      </c>
      <c r="B50" s="76">
        <f t="shared" si="24"/>
        <v>12465833.289999999</v>
      </c>
      <c r="C50" s="422">
        <f t="shared" si="15"/>
        <v>12465833.289999999</v>
      </c>
      <c r="D50" s="76">
        <f t="shared" si="23"/>
        <v>199453.33264000001</v>
      </c>
      <c r="E50" s="199">
        <f t="shared" si="8"/>
        <v>54538.020643749995</v>
      </c>
      <c r="F50" s="76">
        <f t="shared" si="9"/>
        <v>-8875673.3024799973</v>
      </c>
      <c r="G50" s="76">
        <f t="shared" si="10"/>
        <v>-1782838.3028749994</v>
      </c>
      <c r="H50" s="76">
        <f t="shared" si="13"/>
        <v>3590159.9875200018</v>
      </c>
      <c r="I50" s="76">
        <f t="shared" si="13"/>
        <v>10682994.987125</v>
      </c>
      <c r="J50" s="76">
        <f t="shared" si="14"/>
        <v>7092834.9996049982</v>
      </c>
      <c r="K50" s="76">
        <f t="shared" si="12"/>
        <v>-1489495.3499170495</v>
      </c>
      <c r="L50" s="77">
        <f t="shared" si="6"/>
        <v>30432.215519212419</v>
      </c>
      <c r="M50" s="78"/>
      <c r="N50" s="78"/>
      <c r="O50" s="78"/>
    </row>
    <row r="51" spans="1:15" s="40" customFormat="1" x14ac:dyDescent="0.2">
      <c r="A51" s="74">
        <v>44926</v>
      </c>
      <c r="B51" s="76">
        <f t="shared" si="24"/>
        <v>12465833.289999999</v>
      </c>
      <c r="C51" s="422">
        <f t="shared" si="15"/>
        <v>12465833.289999999</v>
      </c>
      <c r="D51" s="76">
        <f>$E$6*B51</f>
        <v>1436063.9950079999</v>
      </c>
      <c r="E51" s="199">
        <f>+C51*$E$9</f>
        <v>654456.24772499991</v>
      </c>
      <c r="F51" s="76">
        <f t="shared" si="9"/>
        <v>-10311737.297487997</v>
      </c>
      <c r="G51" s="76">
        <f t="shared" si="10"/>
        <v>-2437294.5505999993</v>
      </c>
      <c r="H51" s="76">
        <f t="shared" si="13"/>
        <v>2154095.9925120026</v>
      </c>
      <c r="I51" s="76">
        <f t="shared" si="13"/>
        <v>10028538.739399999</v>
      </c>
      <c r="J51" s="76">
        <f t="shared" si="14"/>
        <v>7874442.7468879968</v>
      </c>
      <c r="K51" s="76">
        <f t="shared" si="12"/>
        <v>-1653632.9768464793</v>
      </c>
      <c r="L51" s="77">
        <f t="shared" si="6"/>
        <v>164137.62692942983</v>
      </c>
      <c r="M51" s="78"/>
      <c r="N51" s="78"/>
      <c r="O51" s="78"/>
    </row>
    <row r="52" spans="1:15" s="40" customFormat="1" x14ac:dyDescent="0.2">
      <c r="A52" s="74">
        <v>45291</v>
      </c>
      <c r="B52" s="76">
        <f t="shared" si="24"/>
        <v>12465833.289999999</v>
      </c>
      <c r="C52" s="422">
        <f t="shared" si="15"/>
        <v>12465833.289999999</v>
      </c>
      <c r="D52" s="76">
        <f>$F$6*B52</f>
        <v>1436063.9950079999</v>
      </c>
      <c r="E52" s="199">
        <f t="shared" ref="E52:E66" si="25">+C52*$E$9</f>
        <v>654456.24772499991</v>
      </c>
      <c r="F52" s="76">
        <f t="shared" si="9"/>
        <v>-11747801.292495996</v>
      </c>
      <c r="G52" s="76">
        <f t="shared" si="10"/>
        <v>-3091750.7983249994</v>
      </c>
      <c r="H52" s="76">
        <f t="shared" si="13"/>
        <v>718031.99750400335</v>
      </c>
      <c r="I52" s="76">
        <f t="shared" si="13"/>
        <v>9374082.4916750006</v>
      </c>
      <c r="J52" s="76">
        <f t="shared" si="14"/>
        <v>8656050.4941709973</v>
      </c>
      <c r="K52" s="76">
        <f t="shared" si="12"/>
        <v>-1817770.6037759094</v>
      </c>
      <c r="L52" s="77">
        <f t="shared" si="6"/>
        <v>164137.62692943006</v>
      </c>
      <c r="M52" s="78"/>
      <c r="N52" s="78"/>
      <c r="O52" s="78"/>
    </row>
    <row r="53" spans="1:15" s="40" customFormat="1" x14ac:dyDescent="0.2">
      <c r="A53" s="74">
        <v>45657</v>
      </c>
      <c r="B53" s="76">
        <f t="shared" ref="B53:B68" si="26">B52</f>
        <v>12465833.289999999</v>
      </c>
      <c r="C53" s="422">
        <f t="shared" si="15"/>
        <v>12465833.289999999</v>
      </c>
      <c r="D53" s="76">
        <f>$G$6*B53</f>
        <v>718031.99750399997</v>
      </c>
      <c r="E53" s="199">
        <f t="shared" si="25"/>
        <v>654456.24772499991</v>
      </c>
      <c r="F53" s="76">
        <f t="shared" si="9"/>
        <v>-12465833.289999995</v>
      </c>
      <c r="G53" s="76">
        <f t="shared" si="10"/>
        <v>-3746207.0460499991</v>
      </c>
      <c r="H53" s="76">
        <f t="shared" si="13"/>
        <v>0</v>
      </c>
      <c r="I53" s="76">
        <f t="shared" si="13"/>
        <v>8719626.24395</v>
      </c>
      <c r="J53" s="76">
        <f t="shared" si="14"/>
        <v>8719626.24395</v>
      </c>
      <c r="K53" s="76">
        <f t="shared" si="12"/>
        <v>-1831121.5112294999</v>
      </c>
      <c r="L53" s="77">
        <f t="shared" si="6"/>
        <v>13350.907453590538</v>
      </c>
      <c r="M53" s="78"/>
      <c r="N53" s="78"/>
      <c r="O53" s="78"/>
    </row>
    <row r="54" spans="1:15" s="40" customFormat="1" x14ac:dyDescent="0.2">
      <c r="A54" s="74">
        <v>46022</v>
      </c>
      <c r="B54" s="76">
        <f t="shared" si="26"/>
        <v>12465833.289999999</v>
      </c>
      <c r="C54" s="422">
        <f t="shared" si="15"/>
        <v>12465833.289999999</v>
      </c>
      <c r="D54" s="76"/>
      <c r="E54" s="199">
        <f t="shared" si="25"/>
        <v>654456.24772499991</v>
      </c>
      <c r="F54" s="76">
        <f t="shared" si="9"/>
        <v>-12465833.289999995</v>
      </c>
      <c r="G54" s="76">
        <f t="shared" si="10"/>
        <v>-4400663.2937749987</v>
      </c>
      <c r="H54" s="76">
        <f t="shared" si="13"/>
        <v>0</v>
      </c>
      <c r="I54" s="76">
        <f t="shared" si="13"/>
        <v>8065169.9962250004</v>
      </c>
      <c r="J54" s="76">
        <f t="shared" si="14"/>
        <v>8065169.9962250004</v>
      </c>
      <c r="K54" s="76">
        <f t="shared" si="12"/>
        <v>-1693685.69920725</v>
      </c>
      <c r="L54" s="77">
        <f t="shared" si="6"/>
        <v>-137435.81202224991</v>
      </c>
      <c r="M54" s="78"/>
      <c r="N54" s="78"/>
      <c r="O54" s="78"/>
    </row>
    <row r="55" spans="1:15" s="40" customFormat="1" x14ac:dyDescent="0.2">
      <c r="A55" s="74">
        <v>46387</v>
      </c>
      <c r="B55" s="76">
        <f t="shared" si="26"/>
        <v>12465833.289999999</v>
      </c>
      <c r="C55" s="422">
        <f t="shared" si="15"/>
        <v>12465833.289999999</v>
      </c>
      <c r="D55" s="76">
        <f>$I$6*B55</f>
        <v>0</v>
      </c>
      <c r="E55" s="199">
        <f t="shared" si="25"/>
        <v>654456.24772499991</v>
      </c>
      <c r="F55" s="76">
        <f t="shared" si="9"/>
        <v>-12465833.289999995</v>
      </c>
      <c r="G55" s="76">
        <f t="shared" si="10"/>
        <v>-5055119.5414999984</v>
      </c>
      <c r="H55" s="76">
        <f t="shared" si="13"/>
        <v>0</v>
      </c>
      <c r="I55" s="76">
        <f t="shared" si="13"/>
        <v>7410713.7485000007</v>
      </c>
      <c r="J55" s="76">
        <f t="shared" si="14"/>
        <v>7410713.7485000007</v>
      </c>
      <c r="K55" s="76">
        <f t="shared" si="12"/>
        <v>-1556249.8871850001</v>
      </c>
      <c r="L55" s="77">
        <f t="shared" si="6"/>
        <v>-137435.81202224991</v>
      </c>
      <c r="M55" s="78"/>
      <c r="N55" s="78"/>
      <c r="O55" s="78"/>
    </row>
    <row r="56" spans="1:15" s="40" customFormat="1" x14ac:dyDescent="0.2">
      <c r="A56" s="74">
        <v>46752</v>
      </c>
      <c r="B56" s="76">
        <f t="shared" si="26"/>
        <v>12465833.289999999</v>
      </c>
      <c r="C56" s="422">
        <f t="shared" si="15"/>
        <v>12465833.289999999</v>
      </c>
      <c r="D56" s="76"/>
      <c r="E56" s="199">
        <f t="shared" si="25"/>
        <v>654456.24772499991</v>
      </c>
      <c r="F56" s="76">
        <f t="shared" si="9"/>
        <v>-12465833.289999995</v>
      </c>
      <c r="G56" s="76">
        <f t="shared" si="10"/>
        <v>-5709575.7892249981</v>
      </c>
      <c r="H56" s="76">
        <f t="shared" si="13"/>
        <v>0</v>
      </c>
      <c r="I56" s="76">
        <f t="shared" si="13"/>
        <v>6756257.500775001</v>
      </c>
      <c r="J56" s="76">
        <f t="shared" si="14"/>
        <v>6756257.500775001</v>
      </c>
      <c r="K56" s="76">
        <f t="shared" si="12"/>
        <v>-1418814.0751627502</v>
      </c>
      <c r="L56" s="77">
        <f t="shared" si="6"/>
        <v>-137435.81202224991</v>
      </c>
      <c r="M56" s="78"/>
      <c r="N56" s="78"/>
      <c r="O56" s="78"/>
    </row>
    <row r="57" spans="1:15" s="40" customFormat="1" x14ac:dyDescent="0.2">
      <c r="A57" s="74">
        <v>47118</v>
      </c>
      <c r="B57" s="76">
        <f t="shared" si="26"/>
        <v>12465833.289999999</v>
      </c>
      <c r="C57" s="422">
        <f t="shared" si="15"/>
        <v>12465833.289999999</v>
      </c>
      <c r="D57" s="76"/>
      <c r="E57" s="199">
        <f t="shared" si="25"/>
        <v>654456.24772499991</v>
      </c>
      <c r="F57" s="76">
        <f t="shared" si="9"/>
        <v>-12465833.289999995</v>
      </c>
      <c r="G57" s="76">
        <f t="shared" si="10"/>
        <v>-6364032.0369499978</v>
      </c>
      <c r="H57" s="76">
        <f>B57+F57</f>
        <v>0</v>
      </c>
      <c r="I57" s="76">
        <f t="shared" si="13"/>
        <v>6101801.2530500013</v>
      </c>
      <c r="J57" s="76">
        <f>I57-H57</f>
        <v>6101801.2530500013</v>
      </c>
      <c r="K57" s="76">
        <f t="shared" si="12"/>
        <v>-1281378.2631405003</v>
      </c>
      <c r="L57" s="77">
        <f t="shared" si="6"/>
        <v>-137435.81202224991</v>
      </c>
      <c r="M57" s="26"/>
      <c r="N57" s="78"/>
      <c r="O57" s="78"/>
    </row>
    <row r="58" spans="1:15" s="40" customFormat="1" ht="15" customHeight="1" x14ac:dyDescent="0.2">
      <c r="A58" s="74">
        <v>47483</v>
      </c>
      <c r="B58" s="76">
        <f t="shared" si="26"/>
        <v>12465833.289999999</v>
      </c>
      <c r="C58" s="422">
        <f t="shared" si="15"/>
        <v>12465833.289999999</v>
      </c>
      <c r="D58" s="76"/>
      <c r="E58" s="199">
        <f t="shared" si="25"/>
        <v>654456.24772499991</v>
      </c>
      <c r="F58" s="76">
        <f t="shared" si="9"/>
        <v>-12465833.289999995</v>
      </c>
      <c r="G58" s="76">
        <f t="shared" si="10"/>
        <v>-7018488.2846749974</v>
      </c>
      <c r="H58" s="76">
        <f>B58+F58</f>
        <v>0</v>
      </c>
      <c r="I58" s="76">
        <f t="shared" si="13"/>
        <v>5447345.0053250017</v>
      </c>
      <c r="J58" s="76">
        <f>I58-H58</f>
        <v>5447345.0053250017</v>
      </c>
      <c r="K58" s="76">
        <f t="shared" si="12"/>
        <v>-1143942.4511182504</v>
      </c>
      <c r="L58" s="77">
        <f t="shared" si="6"/>
        <v>-137435.81202224991</v>
      </c>
      <c r="M58" s="26"/>
      <c r="N58" s="78"/>
      <c r="O58" s="78"/>
    </row>
    <row r="59" spans="1:15" s="40" customFormat="1" ht="15" customHeight="1" x14ac:dyDescent="0.2">
      <c r="A59" s="74">
        <v>47848</v>
      </c>
      <c r="B59" s="76">
        <f t="shared" si="26"/>
        <v>12465833.289999999</v>
      </c>
      <c r="C59" s="422">
        <f t="shared" si="15"/>
        <v>12465833.289999999</v>
      </c>
      <c r="D59" s="76"/>
      <c r="E59" s="199">
        <f t="shared" si="25"/>
        <v>654456.24772499991</v>
      </c>
      <c r="F59" s="76">
        <f t="shared" si="9"/>
        <v>-12465833.289999995</v>
      </c>
      <c r="G59" s="76">
        <f t="shared" si="10"/>
        <v>-7672944.5323999971</v>
      </c>
      <c r="H59" s="76">
        <f t="shared" ref="H59:I66" si="27">B59+F59</f>
        <v>0</v>
      </c>
      <c r="I59" s="76">
        <f t="shared" si="13"/>
        <v>4792888.757600002</v>
      </c>
      <c r="J59" s="76">
        <f t="shared" ref="J59:J66" si="28">I59-H59</f>
        <v>4792888.757600002</v>
      </c>
      <c r="K59" s="76">
        <f t="shared" si="12"/>
        <v>-1006506.6390960003</v>
      </c>
      <c r="L59" s="77">
        <f t="shared" si="6"/>
        <v>-137435.81202225003</v>
      </c>
      <c r="M59" s="26"/>
      <c r="N59" s="78"/>
      <c r="O59" s="78"/>
    </row>
    <row r="60" spans="1:15" s="40" customFormat="1" ht="15" customHeight="1" x14ac:dyDescent="0.2">
      <c r="A60" s="74">
        <v>48213</v>
      </c>
      <c r="B60" s="76">
        <f t="shared" si="26"/>
        <v>12465833.289999999</v>
      </c>
      <c r="C60" s="422">
        <f t="shared" si="15"/>
        <v>12465833.289999999</v>
      </c>
      <c r="D60" s="76"/>
      <c r="E60" s="199">
        <f t="shared" si="25"/>
        <v>654456.24772499991</v>
      </c>
      <c r="F60" s="76">
        <f t="shared" si="9"/>
        <v>-12465833.289999995</v>
      </c>
      <c r="G60" s="76">
        <f t="shared" si="10"/>
        <v>-8327400.7801249968</v>
      </c>
      <c r="H60" s="76">
        <f t="shared" si="27"/>
        <v>0</v>
      </c>
      <c r="I60" s="76">
        <f t="shared" si="27"/>
        <v>4138432.5098750023</v>
      </c>
      <c r="J60" s="76">
        <f t="shared" si="28"/>
        <v>4138432.5098750023</v>
      </c>
      <c r="K60" s="76">
        <f t="shared" si="12"/>
        <v>-869070.82707375044</v>
      </c>
      <c r="L60" s="77">
        <f t="shared" si="6"/>
        <v>-137435.81202224991</v>
      </c>
      <c r="M60" s="26"/>
      <c r="N60" s="78"/>
      <c r="O60" s="78"/>
    </row>
    <row r="61" spans="1:15" s="40" customFormat="1" outlineLevel="1" x14ac:dyDescent="0.2">
      <c r="A61" s="74">
        <v>48579</v>
      </c>
      <c r="B61" s="76">
        <f t="shared" si="26"/>
        <v>12465833.289999999</v>
      </c>
      <c r="C61" s="422">
        <f t="shared" si="15"/>
        <v>12465833.289999999</v>
      </c>
      <c r="D61" s="76"/>
      <c r="E61" s="199">
        <f t="shared" si="25"/>
        <v>654456.24772499991</v>
      </c>
      <c r="F61" s="76">
        <f t="shared" si="9"/>
        <v>-12465833.289999995</v>
      </c>
      <c r="G61" s="76">
        <f t="shared" si="10"/>
        <v>-8981857.0278499965</v>
      </c>
      <c r="H61" s="76">
        <f t="shared" si="27"/>
        <v>0</v>
      </c>
      <c r="I61" s="76">
        <f t="shared" si="27"/>
        <v>3483976.2621500026</v>
      </c>
      <c r="J61" s="76">
        <f t="shared" si="28"/>
        <v>3483976.2621500026</v>
      </c>
      <c r="K61" s="76">
        <f t="shared" si="12"/>
        <v>-731635.01505150052</v>
      </c>
      <c r="L61" s="77">
        <f t="shared" si="6"/>
        <v>-137435.81202224991</v>
      </c>
      <c r="M61" s="26"/>
      <c r="N61" s="78"/>
      <c r="O61" s="78"/>
    </row>
    <row r="62" spans="1:15" s="40" customFormat="1" outlineLevel="1" x14ac:dyDescent="0.2">
      <c r="A62" s="74">
        <v>48944</v>
      </c>
      <c r="B62" s="76">
        <f t="shared" si="26"/>
        <v>12465833.289999999</v>
      </c>
      <c r="C62" s="422">
        <f t="shared" si="15"/>
        <v>12465833.289999999</v>
      </c>
      <c r="D62" s="76"/>
      <c r="E62" s="199">
        <f t="shared" si="25"/>
        <v>654456.24772499991</v>
      </c>
      <c r="F62" s="76">
        <f t="shared" si="9"/>
        <v>-12465833.289999995</v>
      </c>
      <c r="G62" s="76">
        <f t="shared" si="10"/>
        <v>-9636313.2755749971</v>
      </c>
      <c r="H62" s="76">
        <f t="shared" si="27"/>
        <v>0</v>
      </c>
      <c r="I62" s="76">
        <f t="shared" si="27"/>
        <v>2829520.014425002</v>
      </c>
      <c r="J62" s="76">
        <f t="shared" si="28"/>
        <v>2829520.014425002</v>
      </c>
      <c r="K62" s="76">
        <f t="shared" si="12"/>
        <v>-594199.20302925038</v>
      </c>
      <c r="L62" s="77">
        <f t="shared" si="6"/>
        <v>-137435.81202225015</v>
      </c>
      <c r="M62" s="26"/>
      <c r="N62" s="78"/>
      <c r="O62" s="78"/>
    </row>
    <row r="63" spans="1:15" s="40" customFormat="1" outlineLevel="1" x14ac:dyDescent="0.2">
      <c r="A63" s="74">
        <v>49309</v>
      </c>
      <c r="B63" s="76">
        <f t="shared" si="26"/>
        <v>12465833.289999999</v>
      </c>
      <c r="C63" s="422">
        <f t="shared" si="15"/>
        <v>12465833.289999999</v>
      </c>
      <c r="D63" s="76"/>
      <c r="E63" s="199">
        <f t="shared" si="25"/>
        <v>654456.24772499991</v>
      </c>
      <c r="F63" s="76">
        <f t="shared" si="9"/>
        <v>-12465833.289999995</v>
      </c>
      <c r="G63" s="76">
        <f t="shared" si="10"/>
        <v>-10290769.523299998</v>
      </c>
      <c r="H63" s="76">
        <f t="shared" si="27"/>
        <v>0</v>
      </c>
      <c r="I63" s="76">
        <f t="shared" si="27"/>
        <v>2175063.7667000014</v>
      </c>
      <c r="J63" s="76">
        <f t="shared" si="28"/>
        <v>2175063.7667000014</v>
      </c>
      <c r="K63" s="76">
        <f t="shared" si="12"/>
        <v>-456763.39100700029</v>
      </c>
      <c r="L63" s="77">
        <f t="shared" si="6"/>
        <v>-137435.81202225009</v>
      </c>
      <c r="M63" s="26"/>
      <c r="N63" s="78"/>
      <c r="O63" s="78"/>
    </row>
    <row r="64" spans="1:15" s="40" customFormat="1" outlineLevel="1" x14ac:dyDescent="0.2">
      <c r="A64" s="74">
        <v>49674</v>
      </c>
      <c r="B64" s="76">
        <f t="shared" si="26"/>
        <v>12465833.289999999</v>
      </c>
      <c r="C64" s="422">
        <f t="shared" si="15"/>
        <v>12465833.289999999</v>
      </c>
      <c r="D64" s="76"/>
      <c r="E64" s="199">
        <f t="shared" si="25"/>
        <v>654456.24772499991</v>
      </c>
      <c r="F64" s="76">
        <f t="shared" si="9"/>
        <v>-12465833.289999995</v>
      </c>
      <c r="G64" s="76">
        <f t="shared" si="10"/>
        <v>-10945225.771024998</v>
      </c>
      <c r="H64" s="76">
        <f t="shared" si="27"/>
        <v>0</v>
      </c>
      <c r="I64" s="76">
        <f t="shared" si="27"/>
        <v>1520607.5189750008</v>
      </c>
      <c r="J64" s="76">
        <f t="shared" si="28"/>
        <v>1520607.5189750008</v>
      </c>
      <c r="K64" s="76">
        <f t="shared" si="12"/>
        <v>-319327.57898475014</v>
      </c>
      <c r="L64" s="77">
        <f t="shared" si="6"/>
        <v>-137435.81202225015</v>
      </c>
      <c r="M64" s="26"/>
      <c r="N64" s="78"/>
      <c r="O64" s="78"/>
    </row>
    <row r="65" spans="1:15" s="40" customFormat="1" outlineLevel="1" x14ac:dyDescent="0.2">
      <c r="A65" s="74">
        <v>50040</v>
      </c>
      <c r="B65" s="76">
        <f t="shared" si="26"/>
        <v>12465833.289999999</v>
      </c>
      <c r="C65" s="422">
        <f t="shared" si="15"/>
        <v>12465833.289999999</v>
      </c>
      <c r="D65" s="76"/>
      <c r="E65" s="199">
        <f t="shared" si="25"/>
        <v>654456.24772499991</v>
      </c>
      <c r="F65" s="76">
        <f t="shared" si="9"/>
        <v>-12465833.289999995</v>
      </c>
      <c r="G65" s="76">
        <f t="shared" si="10"/>
        <v>-11599682.018749999</v>
      </c>
      <c r="H65" s="76">
        <f t="shared" si="27"/>
        <v>0</v>
      </c>
      <c r="I65" s="76">
        <f t="shared" si="27"/>
        <v>866151.27125000022</v>
      </c>
      <c r="J65" s="76">
        <f t="shared" si="28"/>
        <v>866151.27125000022</v>
      </c>
      <c r="K65" s="76">
        <f t="shared" si="12"/>
        <v>-181891.76696250003</v>
      </c>
      <c r="L65" s="77">
        <f t="shared" si="6"/>
        <v>-137435.81202225012</v>
      </c>
      <c r="M65" s="26"/>
      <c r="N65" s="78"/>
      <c r="O65" s="78"/>
    </row>
    <row r="66" spans="1:15" s="40" customFormat="1" outlineLevel="1" x14ac:dyDescent="0.2">
      <c r="A66" s="74">
        <v>50405</v>
      </c>
      <c r="B66" s="76">
        <f t="shared" si="26"/>
        <v>12465833.289999999</v>
      </c>
      <c r="C66" s="422">
        <f t="shared" si="15"/>
        <v>12465833.289999999</v>
      </c>
      <c r="D66" s="76"/>
      <c r="E66" s="199">
        <f t="shared" si="25"/>
        <v>654456.24772499991</v>
      </c>
      <c r="F66" s="76">
        <f t="shared" si="9"/>
        <v>-12465833.289999995</v>
      </c>
      <c r="G66" s="76">
        <f t="shared" si="10"/>
        <v>-12254138.266474999</v>
      </c>
      <c r="H66" s="76">
        <f t="shared" si="27"/>
        <v>0</v>
      </c>
      <c r="I66" s="76">
        <f t="shared" si="27"/>
        <v>211695.02352499962</v>
      </c>
      <c r="J66" s="76">
        <f t="shared" si="28"/>
        <v>211695.02352499962</v>
      </c>
      <c r="K66" s="76">
        <f t="shared" si="12"/>
        <v>-44455.954940249918</v>
      </c>
      <c r="L66" s="77">
        <f t="shared" si="6"/>
        <v>-137435.81202225012</v>
      </c>
      <c r="M66" s="26"/>
      <c r="N66" s="78"/>
      <c r="O66" s="78"/>
    </row>
    <row r="67" spans="1:15" s="40" customFormat="1" outlineLevel="1" x14ac:dyDescent="0.2">
      <c r="A67" s="74">
        <v>50770</v>
      </c>
      <c r="B67" s="76">
        <f t="shared" si="26"/>
        <v>12465833.289999999</v>
      </c>
      <c r="C67" s="422">
        <f t="shared" si="15"/>
        <v>12465833.289999999</v>
      </c>
      <c r="D67" s="76"/>
      <c r="E67" s="199">
        <f>12465833--G66</f>
        <v>211694.73352500051</v>
      </c>
      <c r="F67" s="76">
        <f t="shared" ref="F67" si="29">-D67+F66</f>
        <v>-12465833.289999995</v>
      </c>
      <c r="G67" s="76">
        <f t="shared" ref="G67" si="30">+G66-E67</f>
        <v>-12465833</v>
      </c>
      <c r="H67" s="76">
        <f t="shared" ref="H67" si="31">B67+F67</f>
        <v>0</v>
      </c>
      <c r="I67" s="76">
        <f t="shared" ref="I67" si="32">C67+G67</f>
        <v>0.28999999910593033</v>
      </c>
      <c r="J67" s="76">
        <f t="shared" ref="J67" si="33">I67-H67</f>
        <v>0.28999999910593033</v>
      </c>
      <c r="K67" s="76">
        <f t="shared" ref="K67" si="34">-J67*$K$11</f>
        <v>-6.0899999812245365E-2</v>
      </c>
      <c r="L67" s="77">
        <f t="shared" ref="L67" si="35">-K67+K66</f>
        <v>-44455.894040250103</v>
      </c>
      <c r="M67" s="26"/>
      <c r="N67" s="78"/>
      <c r="O67" s="78"/>
    </row>
    <row r="68" spans="1:15" s="40" customFormat="1" outlineLevel="1" x14ac:dyDescent="0.2">
      <c r="A68" s="74">
        <v>51135</v>
      </c>
      <c r="B68" s="424">
        <f t="shared" si="26"/>
        <v>12465833.289999999</v>
      </c>
      <c r="C68" s="425">
        <f t="shared" si="15"/>
        <v>12465833.289999999</v>
      </c>
      <c r="D68" s="424"/>
      <c r="E68" s="426">
        <v>0</v>
      </c>
      <c r="F68" s="424">
        <f t="shared" ref="F68" si="36">-D68+F67</f>
        <v>-12465833.289999995</v>
      </c>
      <c r="G68" s="424">
        <f t="shared" ref="G68" si="37">+G67-E68</f>
        <v>-12465833</v>
      </c>
      <c r="H68" s="424"/>
      <c r="I68" s="424">
        <f t="shared" ref="I68" si="38">C68+G68</f>
        <v>0.28999999910593033</v>
      </c>
      <c r="J68" s="424">
        <f t="shared" ref="J68" si="39">I68-H68</f>
        <v>0.28999999910593033</v>
      </c>
      <c r="K68" s="424">
        <f t="shared" ref="K68" si="40">-J68*$K$11</f>
        <v>-6.0899999812245365E-2</v>
      </c>
      <c r="L68" s="427">
        <f t="shared" ref="L68" si="41">-K68+K67</f>
        <v>0</v>
      </c>
      <c r="M68" s="26"/>
      <c r="N68" s="78"/>
      <c r="O68" s="78"/>
    </row>
    <row r="69" spans="1:15" x14ac:dyDescent="0.2">
      <c r="A69" s="88" t="s">
        <v>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90"/>
      <c r="M69" s="26"/>
      <c r="N69" s="75"/>
      <c r="O69" s="75"/>
    </row>
    <row r="70" spans="1:15" x14ac:dyDescent="0.2">
      <c r="A70" s="81" t="s">
        <v>163</v>
      </c>
      <c r="B70" s="82"/>
      <c r="C70" s="82"/>
      <c r="D70" s="83">
        <f>SUM(D31:D42)</f>
        <v>3457191.0990933343</v>
      </c>
      <c r="E70" s="83">
        <f>SUM(E31:E42)</f>
        <v>654456.24772499979</v>
      </c>
      <c r="F70" s="82"/>
      <c r="G70" s="82"/>
      <c r="H70" s="82"/>
      <c r="I70" s="82"/>
      <c r="J70" s="82"/>
      <c r="K70" s="82"/>
      <c r="L70" s="83">
        <f>SUM(L31:L42)</f>
        <v>588574.31878735009</v>
      </c>
      <c r="M70" s="26"/>
      <c r="N70" s="75"/>
      <c r="O70" s="75"/>
    </row>
    <row r="71" spans="1:15" x14ac:dyDescent="0.2">
      <c r="A71" s="80" t="s">
        <v>164</v>
      </c>
      <c r="B71" s="84">
        <f>(B30+B42+SUM(B31:B41)*2)/24</f>
        <v>12465833.289999997</v>
      </c>
      <c r="C71" s="84">
        <f>(C30+C42+SUM(C31:C41)*2)/24</f>
        <v>12465833.289999997</v>
      </c>
      <c r="D71" s="85"/>
      <c r="E71" s="86"/>
      <c r="F71" s="84">
        <f>(F30+F42+SUM(F31:F41)*2)/24</f>
        <v>-5728742.9430488897</v>
      </c>
      <c r="G71" s="84">
        <f>(G30+G42+SUM(G31:G41)*2)/24</f>
        <v>-1019306.0138624996</v>
      </c>
      <c r="H71" s="84">
        <f>(H30+H42+SUM(H31:H41)*2)/24</f>
        <v>6737090.3469511094</v>
      </c>
      <c r="I71" s="84">
        <f>(I30+I42+SUM(I31:I41)*2)/24</f>
        <v>11446527.276137499</v>
      </c>
      <c r="J71" s="86"/>
      <c r="K71" s="84">
        <f>(K30+K42+SUM(K31:K41)*2)/24</f>
        <v>-988981.75512914173</v>
      </c>
      <c r="L71" s="87"/>
      <c r="M71" s="26"/>
      <c r="N71" s="75"/>
    </row>
    <row r="72" spans="1:15" x14ac:dyDescent="0.2">
      <c r="A72" s="26"/>
      <c r="B72" s="26"/>
      <c r="C72" s="26"/>
      <c r="D72" s="91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I31" sqref="I31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51</v>
      </c>
      <c r="B3" s="95"/>
      <c r="C3" s="96"/>
      <c r="D3" s="96"/>
      <c r="E3" s="96"/>
      <c r="F3" s="96"/>
      <c r="G3" s="96"/>
      <c r="H3" s="96"/>
      <c r="I3" s="96"/>
    </row>
    <row r="4" spans="1:9" x14ac:dyDescent="0.25">
      <c r="A4" s="94" t="str">
        <f>+'Lead G'!A6</f>
        <v>AUTOMATED METER INFRASTRUCTURE ("AMI") - GAS</v>
      </c>
      <c r="B4" s="95"/>
      <c r="C4" s="96"/>
      <c r="D4" s="96"/>
      <c r="E4" s="96"/>
      <c r="F4" s="96"/>
      <c r="G4" s="96"/>
      <c r="H4" s="96"/>
      <c r="I4" s="96"/>
    </row>
    <row r="5" spans="1:9" x14ac:dyDescent="0.25">
      <c r="A5" s="94" t="s">
        <v>82</v>
      </c>
      <c r="B5" s="95"/>
      <c r="C5" s="96"/>
      <c r="D5" s="96"/>
      <c r="E5" s="96"/>
      <c r="F5" s="96"/>
      <c r="G5" s="96"/>
      <c r="H5" s="96"/>
      <c r="I5" s="96"/>
    </row>
    <row r="6" spans="1:9" x14ac:dyDescent="0.25">
      <c r="A6" s="94" t="s">
        <v>88</v>
      </c>
      <c r="B6" s="95"/>
      <c r="C6" s="96"/>
      <c r="D6" s="96"/>
      <c r="E6" s="96"/>
      <c r="F6" s="96"/>
      <c r="G6" s="96"/>
      <c r="H6" s="96"/>
      <c r="I6" s="96"/>
    </row>
    <row r="7" spans="1:9" x14ac:dyDescent="0.25">
      <c r="A7" s="94"/>
      <c r="B7" s="97"/>
      <c r="C7" s="96"/>
      <c r="D7" s="96"/>
      <c r="E7" s="96"/>
      <c r="F7" s="96"/>
      <c r="G7" s="96"/>
      <c r="H7" s="96"/>
      <c r="I7" s="96"/>
    </row>
    <row r="8" spans="1:9" x14ac:dyDescent="0.25">
      <c r="A8" s="98"/>
      <c r="B8" s="99" t="s">
        <v>52</v>
      </c>
      <c r="C8" s="100"/>
      <c r="D8" s="100"/>
      <c r="E8" s="100"/>
      <c r="F8" s="100"/>
      <c r="G8" s="100"/>
      <c r="H8" s="100"/>
      <c r="I8" s="101"/>
    </row>
    <row r="9" spans="1:9" x14ac:dyDescent="0.25">
      <c r="A9" s="102"/>
      <c r="B9" s="103"/>
      <c r="C9" s="100" t="s">
        <v>53</v>
      </c>
      <c r="D9" s="104"/>
      <c r="E9" s="105"/>
      <c r="F9" s="106" t="s">
        <v>54</v>
      </c>
      <c r="G9" s="104"/>
      <c r="H9" s="104"/>
      <c r="I9" s="107"/>
    </row>
    <row r="10" spans="1:9" x14ac:dyDescent="0.25">
      <c r="A10" s="102"/>
      <c r="B10" s="108"/>
      <c r="C10" s="109"/>
      <c r="D10" s="109"/>
      <c r="E10" s="110" t="s">
        <v>55</v>
      </c>
      <c r="F10" s="111"/>
      <c r="G10" s="112"/>
      <c r="H10" s="112"/>
      <c r="I10" s="113"/>
    </row>
    <row r="11" spans="1:9" x14ac:dyDescent="0.25">
      <c r="A11" s="102" t="s">
        <v>56</v>
      </c>
      <c r="B11" s="114" t="s">
        <v>57</v>
      </c>
      <c r="C11" s="115" t="s">
        <v>58</v>
      </c>
      <c r="D11" s="115" t="s">
        <v>59</v>
      </c>
      <c r="E11" s="110" t="s">
        <v>60</v>
      </c>
      <c r="F11" s="114" t="s">
        <v>61</v>
      </c>
      <c r="G11" s="115" t="s">
        <v>62</v>
      </c>
      <c r="H11" s="115" t="s">
        <v>63</v>
      </c>
      <c r="I11" s="110" t="s">
        <v>64</v>
      </c>
    </row>
    <row r="12" spans="1:9" x14ac:dyDescent="0.25">
      <c r="A12" s="102"/>
      <c r="B12" s="116" t="s">
        <v>58</v>
      </c>
      <c r="C12" s="117" t="s">
        <v>65</v>
      </c>
      <c r="D12" s="117" t="s">
        <v>50</v>
      </c>
      <c r="E12" s="118" t="s">
        <v>3</v>
      </c>
      <c r="F12" s="116" t="s">
        <v>66</v>
      </c>
      <c r="G12" s="117" t="s">
        <v>67</v>
      </c>
      <c r="H12" s="117" t="s">
        <v>68</v>
      </c>
      <c r="I12" s="118" t="s">
        <v>69</v>
      </c>
    </row>
    <row r="13" spans="1:9" x14ac:dyDescent="0.25">
      <c r="A13" s="102"/>
      <c r="B13" s="119" t="s">
        <v>70</v>
      </c>
      <c r="C13" s="120" t="s">
        <v>71</v>
      </c>
      <c r="D13" s="121" t="s">
        <v>72</v>
      </c>
      <c r="E13" s="122" t="s">
        <v>73</v>
      </c>
      <c r="F13" s="119" t="s">
        <v>74</v>
      </c>
      <c r="G13" s="123" t="s">
        <v>75</v>
      </c>
      <c r="H13" s="124" t="s">
        <v>76</v>
      </c>
      <c r="I13" s="122" t="s">
        <v>77</v>
      </c>
    </row>
    <row r="14" spans="1:9" x14ac:dyDescent="0.25">
      <c r="A14" s="125"/>
      <c r="B14" s="126"/>
      <c r="C14" s="127"/>
      <c r="D14" s="128"/>
      <c r="E14" s="129" t="s">
        <v>78</v>
      </c>
      <c r="F14" s="126" t="s">
        <v>79</v>
      </c>
      <c r="G14" s="130"/>
      <c r="H14" s="131"/>
      <c r="I14" s="129" t="s">
        <v>80</v>
      </c>
    </row>
    <row r="15" spans="1:9" x14ac:dyDescent="0.25">
      <c r="A15" s="98">
        <f>ROW()</f>
        <v>15</v>
      </c>
      <c r="B15" s="132"/>
      <c r="C15" s="133"/>
      <c r="D15" s="134"/>
      <c r="E15" s="135"/>
      <c r="F15" s="136"/>
      <c r="G15" s="137"/>
      <c r="H15" s="134"/>
      <c r="I15" s="135"/>
    </row>
    <row r="16" spans="1:9" x14ac:dyDescent="0.25">
      <c r="A16" s="102">
        <f>ROW()</f>
        <v>16</v>
      </c>
      <c r="B16" s="132"/>
      <c r="C16" s="133">
        <v>43951</v>
      </c>
      <c r="D16" s="134"/>
      <c r="E16" s="138">
        <f>+'Gas AMI Additions'!K30</f>
        <v>-657463.30697599985</v>
      </c>
      <c r="F16" s="136"/>
      <c r="G16" s="137"/>
      <c r="H16" s="134"/>
      <c r="I16" s="138">
        <f>E16</f>
        <v>-657463.30697599985</v>
      </c>
    </row>
    <row r="17" spans="1:9" x14ac:dyDescent="0.25">
      <c r="A17" s="102">
        <f>ROW()</f>
        <v>17</v>
      </c>
      <c r="B17" s="132">
        <f>DAY(EOMONTH(C17,0))</f>
        <v>31</v>
      </c>
      <c r="C17" s="133">
        <v>43982</v>
      </c>
      <c r="D17" s="134">
        <f>+'Gas AMI Additions'!L31</f>
        <v>58355.68208881293</v>
      </c>
      <c r="E17" s="200">
        <f>+E16-D17</f>
        <v>-715818.98906481278</v>
      </c>
      <c r="F17" s="136">
        <f>G17-SUM(B$16:$B17)+1</f>
        <v>335</v>
      </c>
      <c r="G17" s="137">
        <f>B29</f>
        <v>365</v>
      </c>
      <c r="H17" s="134">
        <f>+F17/G17*D17</f>
        <v>53559.324656855701</v>
      </c>
      <c r="I17" s="135">
        <f t="shared" ref="I17:I28" si="0">+I16-H17</f>
        <v>-711022.63163285551</v>
      </c>
    </row>
    <row r="18" spans="1:9" x14ac:dyDescent="0.25">
      <c r="A18" s="102">
        <f>ROW()</f>
        <v>18</v>
      </c>
      <c r="B18" s="132">
        <f t="shared" ref="B18:B28" si="1">DAY(EOMONTH(C18,0))</f>
        <v>30</v>
      </c>
      <c r="C18" s="133">
        <v>44012</v>
      </c>
      <c r="D18" s="134">
        <f>+'Gas AMI Additions'!L32</f>
        <v>58355.682088812464</v>
      </c>
      <c r="E18" s="200">
        <f t="shared" ref="E18:E28" si="2">+E17-D18</f>
        <v>-774174.67115362524</v>
      </c>
      <c r="F18" s="136">
        <f>G18-SUM(B$16:$B18)+1</f>
        <v>305</v>
      </c>
      <c r="G18" s="137">
        <f>G17</f>
        <v>365</v>
      </c>
      <c r="H18" s="134">
        <f t="shared" ref="H18:H28" si="3">+F18/G18*D18</f>
        <v>48762.967224898086</v>
      </c>
      <c r="I18" s="135">
        <f t="shared" si="0"/>
        <v>-759785.59885775356</v>
      </c>
    </row>
    <row r="19" spans="1:9" x14ac:dyDescent="0.25">
      <c r="A19" s="102">
        <f>ROW()</f>
        <v>19</v>
      </c>
      <c r="B19" s="132">
        <f t="shared" si="1"/>
        <v>31</v>
      </c>
      <c r="C19" s="133">
        <v>44043</v>
      </c>
      <c r="D19" s="134">
        <f>+'Gas AMI Additions'!L33</f>
        <v>58355.682088812464</v>
      </c>
      <c r="E19" s="200">
        <f t="shared" si="2"/>
        <v>-832530.3532424377</v>
      </c>
      <c r="F19" s="136">
        <f>G19-SUM(B$16:$B19)+1</f>
        <v>274</v>
      </c>
      <c r="G19" s="137">
        <f t="shared" ref="G19:G28" si="4">G18</f>
        <v>365</v>
      </c>
      <c r="H19" s="134">
        <f t="shared" si="3"/>
        <v>43806.73121187566</v>
      </c>
      <c r="I19" s="135">
        <f t="shared" si="0"/>
        <v>-803592.33006962924</v>
      </c>
    </row>
    <row r="20" spans="1:9" x14ac:dyDescent="0.25">
      <c r="A20" s="102">
        <f>ROW()</f>
        <v>20</v>
      </c>
      <c r="B20" s="132">
        <f t="shared" si="1"/>
        <v>31</v>
      </c>
      <c r="C20" s="133">
        <v>44074</v>
      </c>
      <c r="D20" s="134">
        <f>+'Gas AMI Additions'!L34</f>
        <v>58355.682088812464</v>
      </c>
      <c r="E20" s="200">
        <f t="shared" si="2"/>
        <v>-890886.03533125017</v>
      </c>
      <c r="F20" s="136">
        <f>G20-SUM(B$16:$B20)+1</f>
        <v>243</v>
      </c>
      <c r="G20" s="137">
        <f t="shared" si="4"/>
        <v>365</v>
      </c>
      <c r="H20" s="134">
        <f t="shared" si="3"/>
        <v>38850.495198853234</v>
      </c>
      <c r="I20" s="135">
        <f t="shared" si="0"/>
        <v>-842442.82526848244</v>
      </c>
    </row>
    <row r="21" spans="1:9" x14ac:dyDescent="0.25">
      <c r="A21" s="102">
        <f>ROW()</f>
        <v>21</v>
      </c>
      <c r="B21" s="132">
        <f t="shared" si="1"/>
        <v>30</v>
      </c>
      <c r="C21" s="133">
        <v>44104</v>
      </c>
      <c r="D21" s="134">
        <f>+'Gas AMI Additions'!L35</f>
        <v>58355.682088812464</v>
      </c>
      <c r="E21" s="200">
        <f t="shared" si="2"/>
        <v>-949241.71742006263</v>
      </c>
      <c r="F21" s="136">
        <f>G21-SUM(B$16:$B21)+1</f>
        <v>213</v>
      </c>
      <c r="G21" s="137">
        <f t="shared" si="4"/>
        <v>365</v>
      </c>
      <c r="H21" s="134">
        <f t="shared" si="3"/>
        <v>34054.137766896041</v>
      </c>
      <c r="I21" s="135">
        <f t="shared" si="0"/>
        <v>-876496.96303537849</v>
      </c>
    </row>
    <row r="22" spans="1:9" x14ac:dyDescent="0.25">
      <c r="A22" s="102">
        <f>ROW()</f>
        <v>22</v>
      </c>
      <c r="B22" s="132">
        <f t="shared" si="1"/>
        <v>31</v>
      </c>
      <c r="C22" s="133">
        <v>44135</v>
      </c>
      <c r="D22" s="134">
        <f>+'Gas AMI Additions'!L36</f>
        <v>58355.682088812464</v>
      </c>
      <c r="E22" s="200">
        <f t="shared" si="2"/>
        <v>-1007597.3995088751</v>
      </c>
      <c r="F22" s="136">
        <f>G22-SUM(B$16:$B22)+1</f>
        <v>182</v>
      </c>
      <c r="G22" s="137">
        <f t="shared" si="4"/>
        <v>365</v>
      </c>
      <c r="H22" s="134">
        <f t="shared" si="3"/>
        <v>29097.901753873612</v>
      </c>
      <c r="I22" s="135">
        <f t="shared" si="0"/>
        <v>-905594.86478925205</v>
      </c>
    </row>
    <row r="23" spans="1:9" x14ac:dyDescent="0.25">
      <c r="A23" s="102">
        <f>ROW()</f>
        <v>23</v>
      </c>
      <c r="B23" s="132">
        <f t="shared" si="1"/>
        <v>30</v>
      </c>
      <c r="C23" s="133">
        <v>44165</v>
      </c>
      <c r="D23" s="134">
        <f>+'Gas AMI Additions'!L37</f>
        <v>58355.68208881258</v>
      </c>
      <c r="E23" s="200">
        <f t="shared" si="2"/>
        <v>-1065953.0815976877</v>
      </c>
      <c r="F23" s="136">
        <f>G23-SUM(B$16:$B23)+1</f>
        <v>152</v>
      </c>
      <c r="G23" s="137">
        <f t="shared" si="4"/>
        <v>365</v>
      </c>
      <c r="H23" s="134">
        <f t="shared" si="3"/>
        <v>24301.544321916474</v>
      </c>
      <c r="I23" s="135">
        <f t="shared" si="0"/>
        <v>-929896.40911116847</v>
      </c>
    </row>
    <row r="24" spans="1:9" x14ac:dyDescent="0.25">
      <c r="A24" s="102">
        <f>ROW()</f>
        <v>24</v>
      </c>
      <c r="B24" s="132">
        <f t="shared" si="1"/>
        <v>31</v>
      </c>
      <c r="C24" s="133">
        <v>44196</v>
      </c>
      <c r="D24" s="134">
        <f>+'Gas AMI Additions'!L38</f>
        <v>58355.682088812348</v>
      </c>
      <c r="E24" s="200">
        <f t="shared" si="2"/>
        <v>-1124308.7636865</v>
      </c>
      <c r="F24" s="136">
        <f>G24-SUM(B$16:$B24)+1</f>
        <v>121</v>
      </c>
      <c r="G24" s="137">
        <f t="shared" si="4"/>
        <v>365</v>
      </c>
      <c r="H24" s="134">
        <f t="shared" si="3"/>
        <v>19345.308308893957</v>
      </c>
      <c r="I24" s="135">
        <f t="shared" si="0"/>
        <v>-949241.7174200624</v>
      </c>
    </row>
    <row r="25" spans="1:9" x14ac:dyDescent="0.25">
      <c r="A25" s="102">
        <f>ROW()</f>
        <v>25</v>
      </c>
      <c r="B25" s="132">
        <f t="shared" si="1"/>
        <v>31</v>
      </c>
      <c r="C25" s="133">
        <v>44227</v>
      </c>
      <c r="D25" s="134">
        <f>+'Gas AMI Additions'!L39</f>
        <v>30432.215519212419</v>
      </c>
      <c r="E25" s="200">
        <f t="shared" si="2"/>
        <v>-1154740.9792057124</v>
      </c>
      <c r="F25" s="136">
        <f>G25-SUM(B$16:$B25)+1</f>
        <v>90</v>
      </c>
      <c r="G25" s="137">
        <f t="shared" si="4"/>
        <v>365</v>
      </c>
      <c r="H25" s="134">
        <f t="shared" si="3"/>
        <v>7503.8339636414184</v>
      </c>
      <c r="I25" s="135">
        <f t="shared" si="0"/>
        <v>-956745.55138370383</v>
      </c>
    </row>
    <row r="26" spans="1:9" x14ac:dyDescent="0.25">
      <c r="A26" s="102">
        <f>ROW()</f>
        <v>26</v>
      </c>
      <c r="B26" s="132">
        <f t="shared" si="1"/>
        <v>28</v>
      </c>
      <c r="C26" s="133">
        <v>44255</v>
      </c>
      <c r="D26" s="134">
        <f>+'Gas AMI Additions'!L40</f>
        <v>30432.215519212885</v>
      </c>
      <c r="E26" s="200">
        <f t="shared" si="2"/>
        <v>-1185173.1947249253</v>
      </c>
      <c r="F26" s="136">
        <f>G26-SUM(B$16:$B26)+1</f>
        <v>62</v>
      </c>
      <c r="G26" s="137">
        <f t="shared" si="4"/>
        <v>365</v>
      </c>
      <c r="H26" s="134">
        <f t="shared" si="3"/>
        <v>5169.3078416197231</v>
      </c>
      <c r="I26" s="135">
        <f t="shared" si="0"/>
        <v>-961914.85922532354</v>
      </c>
    </row>
    <row r="27" spans="1:9" x14ac:dyDescent="0.25">
      <c r="A27" s="102">
        <f>ROW()</f>
        <v>27</v>
      </c>
      <c r="B27" s="132">
        <f t="shared" si="1"/>
        <v>31</v>
      </c>
      <c r="C27" s="133">
        <v>44286</v>
      </c>
      <c r="D27" s="134">
        <f>+'Gas AMI Additions'!L41</f>
        <v>30432.215519212419</v>
      </c>
      <c r="E27" s="200">
        <f t="shared" si="2"/>
        <v>-1215605.4102441377</v>
      </c>
      <c r="F27" s="136">
        <f>G27-SUM(B$16:$B27)+1</f>
        <v>31</v>
      </c>
      <c r="G27" s="137">
        <f t="shared" si="4"/>
        <v>365</v>
      </c>
      <c r="H27" s="134">
        <f t="shared" si="3"/>
        <v>2584.653920809822</v>
      </c>
      <c r="I27" s="135">
        <f t="shared" si="0"/>
        <v>-964499.51314613339</v>
      </c>
    </row>
    <row r="28" spans="1:9" x14ac:dyDescent="0.25">
      <c r="A28" s="102">
        <f>ROW()</f>
        <v>28</v>
      </c>
      <c r="B28" s="132">
        <f t="shared" si="1"/>
        <v>30</v>
      </c>
      <c r="C28" s="133">
        <v>44316</v>
      </c>
      <c r="D28" s="134">
        <f>+'Gas AMI Additions'!L42</f>
        <v>30432.215519212186</v>
      </c>
      <c r="E28" s="200">
        <f t="shared" si="2"/>
        <v>-1246037.6257633499</v>
      </c>
      <c r="F28" s="136">
        <f>G28-SUM(B$16:$B28)+1</f>
        <v>1</v>
      </c>
      <c r="G28" s="137">
        <f t="shared" si="4"/>
        <v>365</v>
      </c>
      <c r="H28" s="134">
        <f t="shared" si="3"/>
        <v>83.375932929348451</v>
      </c>
      <c r="I28" s="135">
        <f t="shared" si="0"/>
        <v>-964582.88907906273</v>
      </c>
    </row>
    <row r="29" spans="1:9" ht="15.75" thickBot="1" x14ac:dyDescent="0.3">
      <c r="A29" s="102">
        <f>ROW()</f>
        <v>29</v>
      </c>
      <c r="B29" s="139">
        <f>SUM(B17:B28)</f>
        <v>365</v>
      </c>
      <c r="C29" s="109"/>
      <c r="D29" s="140">
        <f>SUM(D17:D28)</f>
        <v>588574.31878735009</v>
      </c>
      <c r="E29" s="201">
        <f>+'Gas AMI Additions'!K42-E28</f>
        <v>0</v>
      </c>
      <c r="F29" s="108"/>
      <c r="G29" s="141"/>
      <c r="H29" s="140">
        <f>SUM(H17:H28)</f>
        <v>307119.58210306306</v>
      </c>
      <c r="I29" s="113"/>
    </row>
    <row r="30" spans="1:9" ht="16.5" thickTop="1" thickBot="1" x14ac:dyDescent="0.3">
      <c r="A30" s="102">
        <f>ROW()</f>
        <v>30</v>
      </c>
      <c r="B30" s="108"/>
      <c r="C30" s="142"/>
      <c r="D30" s="143"/>
      <c r="E30" s="135"/>
      <c r="F30" s="108"/>
      <c r="G30" s="109"/>
      <c r="H30" s="144"/>
      <c r="I30" s="113"/>
    </row>
    <row r="31" spans="1:9" ht="15.75" thickBot="1" x14ac:dyDescent="0.3">
      <c r="A31" s="102">
        <f>ROW()</f>
        <v>31</v>
      </c>
      <c r="B31" s="108" t="s">
        <v>81</v>
      </c>
      <c r="C31" s="109"/>
      <c r="D31" s="134"/>
      <c r="E31" s="145">
        <f>(E16+E28+SUM(E17:E27)*2)/24</f>
        <v>-988981.75512914173</v>
      </c>
      <c r="F31" s="108"/>
      <c r="G31" s="109"/>
      <c r="H31" s="109"/>
      <c r="I31" s="146">
        <f>(I16+I28+SUM(I17:I27)*2)/24</f>
        <v>-872688.03016393958</v>
      </c>
    </row>
    <row r="32" spans="1:9" ht="15.75" thickTop="1" x14ac:dyDescent="0.25">
      <c r="A32" s="125">
        <f>ROW()</f>
        <v>32</v>
      </c>
      <c r="B32" s="147"/>
      <c r="C32" s="148"/>
      <c r="D32" s="149"/>
      <c r="E32" s="150"/>
      <c r="F32" s="147"/>
      <c r="G32" s="148"/>
      <c r="H32" s="148"/>
      <c r="I32" s="151"/>
    </row>
    <row r="33" spans="1:9" x14ac:dyDescent="0.25">
      <c r="A33" s="95"/>
      <c r="B33" s="95"/>
      <c r="C33" s="95"/>
      <c r="D33" s="95"/>
      <c r="E33" s="95"/>
      <c r="F33" s="95"/>
      <c r="G33" s="95"/>
      <c r="H33" s="95"/>
      <c r="I33" s="95"/>
    </row>
    <row r="34" spans="1:9" x14ac:dyDescent="0.25">
      <c r="A34" s="93"/>
      <c r="B34" s="93"/>
      <c r="C34" s="93"/>
      <c r="D34" s="93"/>
      <c r="E34" s="93"/>
      <c r="F34" s="93"/>
      <c r="G34" s="93"/>
      <c r="H34" s="93"/>
      <c r="I34" s="93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F7" sqref="F7:F12"/>
    </sheetView>
  </sheetViews>
  <sheetFormatPr defaultRowHeight="12.75" x14ac:dyDescent="0.2"/>
  <cols>
    <col min="1" max="1" width="9.140625" style="170"/>
    <col min="2" max="2" width="1.5703125" style="170" customWidth="1"/>
    <col min="3" max="3" width="8.140625" style="170" bestFit="1" customWidth="1"/>
    <col min="4" max="4" width="8.28515625" style="170" bestFit="1" customWidth="1"/>
    <col min="5" max="5" width="1.5703125" style="170" customWidth="1"/>
    <col min="6" max="6" width="8.140625" style="170" bestFit="1" customWidth="1"/>
    <col min="7" max="7" width="8.28515625" style="170" bestFit="1" customWidth="1"/>
    <col min="8" max="8" width="1.5703125" style="170" customWidth="1"/>
    <col min="9" max="9" width="8.140625" style="170" bestFit="1" customWidth="1"/>
    <col min="10" max="10" width="8.28515625" style="170" bestFit="1" customWidth="1"/>
    <col min="11" max="11" width="1.5703125" style="170" customWidth="1"/>
    <col min="12" max="13" width="8.140625" style="170" bestFit="1" customWidth="1"/>
    <col min="14" max="14" width="1.5703125" style="170" customWidth="1"/>
    <col min="15" max="16" width="8.140625" style="170" bestFit="1" customWidth="1"/>
    <col min="17" max="17" width="1.5703125" style="170" customWidth="1"/>
    <col min="18" max="19" width="8.140625" style="170" bestFit="1" customWidth="1"/>
    <col min="20" max="20" width="1.5703125" style="170" customWidth="1"/>
    <col min="21" max="22" width="8.140625" style="170" bestFit="1" customWidth="1"/>
    <col min="23" max="23" width="1.5703125" style="170" customWidth="1"/>
    <col min="24" max="25" width="8.140625" style="170" bestFit="1" customWidth="1"/>
    <col min="26" max="26" width="1.5703125" style="170" customWidth="1"/>
    <col min="27" max="28" width="8.140625" style="170" bestFit="1" customWidth="1"/>
    <col min="29" max="29" width="1.5703125" style="170" customWidth="1"/>
    <col min="30" max="31" width="9.140625" style="170"/>
    <col min="32" max="32" width="1.5703125" style="170" customWidth="1"/>
    <col min="33" max="34" width="9.140625" style="170"/>
    <col min="35" max="35" width="1" style="170" customWidth="1"/>
    <col min="36" max="37" width="9.140625" style="170"/>
    <col min="38" max="38" width="2.140625" style="170" customWidth="1"/>
    <col min="39" max="16384" width="9.140625" style="170"/>
  </cols>
  <sheetData>
    <row r="1" spans="1:144" x14ac:dyDescent="0.2">
      <c r="A1" s="168" t="s">
        <v>365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144" x14ac:dyDescent="0.2">
      <c r="A2" s="168" t="s">
        <v>366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144" x14ac:dyDescent="0.2">
      <c r="A3" s="171"/>
    </row>
    <row r="4" spans="1:144" x14ac:dyDescent="0.2">
      <c r="A4" s="171" t="s">
        <v>89</v>
      </c>
    </row>
    <row r="5" spans="1:144" x14ac:dyDescent="0.2">
      <c r="C5" s="172" t="s">
        <v>90</v>
      </c>
      <c r="F5" s="172" t="s">
        <v>90</v>
      </c>
      <c r="I5" s="172" t="s">
        <v>90</v>
      </c>
      <c r="L5" s="172" t="s">
        <v>90</v>
      </c>
      <c r="O5" s="172" t="s">
        <v>90</v>
      </c>
      <c r="R5" s="172" t="s">
        <v>90</v>
      </c>
      <c r="U5" s="172" t="s">
        <v>91</v>
      </c>
      <c r="X5" s="172" t="s">
        <v>91</v>
      </c>
      <c r="AA5" s="172" t="s">
        <v>91</v>
      </c>
      <c r="AD5" s="172" t="s">
        <v>92</v>
      </c>
      <c r="AG5" s="172" t="s">
        <v>92</v>
      </c>
      <c r="AJ5" s="173" t="s">
        <v>93</v>
      </c>
      <c r="AM5" s="174" t="s">
        <v>91</v>
      </c>
    </row>
    <row r="6" spans="1:144" s="172" customFormat="1" x14ac:dyDescent="0.2">
      <c r="A6" s="175" t="s">
        <v>1</v>
      </c>
      <c r="B6" s="176"/>
      <c r="C6" s="175" t="s">
        <v>94</v>
      </c>
      <c r="D6" s="175" t="s">
        <v>95</v>
      </c>
      <c r="E6" s="176"/>
      <c r="F6" s="175" t="s">
        <v>49</v>
      </c>
      <c r="G6" s="175" t="str">
        <f>+D6</f>
        <v>Cumulative</v>
      </c>
      <c r="H6" s="176"/>
      <c r="I6" s="175" t="s">
        <v>96</v>
      </c>
      <c r="J6" s="175" t="str">
        <f>+G6</f>
        <v>Cumulative</v>
      </c>
      <c r="K6" s="176"/>
      <c r="L6" s="175" t="s">
        <v>97</v>
      </c>
      <c r="M6" s="175" t="str">
        <f>+G6</f>
        <v>Cumulative</v>
      </c>
      <c r="N6" s="176"/>
      <c r="O6" s="175" t="s">
        <v>98</v>
      </c>
      <c r="P6" s="175" t="str">
        <f>+J6</f>
        <v>Cumulative</v>
      </c>
      <c r="Q6" s="176"/>
      <c r="R6" s="175" t="s">
        <v>99</v>
      </c>
      <c r="S6" s="175" t="str">
        <f>+J6</f>
        <v>Cumulative</v>
      </c>
      <c r="T6" s="176"/>
      <c r="U6" s="175" t="s">
        <v>100</v>
      </c>
      <c r="V6" s="175" t="str">
        <f>+P6</f>
        <v>Cumulative</v>
      </c>
      <c r="W6" s="176"/>
      <c r="X6" s="175" t="s">
        <v>98</v>
      </c>
      <c r="Y6" s="175" t="str">
        <f>+S6</f>
        <v>Cumulative</v>
      </c>
      <c r="Z6" s="176"/>
      <c r="AA6" s="175" t="s">
        <v>101</v>
      </c>
      <c r="AB6" s="175" t="str">
        <f>+V6</f>
        <v>Cumulative</v>
      </c>
      <c r="AC6" s="176"/>
      <c r="AD6" s="175" t="s">
        <v>102</v>
      </c>
      <c r="AE6" s="175" t="str">
        <f>+AB6</f>
        <v>Cumulative</v>
      </c>
      <c r="AF6" s="176"/>
      <c r="AG6" s="175" t="s">
        <v>103</v>
      </c>
      <c r="AH6" s="175" t="str">
        <f>+AE6</f>
        <v>Cumulative</v>
      </c>
      <c r="AI6" s="176"/>
      <c r="AJ6" s="175" t="s">
        <v>94</v>
      </c>
      <c r="AK6" s="175" t="s">
        <v>95</v>
      </c>
      <c r="AL6" s="176"/>
      <c r="AM6" s="175" t="s">
        <v>99</v>
      </c>
      <c r="AN6" s="175" t="str">
        <f>+AE6</f>
        <v>Cumulative</v>
      </c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144" x14ac:dyDescent="0.2">
      <c r="A7" s="172">
        <v>1</v>
      </c>
      <c r="C7" s="177">
        <v>0.33329999999999999</v>
      </c>
      <c r="D7" s="177">
        <f>+C7</f>
        <v>0.33329999999999999</v>
      </c>
      <c r="E7" s="177"/>
      <c r="F7" s="177">
        <v>0.2</v>
      </c>
      <c r="G7" s="177">
        <f>+F7</f>
        <v>0.2</v>
      </c>
      <c r="H7" s="177"/>
      <c r="I7" s="177">
        <v>0.1429</v>
      </c>
      <c r="J7" s="177">
        <f>+I7</f>
        <v>0.1429</v>
      </c>
      <c r="K7" s="177"/>
      <c r="L7" s="177">
        <v>0.11111</v>
      </c>
      <c r="M7" s="177">
        <f>+L7</f>
        <v>0.11111</v>
      </c>
      <c r="N7" s="177"/>
      <c r="O7" s="177">
        <v>0.1</v>
      </c>
      <c r="P7" s="177">
        <f>+O7</f>
        <v>0.1</v>
      </c>
      <c r="Q7" s="177"/>
      <c r="R7" s="177">
        <v>8.3299999999999999E-2</v>
      </c>
      <c r="S7" s="177">
        <f>+R7</f>
        <v>8.3299999999999999E-2</v>
      </c>
      <c r="T7" s="177"/>
      <c r="U7" s="177">
        <v>0.05</v>
      </c>
      <c r="V7" s="177">
        <f>+U7</f>
        <v>0.05</v>
      </c>
      <c r="W7" s="177"/>
      <c r="X7" s="177">
        <v>7.4999999999999997E-2</v>
      </c>
      <c r="Y7" s="177">
        <f>+X7</f>
        <v>7.4999999999999997E-2</v>
      </c>
      <c r="Z7" s="177"/>
      <c r="AA7" s="177">
        <v>3.7499999999999999E-2</v>
      </c>
      <c r="AB7" s="177">
        <f>+AA7</f>
        <v>3.7499999999999999E-2</v>
      </c>
      <c r="AC7" s="177"/>
      <c r="AD7" s="177">
        <v>1.72E-2</v>
      </c>
      <c r="AE7" s="177">
        <f>+AD7</f>
        <v>1.72E-2</v>
      </c>
      <c r="AF7" s="177"/>
      <c r="AG7" s="177">
        <v>1.2840000000000001E-2</v>
      </c>
      <c r="AH7" s="177">
        <f>+AG7</f>
        <v>1.2840000000000001E-2</v>
      </c>
      <c r="AI7" s="177"/>
      <c r="AJ7" s="177">
        <f>1/3/2</f>
        <v>0.16666666666666666</v>
      </c>
      <c r="AK7" s="177">
        <f>+AJ7</f>
        <v>0.16666666666666666</v>
      </c>
      <c r="AL7" s="177"/>
      <c r="AM7" s="177">
        <v>6.25E-2</v>
      </c>
      <c r="AN7" s="177">
        <f>+AM7</f>
        <v>6.25E-2</v>
      </c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</row>
    <row r="8" spans="1:144" x14ac:dyDescent="0.2">
      <c r="A8" s="172">
        <f>+A7+1</f>
        <v>2</v>
      </c>
      <c r="C8" s="177">
        <v>0.44450000000000001</v>
      </c>
      <c r="D8" s="177">
        <f>+D7+C8</f>
        <v>0.77780000000000005</v>
      </c>
      <c r="E8" s="177"/>
      <c r="F8" s="177">
        <v>0.32</v>
      </c>
      <c r="G8" s="177">
        <f>+G7+F8</f>
        <v>0.52</v>
      </c>
      <c r="H8" s="177"/>
      <c r="I8" s="177">
        <v>0.24490000000000001</v>
      </c>
      <c r="J8" s="177">
        <f>+J7+I8</f>
        <v>0.38780000000000003</v>
      </c>
      <c r="K8" s="177"/>
      <c r="L8" s="177">
        <v>0.19753000000000001</v>
      </c>
      <c r="M8" s="177">
        <f>+M7+L8</f>
        <v>0.30864000000000003</v>
      </c>
      <c r="N8" s="177"/>
      <c r="O8" s="177">
        <v>0.18</v>
      </c>
      <c r="P8" s="177">
        <f>+P7+O8</f>
        <v>0.28000000000000003</v>
      </c>
      <c r="Q8" s="177"/>
      <c r="R8" s="177">
        <v>0.15279999999999999</v>
      </c>
      <c r="S8" s="177">
        <f>+S7+R8</f>
        <v>0.23609999999999998</v>
      </c>
      <c r="T8" s="177"/>
      <c r="U8" s="177">
        <v>9.5000000000000001E-2</v>
      </c>
      <c r="V8" s="177">
        <f>+V7+U8</f>
        <v>0.14500000000000002</v>
      </c>
      <c r="W8" s="177"/>
      <c r="X8" s="177">
        <v>0.13875000000000001</v>
      </c>
      <c r="Y8" s="177">
        <f>+Y7+X8</f>
        <v>0.21375</v>
      </c>
      <c r="Z8" s="177"/>
      <c r="AA8" s="177">
        <v>7.2190000000000004E-2</v>
      </c>
      <c r="AB8" s="177">
        <f>+AB7+AA8</f>
        <v>0.10969000000000001</v>
      </c>
      <c r="AC8" s="177"/>
      <c r="AD8" s="177">
        <v>3.175E-2</v>
      </c>
      <c r="AE8" s="177">
        <f>+AE7+AD8</f>
        <v>4.895E-2</v>
      </c>
      <c r="AF8" s="177"/>
      <c r="AG8" s="177">
        <v>2.564E-2</v>
      </c>
      <c r="AH8" s="177">
        <f>+AH7+AG8</f>
        <v>3.848E-2</v>
      </c>
      <c r="AI8" s="177"/>
      <c r="AJ8" s="177">
        <f>1/3</f>
        <v>0.33333333333333331</v>
      </c>
      <c r="AK8" s="177">
        <f>+AK7+AJ8</f>
        <v>0.5</v>
      </c>
      <c r="AL8" s="177"/>
      <c r="AM8" s="177">
        <v>0.11719</v>
      </c>
      <c r="AN8" s="177">
        <f>+AN7+AM8</f>
        <v>0.17969000000000002</v>
      </c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</row>
    <row r="9" spans="1:144" x14ac:dyDescent="0.2">
      <c r="A9" s="172">
        <f t="shared" ref="A9:A46" si="0">+A8+1</f>
        <v>3</v>
      </c>
      <c r="C9" s="177">
        <v>0.14810000000000001</v>
      </c>
      <c r="D9" s="177">
        <f>+D8+C9</f>
        <v>0.92590000000000006</v>
      </c>
      <c r="E9" s="177"/>
      <c r="F9" s="177">
        <v>0.192</v>
      </c>
      <c r="G9" s="177">
        <f>+G8+F9</f>
        <v>0.71199999999999997</v>
      </c>
      <c r="H9" s="177"/>
      <c r="I9" s="177">
        <v>0.1749</v>
      </c>
      <c r="J9" s="177">
        <f t="shared" ref="J9:J14" si="1">+J8+I9</f>
        <v>0.56269999999999998</v>
      </c>
      <c r="K9" s="177"/>
      <c r="L9" s="177">
        <v>0.15364</v>
      </c>
      <c r="M9" s="177">
        <f t="shared" ref="M9:M16" si="2">+M8+L9</f>
        <v>0.46228000000000002</v>
      </c>
      <c r="N9" s="177"/>
      <c r="O9" s="177">
        <v>0.14399999999999999</v>
      </c>
      <c r="P9" s="177">
        <f t="shared" ref="P9:P17" si="3">+P8+O9</f>
        <v>0.42400000000000004</v>
      </c>
      <c r="Q9" s="177"/>
      <c r="R9" s="177">
        <v>0.1273</v>
      </c>
      <c r="S9" s="177">
        <f t="shared" ref="S9:S19" si="4">+S8+R9</f>
        <v>0.36339999999999995</v>
      </c>
      <c r="T9" s="177"/>
      <c r="U9" s="177">
        <v>8.5500000000000007E-2</v>
      </c>
      <c r="V9" s="177">
        <f t="shared" ref="V9:V22" si="5">+V8+U9</f>
        <v>0.23050000000000004</v>
      </c>
      <c r="W9" s="177"/>
      <c r="X9" s="177">
        <v>0.11794</v>
      </c>
      <c r="Y9" s="177">
        <f t="shared" ref="Y9:Y17" si="6">+Y8+X9</f>
        <v>0.33168999999999998</v>
      </c>
      <c r="Z9" s="177"/>
      <c r="AA9" s="177">
        <v>6.6769999999999996E-2</v>
      </c>
      <c r="AB9" s="177">
        <f t="shared" ref="AB9:AB24" si="7">+AB8+AA9</f>
        <v>0.17646000000000001</v>
      </c>
      <c r="AC9" s="177"/>
      <c r="AD9" s="177">
        <v>3.175E-2</v>
      </c>
      <c r="AE9" s="177">
        <f t="shared" ref="AE9:AE38" si="8">+AE8+AD9</f>
        <v>8.0699999999999994E-2</v>
      </c>
      <c r="AF9" s="177"/>
      <c r="AG9" s="177">
        <v>2.564E-2</v>
      </c>
      <c r="AH9" s="177">
        <f t="shared" ref="AH9:AH46" si="9">+AH8+AG9</f>
        <v>6.4119999999999996E-2</v>
      </c>
      <c r="AI9" s="177"/>
      <c r="AJ9" s="177">
        <f>1/3</f>
        <v>0.33333333333333331</v>
      </c>
      <c r="AK9" s="177">
        <f>+AK8+AJ9</f>
        <v>0.83333333333333326</v>
      </c>
      <c r="AL9" s="177"/>
      <c r="AM9" s="177">
        <v>0.10255</v>
      </c>
      <c r="AN9" s="177">
        <f t="shared" ref="AN9:AN19" si="10">+AN8+AM9</f>
        <v>0.28224000000000005</v>
      </c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</row>
    <row r="10" spans="1:144" x14ac:dyDescent="0.2">
      <c r="A10" s="172">
        <f t="shared" si="0"/>
        <v>4</v>
      </c>
      <c r="C10" s="177">
        <v>7.4099999999999999E-2</v>
      </c>
      <c r="D10" s="177">
        <f>+D9+C10</f>
        <v>1</v>
      </c>
      <c r="E10" s="177"/>
      <c r="F10" s="177">
        <v>0.1152</v>
      </c>
      <c r="G10" s="177">
        <f>+G9+F10</f>
        <v>0.82719999999999994</v>
      </c>
      <c r="H10" s="177"/>
      <c r="I10" s="177">
        <v>0.1249</v>
      </c>
      <c r="J10" s="177">
        <f t="shared" si="1"/>
        <v>0.68759999999999999</v>
      </c>
      <c r="K10" s="177"/>
      <c r="L10" s="177">
        <v>0.11949</v>
      </c>
      <c r="M10" s="177">
        <f t="shared" si="2"/>
        <v>0.58177000000000001</v>
      </c>
      <c r="N10" s="177"/>
      <c r="O10" s="177">
        <v>0.1152</v>
      </c>
      <c r="P10" s="177">
        <f t="shared" si="3"/>
        <v>0.53920000000000001</v>
      </c>
      <c r="Q10" s="177"/>
      <c r="R10" s="177">
        <v>0.1061</v>
      </c>
      <c r="S10" s="177">
        <f t="shared" si="4"/>
        <v>0.46949999999999992</v>
      </c>
      <c r="T10" s="177"/>
      <c r="U10" s="177">
        <v>7.6999999999999999E-2</v>
      </c>
      <c r="V10" s="177">
        <f t="shared" si="5"/>
        <v>0.30750000000000005</v>
      </c>
      <c r="W10" s="177"/>
      <c r="X10" s="177">
        <v>0.10025000000000001</v>
      </c>
      <c r="Y10" s="177">
        <f t="shared" si="6"/>
        <v>0.43193999999999999</v>
      </c>
      <c r="Z10" s="177"/>
      <c r="AA10" s="177">
        <v>6.1769999999999999E-2</v>
      </c>
      <c r="AB10" s="177">
        <f t="shared" si="7"/>
        <v>0.23823</v>
      </c>
      <c r="AC10" s="177"/>
      <c r="AD10" s="177">
        <v>3.175E-2</v>
      </c>
      <c r="AE10" s="177">
        <f t="shared" si="8"/>
        <v>0.11244999999999999</v>
      </c>
      <c r="AF10" s="177"/>
      <c r="AG10" s="177">
        <v>2.564E-2</v>
      </c>
      <c r="AH10" s="177">
        <f t="shared" si="9"/>
        <v>8.9759999999999993E-2</v>
      </c>
      <c r="AI10" s="177"/>
      <c r="AJ10" s="177">
        <f>1/3/2</f>
        <v>0.16666666666666666</v>
      </c>
      <c r="AK10" s="177">
        <f>+AK9+AJ10</f>
        <v>0.99999999999999989</v>
      </c>
      <c r="AL10" s="177"/>
      <c r="AM10" s="177">
        <v>8.9730000000000004E-2</v>
      </c>
      <c r="AN10" s="177">
        <f t="shared" si="10"/>
        <v>0.37197000000000002</v>
      </c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</row>
    <row r="11" spans="1:144" x14ac:dyDescent="0.2">
      <c r="A11" s="172">
        <f t="shared" si="0"/>
        <v>5</v>
      </c>
      <c r="C11" s="177"/>
      <c r="D11" s="177"/>
      <c r="E11" s="177"/>
      <c r="F11" s="177">
        <v>0.1152</v>
      </c>
      <c r="G11" s="177">
        <f>+G10+F11</f>
        <v>0.9423999999999999</v>
      </c>
      <c r="H11" s="177"/>
      <c r="I11" s="177">
        <v>8.9300000000000004E-2</v>
      </c>
      <c r="J11" s="177">
        <f t="shared" si="1"/>
        <v>0.77690000000000003</v>
      </c>
      <c r="K11" s="177"/>
      <c r="L11" s="177">
        <v>9.2939999999999995E-2</v>
      </c>
      <c r="M11" s="177">
        <f t="shared" si="2"/>
        <v>0.67471000000000003</v>
      </c>
      <c r="N11" s="177"/>
      <c r="O11" s="177">
        <v>9.2200000000000004E-2</v>
      </c>
      <c r="P11" s="177">
        <f t="shared" si="3"/>
        <v>0.63139999999999996</v>
      </c>
      <c r="Q11" s="177"/>
      <c r="R11" s="177">
        <v>8.8400000000000006E-2</v>
      </c>
      <c r="S11" s="177">
        <f t="shared" si="4"/>
        <v>0.55789999999999995</v>
      </c>
      <c r="T11" s="177"/>
      <c r="U11" s="177">
        <v>6.93E-2</v>
      </c>
      <c r="V11" s="177">
        <f t="shared" si="5"/>
        <v>0.37680000000000002</v>
      </c>
      <c r="W11" s="177"/>
      <c r="X11" s="177">
        <v>8.7389999999999995E-2</v>
      </c>
      <c r="Y11" s="177">
        <f t="shared" si="6"/>
        <v>0.51932999999999996</v>
      </c>
      <c r="Z11" s="177"/>
      <c r="AA11" s="177">
        <v>5.713E-2</v>
      </c>
      <c r="AB11" s="177">
        <f t="shared" si="7"/>
        <v>0.29536000000000001</v>
      </c>
      <c r="AC11" s="177"/>
      <c r="AD11" s="177">
        <v>3.175E-2</v>
      </c>
      <c r="AE11" s="177">
        <f t="shared" si="8"/>
        <v>0.14419999999999999</v>
      </c>
      <c r="AF11" s="177"/>
      <c r="AG11" s="177">
        <v>2.564E-2</v>
      </c>
      <c r="AH11" s="177">
        <f t="shared" si="9"/>
        <v>0.11539999999999999</v>
      </c>
      <c r="AI11" s="177"/>
      <c r="AJ11" s="177"/>
      <c r="AK11" s="177"/>
      <c r="AL11" s="177"/>
      <c r="AM11" s="177">
        <v>7.8520000000000006E-2</v>
      </c>
      <c r="AN11" s="177">
        <f t="shared" si="10"/>
        <v>0.45049000000000006</v>
      </c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</row>
    <row r="12" spans="1:144" x14ac:dyDescent="0.2">
      <c r="A12" s="172">
        <f t="shared" si="0"/>
        <v>6</v>
      </c>
      <c r="C12" s="177"/>
      <c r="D12" s="177"/>
      <c r="E12" s="177"/>
      <c r="F12" s="177">
        <v>5.7599999999999998E-2</v>
      </c>
      <c r="G12" s="177">
        <f>+G11+F12</f>
        <v>0.99999999999999989</v>
      </c>
      <c r="H12" s="177"/>
      <c r="I12" s="177">
        <v>8.9200000000000002E-2</v>
      </c>
      <c r="J12" s="177">
        <f t="shared" si="1"/>
        <v>0.86610000000000009</v>
      </c>
      <c r="K12" s="177"/>
      <c r="L12" s="177">
        <v>7.2289999999999993E-2</v>
      </c>
      <c r="M12" s="177">
        <f t="shared" si="2"/>
        <v>0.747</v>
      </c>
      <c r="N12" s="177"/>
      <c r="O12" s="177">
        <v>7.3700000000000002E-2</v>
      </c>
      <c r="P12" s="177">
        <f t="shared" si="3"/>
        <v>0.70509999999999995</v>
      </c>
      <c r="Q12" s="177"/>
      <c r="R12" s="177">
        <v>7.3700000000000002E-2</v>
      </c>
      <c r="S12" s="177">
        <f t="shared" si="4"/>
        <v>0.63159999999999994</v>
      </c>
      <c r="T12" s="177"/>
      <c r="U12" s="177">
        <v>6.2300000000000001E-2</v>
      </c>
      <c r="V12" s="177">
        <f t="shared" si="5"/>
        <v>0.43910000000000005</v>
      </c>
      <c r="W12" s="177"/>
      <c r="X12" s="177">
        <v>8.7389999999999995E-2</v>
      </c>
      <c r="Y12" s="177">
        <f t="shared" si="6"/>
        <v>0.60671999999999993</v>
      </c>
      <c r="Z12" s="177"/>
      <c r="AA12" s="177">
        <v>5.2850000000000001E-2</v>
      </c>
      <c r="AB12" s="177">
        <f t="shared" si="7"/>
        <v>0.34821000000000002</v>
      </c>
      <c r="AC12" s="177"/>
      <c r="AD12" s="177">
        <v>3.175E-2</v>
      </c>
      <c r="AE12" s="177">
        <f t="shared" si="8"/>
        <v>0.17595</v>
      </c>
      <c r="AF12" s="177"/>
      <c r="AG12" s="177">
        <v>2.564E-2</v>
      </c>
      <c r="AH12" s="177">
        <f t="shared" si="9"/>
        <v>0.14104</v>
      </c>
      <c r="AI12" s="177"/>
      <c r="AJ12" s="177"/>
      <c r="AK12" s="177"/>
      <c r="AL12" s="177"/>
      <c r="AM12" s="177">
        <v>7.3270000000000002E-2</v>
      </c>
      <c r="AN12" s="177">
        <f t="shared" si="10"/>
        <v>0.52376</v>
      </c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</row>
    <row r="13" spans="1:144" x14ac:dyDescent="0.2">
      <c r="A13" s="172">
        <f t="shared" si="0"/>
        <v>7</v>
      </c>
      <c r="C13" s="177"/>
      <c r="D13" s="177"/>
      <c r="E13" s="177"/>
      <c r="F13" s="177"/>
      <c r="G13" s="177"/>
      <c r="H13" s="177"/>
      <c r="I13" s="177">
        <v>8.9300000000000004E-2</v>
      </c>
      <c r="J13" s="177">
        <f t="shared" si="1"/>
        <v>0.95540000000000014</v>
      </c>
      <c r="K13" s="177"/>
      <c r="L13" s="177">
        <v>7.2279999999999997E-2</v>
      </c>
      <c r="M13" s="177">
        <f t="shared" si="2"/>
        <v>0.81928000000000001</v>
      </c>
      <c r="N13" s="177"/>
      <c r="O13" s="177">
        <v>6.5500000000000003E-2</v>
      </c>
      <c r="P13" s="177">
        <f t="shared" si="3"/>
        <v>0.77059999999999995</v>
      </c>
      <c r="Q13" s="177"/>
      <c r="R13" s="177">
        <v>6.1400000000000003E-2</v>
      </c>
      <c r="S13" s="177">
        <f t="shared" si="4"/>
        <v>0.69299999999999995</v>
      </c>
      <c r="T13" s="177"/>
      <c r="U13" s="177">
        <v>5.8999999999999997E-2</v>
      </c>
      <c r="V13" s="177">
        <f t="shared" si="5"/>
        <v>0.49810000000000004</v>
      </c>
      <c r="W13" s="177"/>
      <c r="X13" s="177">
        <v>8.7389999999999995E-2</v>
      </c>
      <c r="Y13" s="177">
        <f t="shared" si="6"/>
        <v>0.69410999999999989</v>
      </c>
      <c r="Z13" s="177"/>
      <c r="AA13" s="177">
        <v>4.888E-2</v>
      </c>
      <c r="AB13" s="177">
        <f t="shared" si="7"/>
        <v>0.39709</v>
      </c>
      <c r="AC13" s="177"/>
      <c r="AD13" s="177">
        <v>3.175E-2</v>
      </c>
      <c r="AE13" s="177">
        <f t="shared" si="8"/>
        <v>0.2077</v>
      </c>
      <c r="AF13" s="177"/>
      <c r="AG13" s="177">
        <v>2.564E-2</v>
      </c>
      <c r="AH13" s="177">
        <f t="shared" si="9"/>
        <v>0.16667999999999999</v>
      </c>
      <c r="AI13" s="177"/>
      <c r="AJ13" s="177"/>
      <c r="AK13" s="177"/>
      <c r="AL13" s="177"/>
      <c r="AM13" s="177">
        <v>7.3270000000000002E-2</v>
      </c>
      <c r="AN13" s="177">
        <f t="shared" si="10"/>
        <v>0.59702999999999995</v>
      </c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</row>
    <row r="14" spans="1:144" x14ac:dyDescent="0.2">
      <c r="A14" s="172">
        <f t="shared" si="0"/>
        <v>8</v>
      </c>
      <c r="C14" s="177"/>
      <c r="D14" s="177"/>
      <c r="E14" s="177"/>
      <c r="F14" s="177"/>
      <c r="G14" s="177"/>
      <c r="H14" s="177"/>
      <c r="I14" s="177">
        <v>4.4600000000000001E-2</v>
      </c>
      <c r="J14" s="177">
        <f t="shared" si="1"/>
        <v>1.0000000000000002</v>
      </c>
      <c r="K14" s="177"/>
      <c r="L14" s="177">
        <v>7.2289999999999993E-2</v>
      </c>
      <c r="M14" s="177">
        <f t="shared" si="2"/>
        <v>0.89156999999999997</v>
      </c>
      <c r="N14" s="177"/>
      <c r="O14" s="177">
        <v>6.5500000000000003E-2</v>
      </c>
      <c r="P14" s="177">
        <f t="shared" si="3"/>
        <v>0.83609999999999995</v>
      </c>
      <c r="Q14" s="177"/>
      <c r="R14" s="177">
        <v>5.5800000000000002E-2</v>
      </c>
      <c r="S14" s="177">
        <f t="shared" si="4"/>
        <v>0.74879999999999991</v>
      </c>
      <c r="T14" s="177"/>
      <c r="U14" s="177">
        <v>5.8999999999999997E-2</v>
      </c>
      <c r="V14" s="177">
        <f t="shared" si="5"/>
        <v>0.55710000000000004</v>
      </c>
      <c r="W14" s="177"/>
      <c r="X14" s="177">
        <v>8.7389999999999995E-2</v>
      </c>
      <c r="Y14" s="177">
        <f t="shared" si="6"/>
        <v>0.78149999999999986</v>
      </c>
      <c r="Z14" s="177"/>
      <c r="AA14" s="177">
        <v>4.5220000000000003E-2</v>
      </c>
      <c r="AB14" s="177">
        <f t="shared" si="7"/>
        <v>0.44230999999999998</v>
      </c>
      <c r="AC14" s="177"/>
      <c r="AD14" s="177">
        <v>3.1739999999999997E-2</v>
      </c>
      <c r="AE14" s="177">
        <f t="shared" si="8"/>
        <v>0.23943999999999999</v>
      </c>
      <c r="AF14" s="177"/>
      <c r="AG14" s="177">
        <v>2.564E-2</v>
      </c>
      <c r="AH14" s="177">
        <f t="shared" si="9"/>
        <v>0.19231999999999999</v>
      </c>
      <c r="AI14" s="177"/>
      <c r="AJ14" s="177"/>
      <c r="AK14" s="177"/>
      <c r="AL14" s="177"/>
      <c r="AM14" s="177">
        <v>7.3270000000000002E-2</v>
      </c>
      <c r="AN14" s="177">
        <f t="shared" si="10"/>
        <v>0.6702999999999999</v>
      </c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</row>
    <row r="15" spans="1:144" x14ac:dyDescent="0.2">
      <c r="A15" s="172">
        <f t="shared" si="0"/>
        <v>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>
        <v>7.2289999999999993E-2</v>
      </c>
      <c r="M15" s="177">
        <f t="shared" si="2"/>
        <v>0.96385999999999994</v>
      </c>
      <c r="N15" s="177"/>
      <c r="O15" s="177">
        <v>6.5600000000000006E-2</v>
      </c>
      <c r="P15" s="177">
        <f t="shared" si="3"/>
        <v>0.90169999999999995</v>
      </c>
      <c r="Q15" s="177"/>
      <c r="R15" s="177">
        <v>5.5800000000000002E-2</v>
      </c>
      <c r="S15" s="177">
        <f t="shared" si="4"/>
        <v>0.80459999999999987</v>
      </c>
      <c r="T15" s="177"/>
      <c r="U15" s="177">
        <v>5.91E-2</v>
      </c>
      <c r="V15" s="177">
        <f t="shared" si="5"/>
        <v>0.61620000000000008</v>
      </c>
      <c r="W15" s="177"/>
      <c r="X15" s="177">
        <v>8.7389999999999995E-2</v>
      </c>
      <c r="Y15" s="177">
        <f t="shared" si="6"/>
        <v>0.86888999999999983</v>
      </c>
      <c r="Z15" s="177"/>
      <c r="AA15" s="177">
        <v>4.462E-2</v>
      </c>
      <c r="AB15" s="177">
        <f t="shared" si="7"/>
        <v>0.48692999999999997</v>
      </c>
      <c r="AC15" s="177"/>
      <c r="AD15" s="177">
        <v>3.175E-2</v>
      </c>
      <c r="AE15" s="177">
        <f t="shared" si="8"/>
        <v>0.27118999999999999</v>
      </c>
      <c r="AF15" s="177"/>
      <c r="AG15" s="177">
        <v>2.564E-2</v>
      </c>
      <c r="AH15" s="177">
        <f t="shared" si="9"/>
        <v>0.21795999999999999</v>
      </c>
      <c r="AI15" s="177"/>
      <c r="AJ15" s="177"/>
      <c r="AK15" s="177"/>
      <c r="AL15" s="177"/>
      <c r="AM15" s="177">
        <v>7.3270000000000002E-2</v>
      </c>
      <c r="AN15" s="177">
        <f t="shared" si="10"/>
        <v>0.74356999999999984</v>
      </c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</row>
    <row r="16" spans="1:144" x14ac:dyDescent="0.2">
      <c r="A16" s="172">
        <f t="shared" si="0"/>
        <v>10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>
        <v>3.6139999999999999E-2</v>
      </c>
      <c r="M16" s="177">
        <f t="shared" si="2"/>
        <v>0.99999999999999989</v>
      </c>
      <c r="N16" s="177"/>
      <c r="O16" s="177">
        <v>6.5500000000000003E-2</v>
      </c>
      <c r="P16" s="177">
        <f t="shared" si="3"/>
        <v>0.96719999999999995</v>
      </c>
      <c r="Q16" s="177"/>
      <c r="R16" s="177">
        <v>5.5899999999999998E-2</v>
      </c>
      <c r="S16" s="177">
        <f t="shared" si="4"/>
        <v>0.86049999999999982</v>
      </c>
      <c r="T16" s="177"/>
      <c r="U16" s="177">
        <v>5.8999999999999997E-2</v>
      </c>
      <c r="V16" s="177">
        <f t="shared" si="5"/>
        <v>0.67520000000000002</v>
      </c>
      <c r="W16" s="177"/>
      <c r="X16" s="177">
        <v>8.7389999999999995E-2</v>
      </c>
      <c r="Y16" s="177">
        <f t="shared" si="6"/>
        <v>0.9562799999999998</v>
      </c>
      <c r="Z16" s="177"/>
      <c r="AA16" s="177">
        <v>4.4609999999999997E-2</v>
      </c>
      <c r="AB16" s="177">
        <f t="shared" si="7"/>
        <v>0.53154000000000001</v>
      </c>
      <c r="AC16" s="177"/>
      <c r="AD16" s="177">
        <v>3.1739999999999997E-2</v>
      </c>
      <c r="AE16" s="177">
        <f t="shared" si="8"/>
        <v>0.30292999999999998</v>
      </c>
      <c r="AF16" s="177"/>
      <c r="AG16" s="177">
        <v>2.564E-2</v>
      </c>
      <c r="AH16" s="177">
        <f t="shared" si="9"/>
        <v>0.24359999999999998</v>
      </c>
      <c r="AI16" s="177"/>
      <c r="AJ16" s="177"/>
      <c r="AK16" s="177"/>
      <c r="AL16" s="177"/>
      <c r="AM16" s="177">
        <v>7.3270000000000002E-2</v>
      </c>
      <c r="AN16" s="177">
        <f t="shared" si="10"/>
        <v>0.81683999999999979</v>
      </c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</row>
    <row r="17" spans="1:144" x14ac:dyDescent="0.2">
      <c r="A17" s="172">
        <f t="shared" si="0"/>
        <v>11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>
        <v>3.2800000000000003E-2</v>
      </c>
      <c r="P17" s="177">
        <f t="shared" si="3"/>
        <v>1</v>
      </c>
      <c r="Q17" s="177"/>
      <c r="R17" s="177">
        <v>5.5800000000000002E-2</v>
      </c>
      <c r="S17" s="177">
        <f t="shared" si="4"/>
        <v>0.91629999999999978</v>
      </c>
      <c r="T17" s="177"/>
      <c r="U17" s="177">
        <v>5.91E-2</v>
      </c>
      <c r="V17" s="177">
        <f t="shared" si="5"/>
        <v>0.73430000000000006</v>
      </c>
      <c r="W17" s="177"/>
      <c r="X17" s="177">
        <v>4.3720000000000002E-2</v>
      </c>
      <c r="Y17" s="177">
        <f t="shared" si="6"/>
        <v>0.99999999999999978</v>
      </c>
      <c r="Z17" s="177"/>
      <c r="AA17" s="177">
        <v>4.462E-2</v>
      </c>
      <c r="AB17" s="177">
        <f t="shared" si="7"/>
        <v>0.57616000000000001</v>
      </c>
      <c r="AC17" s="177"/>
      <c r="AD17" s="177">
        <v>3.175E-2</v>
      </c>
      <c r="AE17" s="177">
        <f t="shared" si="8"/>
        <v>0.33467999999999998</v>
      </c>
      <c r="AF17" s="177"/>
      <c r="AG17" s="177">
        <v>2.564E-2</v>
      </c>
      <c r="AH17" s="177">
        <f t="shared" si="9"/>
        <v>0.26923999999999998</v>
      </c>
      <c r="AI17" s="177"/>
      <c r="AJ17" s="177"/>
      <c r="AK17" s="177"/>
      <c r="AL17" s="177"/>
      <c r="AM17" s="177">
        <v>7.3270000000000002E-2</v>
      </c>
      <c r="AN17" s="177">
        <f t="shared" si="10"/>
        <v>0.89010999999999973</v>
      </c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</row>
    <row r="18" spans="1:144" x14ac:dyDescent="0.2">
      <c r="A18" s="172">
        <f t="shared" si="0"/>
        <v>12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>
        <v>5.5800000000000002E-2</v>
      </c>
      <c r="S18" s="177">
        <f t="shared" si="4"/>
        <v>0.97209999999999974</v>
      </c>
      <c r="T18" s="177"/>
      <c r="U18" s="177">
        <v>5.8999999999999997E-2</v>
      </c>
      <c r="V18" s="177">
        <f t="shared" si="5"/>
        <v>0.79330000000000012</v>
      </c>
      <c r="W18" s="177"/>
      <c r="X18" s="177"/>
      <c r="Y18" s="177"/>
      <c r="Z18" s="177"/>
      <c r="AA18" s="177">
        <v>4.4609999999999997E-2</v>
      </c>
      <c r="AB18" s="177">
        <f t="shared" si="7"/>
        <v>0.62077000000000004</v>
      </c>
      <c r="AC18" s="177"/>
      <c r="AD18" s="177">
        <v>3.1739999999999997E-2</v>
      </c>
      <c r="AE18" s="177">
        <f t="shared" si="8"/>
        <v>0.36641999999999997</v>
      </c>
      <c r="AF18" s="177"/>
      <c r="AG18" s="177">
        <v>2.564E-2</v>
      </c>
      <c r="AH18" s="177">
        <f t="shared" si="9"/>
        <v>0.29487999999999998</v>
      </c>
      <c r="AI18" s="177"/>
      <c r="AJ18" s="177"/>
      <c r="AK18" s="177"/>
      <c r="AL18" s="177"/>
      <c r="AM18" s="177">
        <v>7.3270000000000002E-2</v>
      </c>
      <c r="AN18" s="177">
        <f t="shared" si="10"/>
        <v>0.96337999999999968</v>
      </c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</row>
    <row r="19" spans="1:144" x14ac:dyDescent="0.2">
      <c r="A19" s="172">
        <f t="shared" si="0"/>
        <v>13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>
        <v>2.7900000000000001E-2</v>
      </c>
      <c r="S19" s="177">
        <f t="shared" si="4"/>
        <v>0.99999999999999978</v>
      </c>
      <c r="T19" s="177"/>
      <c r="U19" s="177">
        <v>5.91E-2</v>
      </c>
      <c r="V19" s="177">
        <f t="shared" si="5"/>
        <v>0.85240000000000016</v>
      </c>
      <c r="W19" s="177"/>
      <c r="X19" s="177"/>
      <c r="Y19" s="177"/>
      <c r="Z19" s="177"/>
      <c r="AA19" s="177">
        <v>4.462E-2</v>
      </c>
      <c r="AB19" s="177">
        <f t="shared" si="7"/>
        <v>0.66539000000000004</v>
      </c>
      <c r="AC19" s="177"/>
      <c r="AD19" s="177">
        <v>3.175E-2</v>
      </c>
      <c r="AE19" s="177">
        <f t="shared" si="8"/>
        <v>0.39816999999999997</v>
      </c>
      <c r="AF19" s="177"/>
      <c r="AG19" s="177">
        <v>2.564E-2</v>
      </c>
      <c r="AH19" s="177">
        <f t="shared" si="9"/>
        <v>0.32051999999999997</v>
      </c>
      <c r="AI19" s="177"/>
      <c r="AJ19" s="177"/>
      <c r="AK19" s="177"/>
      <c r="AL19" s="177"/>
      <c r="AM19" s="177">
        <v>3.662E-2</v>
      </c>
      <c r="AN19" s="177">
        <f t="shared" si="10"/>
        <v>0.99999999999999967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</row>
    <row r="20" spans="1:144" x14ac:dyDescent="0.2">
      <c r="A20" s="172">
        <f t="shared" si="0"/>
        <v>14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>
        <v>5.8999999999999997E-2</v>
      </c>
      <c r="V20" s="177">
        <f t="shared" si="5"/>
        <v>0.91140000000000021</v>
      </c>
      <c r="W20" s="177"/>
      <c r="X20" s="177"/>
      <c r="Y20" s="177"/>
      <c r="Z20" s="177"/>
      <c r="AA20" s="177">
        <v>4.4609999999999997E-2</v>
      </c>
      <c r="AB20" s="177">
        <f t="shared" si="7"/>
        <v>0.71000000000000008</v>
      </c>
      <c r="AC20" s="177"/>
      <c r="AD20" s="177">
        <v>3.1739999999999997E-2</v>
      </c>
      <c r="AE20" s="177">
        <f t="shared" si="8"/>
        <v>0.42990999999999996</v>
      </c>
      <c r="AF20" s="177"/>
      <c r="AG20" s="177">
        <v>2.564E-2</v>
      </c>
      <c r="AH20" s="177">
        <f t="shared" si="9"/>
        <v>0.34615999999999997</v>
      </c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</row>
    <row r="21" spans="1:144" x14ac:dyDescent="0.2">
      <c r="A21" s="172">
        <f t="shared" si="0"/>
        <v>15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>
        <v>5.91E-2</v>
      </c>
      <c r="V21" s="177">
        <f t="shared" si="5"/>
        <v>0.97050000000000025</v>
      </c>
      <c r="W21" s="177"/>
      <c r="X21" s="177"/>
      <c r="Y21" s="177"/>
      <c r="Z21" s="177"/>
      <c r="AA21" s="177">
        <v>4.462E-2</v>
      </c>
      <c r="AB21" s="177">
        <f t="shared" si="7"/>
        <v>0.75462000000000007</v>
      </c>
      <c r="AC21" s="177"/>
      <c r="AD21" s="177">
        <v>3.175E-2</v>
      </c>
      <c r="AE21" s="177">
        <f t="shared" si="8"/>
        <v>0.46165999999999996</v>
      </c>
      <c r="AF21" s="177"/>
      <c r="AG21" s="177">
        <v>2.564E-2</v>
      </c>
      <c r="AH21" s="177">
        <f t="shared" si="9"/>
        <v>0.37179999999999996</v>
      </c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</row>
    <row r="22" spans="1:144" x14ac:dyDescent="0.2">
      <c r="A22" s="172">
        <f t="shared" si="0"/>
        <v>16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>
        <v>2.9499999999999998E-2</v>
      </c>
      <c r="V22" s="177">
        <f t="shared" si="5"/>
        <v>1.0000000000000002</v>
      </c>
      <c r="W22" s="177"/>
      <c r="X22" s="177"/>
      <c r="Y22" s="177"/>
      <c r="Z22" s="177"/>
      <c r="AA22" s="177">
        <v>4.4609999999999997E-2</v>
      </c>
      <c r="AB22" s="177">
        <f t="shared" si="7"/>
        <v>0.79923000000000011</v>
      </c>
      <c r="AC22" s="177"/>
      <c r="AD22" s="177">
        <v>3.1739999999999997E-2</v>
      </c>
      <c r="AE22" s="177">
        <f t="shared" si="8"/>
        <v>0.49339999999999995</v>
      </c>
      <c r="AF22" s="177"/>
      <c r="AG22" s="177">
        <v>2.564E-2</v>
      </c>
      <c r="AH22" s="177">
        <f t="shared" si="9"/>
        <v>0.39743999999999996</v>
      </c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</row>
    <row r="23" spans="1:144" x14ac:dyDescent="0.2">
      <c r="A23" s="172">
        <f t="shared" si="0"/>
        <v>17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>
        <v>4.462E-2</v>
      </c>
      <c r="AB23" s="177">
        <f t="shared" si="7"/>
        <v>0.8438500000000001</v>
      </c>
      <c r="AC23" s="177"/>
      <c r="AD23" s="177">
        <v>3.175E-2</v>
      </c>
      <c r="AE23" s="177">
        <f t="shared" si="8"/>
        <v>0.52515000000000001</v>
      </c>
      <c r="AF23" s="177"/>
      <c r="AG23" s="177">
        <v>2.564E-2</v>
      </c>
      <c r="AH23" s="177">
        <f t="shared" si="9"/>
        <v>0.42307999999999996</v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</row>
    <row r="24" spans="1:144" x14ac:dyDescent="0.2">
      <c r="A24" s="172">
        <f t="shared" si="0"/>
        <v>18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>
        <v>4.4609999999999997E-2</v>
      </c>
      <c r="AB24" s="177">
        <f t="shared" si="7"/>
        <v>0.88846000000000014</v>
      </c>
      <c r="AC24" s="177"/>
      <c r="AD24" s="177">
        <v>3.1739999999999997E-2</v>
      </c>
      <c r="AE24" s="177">
        <f t="shared" si="8"/>
        <v>0.55689</v>
      </c>
      <c r="AF24" s="177"/>
      <c r="AG24" s="177">
        <v>2.564E-2</v>
      </c>
      <c r="AH24" s="177">
        <f t="shared" si="9"/>
        <v>0.44871999999999995</v>
      </c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</row>
    <row r="25" spans="1:144" x14ac:dyDescent="0.2">
      <c r="A25" s="172">
        <f t="shared" si="0"/>
        <v>19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>
        <v>4.462E-2</v>
      </c>
      <c r="AB25" s="177">
        <f>+AB24+AA25</f>
        <v>0.93308000000000013</v>
      </c>
      <c r="AC25" s="177"/>
      <c r="AD25" s="177">
        <v>3.175E-2</v>
      </c>
      <c r="AE25" s="177">
        <f t="shared" si="8"/>
        <v>0.58864000000000005</v>
      </c>
      <c r="AF25" s="177"/>
      <c r="AG25" s="177">
        <v>2.564E-2</v>
      </c>
      <c r="AH25" s="177">
        <f t="shared" si="9"/>
        <v>0.47435999999999995</v>
      </c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</row>
    <row r="26" spans="1:144" x14ac:dyDescent="0.2">
      <c r="A26" s="172">
        <f t="shared" si="0"/>
        <v>20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>
        <v>4.4609999999999997E-2</v>
      </c>
      <c r="AB26" s="177">
        <f>+AB25+AA26</f>
        <v>0.97769000000000017</v>
      </c>
      <c r="AC26" s="177"/>
      <c r="AD26" s="177">
        <v>3.1739999999999997E-2</v>
      </c>
      <c r="AE26" s="177">
        <f t="shared" si="8"/>
        <v>0.62038000000000004</v>
      </c>
      <c r="AF26" s="177"/>
      <c r="AG26" s="177">
        <v>2.564E-2</v>
      </c>
      <c r="AH26" s="177">
        <f t="shared" si="9"/>
        <v>0.49999999999999994</v>
      </c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</row>
    <row r="27" spans="1:144" x14ac:dyDescent="0.2">
      <c r="A27" s="172">
        <f t="shared" si="0"/>
        <v>21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>
        <v>2.231E-2</v>
      </c>
      <c r="AB27" s="177">
        <f>+AB26+AA27</f>
        <v>1.0000000000000002</v>
      </c>
      <c r="AC27" s="177"/>
      <c r="AD27" s="177">
        <v>3.175E-2</v>
      </c>
      <c r="AE27" s="177">
        <f t="shared" si="8"/>
        <v>0.6521300000000001</v>
      </c>
      <c r="AF27" s="177"/>
      <c r="AG27" s="177">
        <v>2.564E-2</v>
      </c>
      <c r="AH27" s="177">
        <f t="shared" si="9"/>
        <v>0.52564</v>
      </c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</row>
    <row r="28" spans="1:144" x14ac:dyDescent="0.2">
      <c r="A28" s="172">
        <f t="shared" si="0"/>
        <v>22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>
        <v>3.1739999999999997E-2</v>
      </c>
      <c r="AE28" s="177">
        <f t="shared" si="8"/>
        <v>0.68387000000000009</v>
      </c>
      <c r="AF28" s="177"/>
      <c r="AG28" s="177">
        <v>2.564E-2</v>
      </c>
      <c r="AH28" s="177">
        <f t="shared" si="9"/>
        <v>0.55127999999999999</v>
      </c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</row>
    <row r="29" spans="1:144" x14ac:dyDescent="0.2">
      <c r="A29" s="172">
        <f t="shared" si="0"/>
        <v>23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>
        <v>3.175E-2</v>
      </c>
      <c r="AE29" s="177">
        <f t="shared" si="8"/>
        <v>0.71562000000000014</v>
      </c>
      <c r="AF29" s="177"/>
      <c r="AG29" s="177">
        <v>2.564E-2</v>
      </c>
      <c r="AH29" s="177">
        <f t="shared" si="9"/>
        <v>0.57691999999999999</v>
      </c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</row>
    <row r="30" spans="1:144" x14ac:dyDescent="0.2">
      <c r="A30" s="172">
        <f t="shared" si="0"/>
        <v>24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>
        <v>3.1739999999999997E-2</v>
      </c>
      <c r="AE30" s="177">
        <f t="shared" si="8"/>
        <v>0.74736000000000014</v>
      </c>
      <c r="AF30" s="177"/>
      <c r="AG30" s="177">
        <v>2.564E-2</v>
      </c>
      <c r="AH30" s="177">
        <f t="shared" si="9"/>
        <v>0.60255999999999998</v>
      </c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</row>
    <row r="31" spans="1:144" x14ac:dyDescent="0.2">
      <c r="A31" s="172">
        <f t="shared" si="0"/>
        <v>25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>
        <v>3.175E-2</v>
      </c>
      <c r="AE31" s="177">
        <f t="shared" si="8"/>
        <v>0.77911000000000019</v>
      </c>
      <c r="AF31" s="177"/>
      <c r="AG31" s="177">
        <v>2.564E-2</v>
      </c>
      <c r="AH31" s="177">
        <f t="shared" si="9"/>
        <v>0.62819999999999998</v>
      </c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</row>
    <row r="32" spans="1:144" x14ac:dyDescent="0.2">
      <c r="A32" s="172">
        <f t="shared" si="0"/>
        <v>26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>
        <v>3.1739999999999997E-2</v>
      </c>
      <c r="AE32" s="177">
        <f t="shared" si="8"/>
        <v>0.81085000000000018</v>
      </c>
      <c r="AF32" s="177"/>
      <c r="AG32" s="177">
        <v>2.564E-2</v>
      </c>
      <c r="AH32" s="177">
        <f t="shared" si="9"/>
        <v>0.65383999999999998</v>
      </c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</row>
    <row r="33" spans="1:144" x14ac:dyDescent="0.2">
      <c r="A33" s="172">
        <f t="shared" si="0"/>
        <v>27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>
        <v>3.175E-2</v>
      </c>
      <c r="AE33" s="177">
        <f t="shared" si="8"/>
        <v>0.84260000000000024</v>
      </c>
      <c r="AF33" s="177"/>
      <c r="AG33" s="177">
        <v>2.564E-2</v>
      </c>
      <c r="AH33" s="177">
        <f t="shared" si="9"/>
        <v>0.67947999999999997</v>
      </c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</row>
    <row r="34" spans="1:144" x14ac:dyDescent="0.2">
      <c r="A34" s="172">
        <f t="shared" si="0"/>
        <v>28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>
        <v>3.1739999999999997E-2</v>
      </c>
      <c r="AE34" s="177">
        <f t="shared" si="8"/>
        <v>0.87434000000000023</v>
      </c>
      <c r="AF34" s="177"/>
      <c r="AG34" s="177">
        <v>2.564E-2</v>
      </c>
      <c r="AH34" s="177">
        <f t="shared" si="9"/>
        <v>0.70511999999999997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</row>
    <row r="35" spans="1:144" x14ac:dyDescent="0.2">
      <c r="A35" s="172">
        <f t="shared" si="0"/>
        <v>29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>
        <v>3.175E-2</v>
      </c>
      <c r="AE35" s="177">
        <f t="shared" si="8"/>
        <v>0.90609000000000028</v>
      </c>
      <c r="AF35" s="177"/>
      <c r="AG35" s="177">
        <v>2.564E-2</v>
      </c>
      <c r="AH35" s="177">
        <f t="shared" si="9"/>
        <v>0.73075999999999997</v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</row>
    <row r="36" spans="1:144" x14ac:dyDescent="0.2">
      <c r="A36" s="172">
        <f t="shared" si="0"/>
        <v>30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>
        <v>3.1739999999999997E-2</v>
      </c>
      <c r="AE36" s="177">
        <f t="shared" si="8"/>
        <v>0.93783000000000027</v>
      </c>
      <c r="AF36" s="177"/>
      <c r="AG36" s="177">
        <v>2.564E-2</v>
      </c>
      <c r="AH36" s="177">
        <f t="shared" si="9"/>
        <v>0.75639999999999996</v>
      </c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</row>
    <row r="37" spans="1:144" x14ac:dyDescent="0.2">
      <c r="A37" s="172">
        <f t="shared" si="0"/>
        <v>31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>
        <v>3.175E-2</v>
      </c>
      <c r="AE37" s="177">
        <f t="shared" si="8"/>
        <v>0.96958000000000033</v>
      </c>
      <c r="AF37" s="177"/>
      <c r="AG37" s="177">
        <v>2.564E-2</v>
      </c>
      <c r="AH37" s="177">
        <f t="shared" si="9"/>
        <v>0.78203999999999996</v>
      </c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</row>
    <row r="38" spans="1:144" x14ac:dyDescent="0.2">
      <c r="A38" s="172">
        <f t="shared" si="0"/>
        <v>32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>
        <v>3.0419999999999999E-2</v>
      </c>
      <c r="AE38" s="177">
        <f t="shared" si="8"/>
        <v>1.0000000000000002</v>
      </c>
      <c r="AF38" s="177"/>
      <c r="AG38" s="177">
        <v>2.564E-2</v>
      </c>
      <c r="AH38" s="177">
        <f t="shared" si="9"/>
        <v>0.80767999999999995</v>
      </c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</row>
    <row r="39" spans="1:144" x14ac:dyDescent="0.2">
      <c r="A39" s="172">
        <f t="shared" si="0"/>
        <v>33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>
        <v>2.564E-2</v>
      </c>
      <c r="AH39" s="177">
        <f t="shared" si="9"/>
        <v>0.83331999999999995</v>
      </c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</row>
    <row r="40" spans="1:144" x14ac:dyDescent="0.2">
      <c r="A40" s="172">
        <f t="shared" si="0"/>
        <v>34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>
        <v>2.564E-2</v>
      </c>
      <c r="AH40" s="177">
        <f t="shared" si="9"/>
        <v>0.85895999999999995</v>
      </c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</row>
    <row r="41" spans="1:144" x14ac:dyDescent="0.2">
      <c r="A41" s="172">
        <f t="shared" si="0"/>
        <v>35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>
        <v>2.564E-2</v>
      </c>
      <c r="AH41" s="177">
        <f t="shared" si="9"/>
        <v>0.88459999999999994</v>
      </c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</row>
    <row r="42" spans="1:144" x14ac:dyDescent="0.2">
      <c r="A42" s="172">
        <f t="shared" si="0"/>
        <v>36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>
        <v>2.564E-2</v>
      </c>
      <c r="AH42" s="177">
        <f t="shared" si="9"/>
        <v>0.91023999999999994</v>
      </c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</row>
    <row r="43" spans="1:144" x14ac:dyDescent="0.2">
      <c r="A43" s="172">
        <f t="shared" si="0"/>
        <v>37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>
        <v>2.564E-2</v>
      </c>
      <c r="AH43" s="177">
        <f t="shared" si="9"/>
        <v>0.93587999999999993</v>
      </c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</row>
    <row r="44" spans="1:144" x14ac:dyDescent="0.2">
      <c r="A44" s="172">
        <f t="shared" si="0"/>
        <v>38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>
        <v>2.564E-2</v>
      </c>
      <c r="AH44" s="177">
        <f t="shared" si="9"/>
        <v>0.96151999999999993</v>
      </c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</row>
    <row r="45" spans="1:144" x14ac:dyDescent="0.2">
      <c r="A45" s="172">
        <f t="shared" si="0"/>
        <v>39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>
        <v>2.564E-2</v>
      </c>
      <c r="AH45" s="177">
        <f t="shared" si="9"/>
        <v>0.98715999999999993</v>
      </c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</row>
    <row r="46" spans="1:144" x14ac:dyDescent="0.2">
      <c r="A46" s="172">
        <f t="shared" si="0"/>
        <v>40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>
        <v>1.2840000000000001E-2</v>
      </c>
      <c r="AH46" s="177">
        <f t="shared" si="9"/>
        <v>0.99999999999999989</v>
      </c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  <c r="EI46" s="177"/>
      <c r="EJ46" s="177"/>
      <c r="EK46" s="177"/>
      <c r="EL46" s="177"/>
      <c r="EM46" s="177"/>
      <c r="EN46" s="177"/>
    </row>
    <row r="47" spans="1:144" x14ac:dyDescent="0.2">
      <c r="A47" s="17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</row>
    <row r="48" spans="1:144" x14ac:dyDescent="0.2">
      <c r="A48" s="172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</row>
    <row r="49" spans="1:144" x14ac:dyDescent="0.2">
      <c r="A49" s="172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</row>
    <row r="50" spans="1:144" x14ac:dyDescent="0.2">
      <c r="A50" s="172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</row>
    <row r="51" spans="1:144" x14ac:dyDescent="0.2">
      <c r="A51" s="172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  <c r="EI51" s="177"/>
      <c r="EJ51" s="177"/>
      <c r="EK51" s="177"/>
      <c r="EL51" s="177"/>
      <c r="EM51" s="177"/>
      <c r="EN51" s="177"/>
    </row>
    <row r="52" spans="1:144" x14ac:dyDescent="0.2">
      <c r="A52" s="172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</row>
    <row r="53" spans="1:144" x14ac:dyDescent="0.2">
      <c r="A53" s="17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</row>
    <row r="54" spans="1:144" x14ac:dyDescent="0.2">
      <c r="A54" s="172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</row>
    <row r="55" spans="1:144" x14ac:dyDescent="0.2">
      <c r="A55" s="172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</row>
    <row r="56" spans="1:144" x14ac:dyDescent="0.2">
      <c r="A56" s="172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</row>
    <row r="57" spans="1:144" x14ac:dyDescent="0.2">
      <c r="A57" s="172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</row>
    <row r="58" spans="1:144" x14ac:dyDescent="0.2">
      <c r="A58" s="172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</row>
    <row r="59" spans="1:144" x14ac:dyDescent="0.2">
      <c r="A59" s="172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</row>
    <row r="60" spans="1:144" x14ac:dyDescent="0.2">
      <c r="A60" s="172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77"/>
      <c r="EL60" s="177"/>
      <c r="EM60" s="177"/>
      <c r="EN60" s="177"/>
    </row>
    <row r="61" spans="1:144" x14ac:dyDescent="0.2">
      <c r="A61" s="172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</row>
    <row r="62" spans="1:144" x14ac:dyDescent="0.2">
      <c r="A62" s="172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</row>
    <row r="63" spans="1:144" x14ac:dyDescent="0.2">
      <c r="A63" s="172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</row>
    <row r="64" spans="1:144" x14ac:dyDescent="0.2">
      <c r="A64" s="172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</row>
    <row r="65" spans="1:144" x14ac:dyDescent="0.2">
      <c r="A65" s="172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</row>
    <row r="66" spans="1:144" x14ac:dyDescent="0.2">
      <c r="A66" s="172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</row>
    <row r="67" spans="1:144" x14ac:dyDescent="0.2">
      <c r="A67" s="172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</row>
    <row r="68" spans="1:144" x14ac:dyDescent="0.2">
      <c r="A68" s="17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</row>
    <row r="69" spans="1:144" x14ac:dyDescent="0.2">
      <c r="A69" s="172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</row>
    <row r="70" spans="1:144" x14ac:dyDescent="0.2">
      <c r="A70" s="172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</row>
    <row r="71" spans="1:144" x14ac:dyDescent="0.2">
      <c r="A71" s="172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</row>
    <row r="72" spans="1:144" x14ac:dyDescent="0.2">
      <c r="A72" s="172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</row>
    <row r="73" spans="1:144" x14ac:dyDescent="0.2">
      <c r="A73" s="172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</row>
    <row r="74" spans="1:144" x14ac:dyDescent="0.2">
      <c r="A74" s="172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</row>
    <row r="75" spans="1:144" x14ac:dyDescent="0.2">
      <c r="A75" s="172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</row>
    <row r="76" spans="1:144" x14ac:dyDescent="0.2">
      <c r="A76" s="172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</row>
    <row r="77" spans="1:144" x14ac:dyDescent="0.2">
      <c r="A77" s="172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</row>
    <row r="78" spans="1:144" x14ac:dyDescent="0.2">
      <c r="A78" s="172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</row>
    <row r="79" spans="1:144" x14ac:dyDescent="0.2">
      <c r="A79" s="17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</row>
    <row r="80" spans="1:144" x14ac:dyDescent="0.2">
      <c r="A80" s="172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</row>
    <row r="81" spans="1:144" x14ac:dyDescent="0.2">
      <c r="A81" s="172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7"/>
    </row>
    <row r="82" spans="1:144" x14ac:dyDescent="0.2">
      <c r="A82" s="172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</row>
    <row r="83" spans="1:144" x14ac:dyDescent="0.2">
      <c r="A83" s="172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</row>
    <row r="84" spans="1:144" x14ac:dyDescent="0.2">
      <c r="A84" s="172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  <c r="EI84" s="177"/>
      <c r="EJ84" s="177"/>
      <c r="EK84" s="177"/>
      <c r="EL84" s="177"/>
      <c r="EM84" s="177"/>
      <c r="EN84" s="177"/>
    </row>
    <row r="85" spans="1:144" x14ac:dyDescent="0.2">
      <c r="A85" s="172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</row>
    <row r="86" spans="1:144" x14ac:dyDescent="0.2">
      <c r="A86" s="172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</row>
    <row r="87" spans="1:144" x14ac:dyDescent="0.2">
      <c r="A87" s="172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</row>
    <row r="88" spans="1:144" x14ac:dyDescent="0.2">
      <c r="A88" s="172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</row>
    <row r="89" spans="1:144" x14ac:dyDescent="0.2">
      <c r="A89" s="172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</row>
    <row r="90" spans="1:144" x14ac:dyDescent="0.2">
      <c r="A90" s="172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  <c r="EI90" s="177"/>
      <c r="EJ90" s="177"/>
      <c r="EK90" s="177"/>
      <c r="EL90" s="177"/>
      <c r="EM90" s="177"/>
      <c r="EN90" s="177"/>
    </row>
    <row r="91" spans="1:144" x14ac:dyDescent="0.2">
      <c r="A91" s="172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</row>
    <row r="92" spans="1:144" x14ac:dyDescent="0.2">
      <c r="A92" s="172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</row>
    <row r="93" spans="1:144" x14ac:dyDescent="0.2">
      <c r="A93" s="17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  <c r="EI93" s="177"/>
      <c r="EJ93" s="177"/>
      <c r="EK93" s="177"/>
      <c r="EL93" s="177"/>
      <c r="EM93" s="177"/>
      <c r="EN93" s="177"/>
    </row>
    <row r="94" spans="1:144" x14ac:dyDescent="0.2">
      <c r="A94" s="172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</row>
    <row r="95" spans="1:144" x14ac:dyDescent="0.2">
      <c r="A95" s="172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  <c r="EI95" s="177"/>
      <c r="EJ95" s="177"/>
      <c r="EK95" s="177"/>
      <c r="EL95" s="177"/>
      <c r="EM95" s="177"/>
      <c r="EN95" s="177"/>
    </row>
    <row r="96" spans="1:144" x14ac:dyDescent="0.2">
      <c r="A96" s="172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  <c r="EI96" s="177"/>
      <c r="EJ96" s="177"/>
      <c r="EK96" s="177"/>
      <c r="EL96" s="177"/>
      <c r="EM96" s="177"/>
      <c r="EN96" s="177"/>
    </row>
    <row r="97" spans="1:144" x14ac:dyDescent="0.2">
      <c r="A97" s="172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</row>
    <row r="98" spans="1:144" x14ac:dyDescent="0.2">
      <c r="A98" s="172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</row>
    <row r="99" spans="1:144" x14ac:dyDescent="0.2">
      <c r="A99" s="172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</row>
    <row r="100" spans="1:144" x14ac:dyDescent="0.2">
      <c r="A100" s="172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</row>
    <row r="101" spans="1:144" x14ac:dyDescent="0.2">
      <c r="A101" s="172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</row>
    <row r="102" spans="1:144" x14ac:dyDescent="0.2">
      <c r="A102" s="172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</row>
    <row r="103" spans="1:144" x14ac:dyDescent="0.2">
      <c r="A103" s="172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</row>
    <row r="104" spans="1:144" x14ac:dyDescent="0.2">
      <c r="A104" s="172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</row>
    <row r="105" spans="1:144" x14ac:dyDescent="0.2">
      <c r="A105" s="172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</row>
    <row r="106" spans="1:144" x14ac:dyDescent="0.2">
      <c r="A106" s="172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</row>
    <row r="107" spans="1:144" x14ac:dyDescent="0.2">
      <c r="A107" s="172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</row>
    <row r="108" spans="1:144" x14ac:dyDescent="0.2">
      <c r="A108" s="172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</row>
    <row r="109" spans="1:144" x14ac:dyDescent="0.2">
      <c r="A109" s="172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</row>
    <row r="110" spans="1:144" x14ac:dyDescent="0.2">
      <c r="A110" s="172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</row>
    <row r="111" spans="1:144" x14ac:dyDescent="0.2">
      <c r="A111" s="172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</row>
    <row r="112" spans="1:144" x14ac:dyDescent="0.2">
      <c r="A112" s="172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</row>
    <row r="113" spans="1:144" x14ac:dyDescent="0.2">
      <c r="A113" s="172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</row>
    <row r="114" spans="1:144" x14ac:dyDescent="0.2">
      <c r="A114" s="172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  <c r="DO114" s="177"/>
      <c r="DP114" s="177"/>
      <c r="DQ114" s="177"/>
      <c r="DR114" s="177"/>
      <c r="DS114" s="177"/>
      <c r="DT114" s="177"/>
      <c r="DU114" s="177"/>
      <c r="DV114" s="177"/>
      <c r="DW114" s="177"/>
      <c r="DX114" s="177"/>
      <c r="DY114" s="177"/>
      <c r="DZ114" s="177"/>
      <c r="EA114" s="177"/>
      <c r="EB114" s="177"/>
      <c r="EC114" s="177"/>
      <c r="ED114" s="177"/>
      <c r="EE114" s="177"/>
      <c r="EF114" s="177"/>
      <c r="EG114" s="177"/>
      <c r="EH114" s="177"/>
      <c r="EI114" s="177"/>
      <c r="EJ114" s="177"/>
      <c r="EK114" s="177"/>
      <c r="EL114" s="177"/>
      <c r="EM114" s="177"/>
      <c r="EN114" s="177"/>
    </row>
    <row r="115" spans="1:144" x14ac:dyDescent="0.2">
      <c r="A115" s="172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</row>
    <row r="116" spans="1:144" x14ac:dyDescent="0.2">
      <c r="A116" s="172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</row>
    <row r="117" spans="1:144" x14ac:dyDescent="0.2">
      <c r="A117" s="172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</row>
    <row r="118" spans="1:144" x14ac:dyDescent="0.2">
      <c r="A118" s="172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  <c r="EI118" s="177"/>
      <c r="EJ118" s="177"/>
      <c r="EK118" s="177"/>
      <c r="EL118" s="177"/>
      <c r="EM118" s="177"/>
      <c r="EN118" s="177"/>
    </row>
    <row r="119" spans="1:144" x14ac:dyDescent="0.2">
      <c r="A119" s="172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  <c r="EI119" s="177"/>
      <c r="EJ119" s="177"/>
      <c r="EK119" s="177"/>
      <c r="EL119" s="177"/>
      <c r="EM119" s="177"/>
      <c r="EN119" s="177"/>
    </row>
    <row r="120" spans="1:144" x14ac:dyDescent="0.2">
      <c r="A120" s="172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  <c r="EI120" s="177"/>
      <c r="EJ120" s="177"/>
      <c r="EK120" s="177"/>
      <c r="EL120" s="177"/>
      <c r="EM120" s="177"/>
      <c r="EN120" s="177"/>
    </row>
    <row r="121" spans="1:144" x14ac:dyDescent="0.2">
      <c r="A121" s="172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</row>
    <row r="122" spans="1:144" x14ac:dyDescent="0.2">
      <c r="A122" s="172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  <c r="EI122" s="177"/>
      <c r="EJ122" s="177"/>
      <c r="EK122" s="177"/>
      <c r="EL122" s="177"/>
      <c r="EM122" s="177"/>
      <c r="EN122" s="177"/>
    </row>
    <row r="123" spans="1:144" x14ac:dyDescent="0.2">
      <c r="A123" s="172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  <c r="EI123" s="177"/>
      <c r="EJ123" s="177"/>
      <c r="EK123" s="177"/>
      <c r="EL123" s="177"/>
      <c r="EM123" s="177"/>
      <c r="EN123" s="177"/>
    </row>
    <row r="124" spans="1:144" x14ac:dyDescent="0.2">
      <c r="A124" s="172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</row>
    <row r="125" spans="1:144" x14ac:dyDescent="0.2">
      <c r="A125" s="172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</row>
    <row r="126" spans="1:144" x14ac:dyDescent="0.2">
      <c r="A126" s="172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7"/>
      <c r="AT126" s="177"/>
      <c r="AU126" s="177"/>
      <c r="AV126" s="177"/>
      <c r="AW126" s="177"/>
      <c r="AX126" s="177"/>
      <c r="AY126" s="177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</row>
    <row r="127" spans="1:144" x14ac:dyDescent="0.2">
      <c r="A127" s="172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7"/>
      <c r="EK127" s="177"/>
      <c r="EL127" s="177"/>
      <c r="EM127" s="177"/>
      <c r="EN127" s="177"/>
    </row>
    <row r="128" spans="1:144" x14ac:dyDescent="0.2">
      <c r="A128" s="172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  <c r="EI128" s="177"/>
      <c r="EJ128" s="177"/>
      <c r="EK128" s="177"/>
      <c r="EL128" s="177"/>
      <c r="EM128" s="177"/>
      <c r="EN128" s="177"/>
    </row>
    <row r="129" spans="1:144" x14ac:dyDescent="0.2">
      <c r="A129" s="172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</row>
    <row r="130" spans="1:144" x14ac:dyDescent="0.2">
      <c r="A130" s="172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  <c r="DO130" s="177"/>
      <c r="DP130" s="177"/>
      <c r="DQ130" s="177"/>
      <c r="DR130" s="177"/>
      <c r="DS130" s="177"/>
      <c r="DT130" s="177"/>
      <c r="DU130" s="177"/>
      <c r="DV130" s="177"/>
      <c r="DW130" s="177"/>
      <c r="DX130" s="177"/>
      <c r="DY130" s="177"/>
      <c r="DZ130" s="177"/>
      <c r="EA130" s="177"/>
      <c r="EB130" s="177"/>
      <c r="EC130" s="177"/>
      <c r="ED130" s="177"/>
      <c r="EE130" s="177"/>
      <c r="EF130" s="177"/>
      <c r="EG130" s="177"/>
      <c r="EH130" s="177"/>
      <c r="EI130" s="177"/>
      <c r="EJ130" s="177"/>
      <c r="EK130" s="177"/>
      <c r="EL130" s="177"/>
      <c r="EM130" s="177"/>
      <c r="EN130" s="177"/>
    </row>
    <row r="131" spans="1:144" x14ac:dyDescent="0.2">
      <c r="A131" s="172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  <c r="DO131" s="177"/>
      <c r="DP131" s="177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177"/>
      <c r="EB131" s="177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</row>
    <row r="132" spans="1:144" x14ac:dyDescent="0.2"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  <c r="DU132" s="177"/>
      <c r="DV132" s="177"/>
      <c r="DW132" s="177"/>
      <c r="DX132" s="177"/>
      <c r="DY132" s="177"/>
      <c r="DZ132" s="177"/>
      <c r="EA132" s="177"/>
      <c r="EB132" s="177"/>
      <c r="EC132" s="177"/>
      <c r="ED132" s="177"/>
      <c r="EE132" s="177"/>
      <c r="EF132" s="177"/>
      <c r="EG132" s="177"/>
      <c r="EH132" s="177"/>
      <c r="EI132" s="177"/>
      <c r="EJ132" s="177"/>
      <c r="EK132" s="177"/>
      <c r="EL132" s="177"/>
      <c r="EM132" s="177"/>
      <c r="EN132" s="177"/>
    </row>
    <row r="133" spans="1:144" x14ac:dyDescent="0.2"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  <c r="DO133" s="177"/>
      <c r="DP133" s="177"/>
      <c r="DQ133" s="177"/>
      <c r="DR133" s="177"/>
      <c r="DS133" s="177"/>
      <c r="DT133" s="177"/>
      <c r="DU133" s="177"/>
      <c r="DV133" s="177"/>
      <c r="DW133" s="177"/>
      <c r="DX133" s="177"/>
      <c r="DY133" s="177"/>
      <c r="DZ133" s="177"/>
      <c r="EA133" s="177"/>
      <c r="EB133" s="177"/>
      <c r="EC133" s="177"/>
      <c r="ED133" s="177"/>
      <c r="EE133" s="177"/>
      <c r="EF133" s="177"/>
      <c r="EG133" s="177"/>
      <c r="EH133" s="177"/>
      <c r="EI133" s="177"/>
      <c r="EJ133" s="177"/>
      <c r="EK133" s="177"/>
      <c r="EL133" s="177"/>
      <c r="EM133" s="177"/>
      <c r="EN133" s="177"/>
    </row>
    <row r="134" spans="1:144" x14ac:dyDescent="0.2"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</row>
    <row r="135" spans="1:144" x14ac:dyDescent="0.2"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177"/>
      <c r="EE135" s="177"/>
      <c r="EF135" s="177"/>
      <c r="EG135" s="177"/>
      <c r="EH135" s="177"/>
      <c r="EI135" s="177"/>
      <c r="EJ135" s="177"/>
      <c r="EK135" s="177"/>
      <c r="EL135" s="177"/>
      <c r="EM135" s="177"/>
      <c r="EN135" s="177"/>
    </row>
    <row r="136" spans="1:144" x14ac:dyDescent="0.2"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</row>
    <row r="137" spans="1:144" x14ac:dyDescent="0.2"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  <c r="DO137" s="177"/>
      <c r="DP137" s="177"/>
      <c r="DQ137" s="177"/>
      <c r="DR137" s="177"/>
      <c r="DS137" s="177"/>
      <c r="DT137" s="177"/>
      <c r="DU137" s="177"/>
      <c r="DV137" s="177"/>
      <c r="DW137" s="177"/>
      <c r="DX137" s="177"/>
      <c r="DY137" s="177"/>
      <c r="DZ137" s="177"/>
      <c r="EA137" s="177"/>
      <c r="EB137" s="177"/>
      <c r="EC137" s="177"/>
      <c r="ED137" s="177"/>
      <c r="EE137" s="177"/>
      <c r="EF137" s="177"/>
      <c r="EG137" s="177"/>
      <c r="EH137" s="177"/>
      <c r="EI137" s="177"/>
      <c r="EJ137" s="177"/>
      <c r="EK137" s="177"/>
      <c r="EL137" s="177"/>
      <c r="EM137" s="177"/>
      <c r="EN137" s="177"/>
    </row>
    <row r="138" spans="1:144" x14ac:dyDescent="0.2"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</row>
    <row r="139" spans="1:144" x14ac:dyDescent="0.2"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</row>
    <row r="140" spans="1:144" x14ac:dyDescent="0.2"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</row>
    <row r="141" spans="1:144" x14ac:dyDescent="0.2"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</row>
    <row r="142" spans="1:144" x14ac:dyDescent="0.2"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</row>
    <row r="143" spans="1:144" x14ac:dyDescent="0.2"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7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</row>
    <row r="144" spans="1:144" x14ac:dyDescent="0.2"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</row>
    <row r="145" spans="3:144" x14ac:dyDescent="0.2"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</row>
    <row r="146" spans="3:144" x14ac:dyDescent="0.2"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</row>
    <row r="147" spans="3:144" x14ac:dyDescent="0.2"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</row>
    <row r="148" spans="3:144" x14ac:dyDescent="0.2"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</row>
    <row r="149" spans="3:144" x14ac:dyDescent="0.2"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  <c r="EI149" s="177"/>
      <c r="EJ149" s="177"/>
      <c r="EK149" s="177"/>
      <c r="EL149" s="177"/>
      <c r="EM149" s="177"/>
      <c r="EN149" s="177"/>
    </row>
    <row r="150" spans="3:144" x14ac:dyDescent="0.2"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</row>
    <row r="151" spans="3:144" x14ac:dyDescent="0.2"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</row>
    <row r="152" spans="3:144" x14ac:dyDescent="0.2"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</row>
    <row r="153" spans="3:144" x14ac:dyDescent="0.2"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  <c r="EI153" s="177"/>
      <c r="EJ153" s="177"/>
      <c r="EK153" s="177"/>
      <c r="EL153" s="177"/>
      <c r="EM153" s="177"/>
      <c r="EN153" s="177"/>
    </row>
    <row r="154" spans="3:144" x14ac:dyDescent="0.2"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</row>
    <row r="155" spans="3:144" x14ac:dyDescent="0.2"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  <c r="EI155" s="177"/>
      <c r="EJ155" s="177"/>
      <c r="EK155" s="177"/>
      <c r="EL155" s="177"/>
      <c r="EM155" s="177"/>
      <c r="EN155" s="177"/>
    </row>
    <row r="156" spans="3:144" x14ac:dyDescent="0.2"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  <c r="EI156" s="177"/>
      <c r="EJ156" s="177"/>
      <c r="EK156" s="177"/>
      <c r="EL156" s="177"/>
      <c r="EM156" s="177"/>
      <c r="EN156" s="177"/>
    </row>
    <row r="157" spans="3:144" x14ac:dyDescent="0.2"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</row>
    <row r="158" spans="3:144" x14ac:dyDescent="0.2"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  <c r="EI158" s="177"/>
      <c r="EJ158" s="177"/>
      <c r="EK158" s="177"/>
      <c r="EL158" s="177"/>
      <c r="EM158" s="177"/>
      <c r="EN158" s="177"/>
    </row>
    <row r="159" spans="3:144" x14ac:dyDescent="0.2"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</row>
    <row r="160" spans="3:144" x14ac:dyDescent="0.2"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7"/>
      <c r="BC160" s="177"/>
      <c r="BD160" s="177"/>
      <c r="BE160" s="177"/>
      <c r="BF160" s="177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</row>
    <row r="161" spans="3:144" x14ac:dyDescent="0.2"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</row>
    <row r="162" spans="3:144" x14ac:dyDescent="0.2"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/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</row>
    <row r="163" spans="3:144" x14ac:dyDescent="0.2"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</row>
    <row r="164" spans="3:144" x14ac:dyDescent="0.2"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7"/>
      <c r="AZ164" s="177"/>
      <c r="BA164" s="177"/>
      <c r="BB164" s="177"/>
      <c r="BC164" s="177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</row>
    <row r="165" spans="3:144" x14ac:dyDescent="0.2"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</row>
    <row r="166" spans="3:144" x14ac:dyDescent="0.2"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</row>
    <row r="167" spans="3:144" x14ac:dyDescent="0.2"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</row>
    <row r="168" spans="3:144" x14ac:dyDescent="0.2"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</row>
    <row r="169" spans="3:144" x14ac:dyDescent="0.2"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</row>
    <row r="170" spans="3:144" x14ac:dyDescent="0.2"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</row>
    <row r="171" spans="3:144" x14ac:dyDescent="0.2"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</row>
    <row r="172" spans="3:144" x14ac:dyDescent="0.2"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</row>
    <row r="173" spans="3:144" x14ac:dyDescent="0.2"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</row>
    <row r="174" spans="3:144" x14ac:dyDescent="0.2"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</row>
    <row r="175" spans="3:144" x14ac:dyDescent="0.2"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</row>
    <row r="176" spans="3:144" x14ac:dyDescent="0.2"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</row>
    <row r="177" spans="3:144" x14ac:dyDescent="0.2"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</row>
    <row r="178" spans="3:144" x14ac:dyDescent="0.2"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</row>
    <row r="179" spans="3:144" x14ac:dyDescent="0.2"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</row>
    <row r="180" spans="3:144" x14ac:dyDescent="0.2"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</row>
    <row r="181" spans="3:144" x14ac:dyDescent="0.2"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</row>
    <row r="182" spans="3:144" x14ac:dyDescent="0.2"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</row>
    <row r="183" spans="3:144" x14ac:dyDescent="0.2"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</row>
    <row r="184" spans="3:144" x14ac:dyDescent="0.2"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</row>
    <row r="185" spans="3:144" x14ac:dyDescent="0.2"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</row>
    <row r="186" spans="3:144" x14ac:dyDescent="0.2"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</row>
    <row r="187" spans="3:144" x14ac:dyDescent="0.2"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</row>
    <row r="188" spans="3:144" x14ac:dyDescent="0.2"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</row>
    <row r="189" spans="3:144" x14ac:dyDescent="0.2"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</row>
    <row r="190" spans="3:144" x14ac:dyDescent="0.2"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</row>
    <row r="191" spans="3:144" x14ac:dyDescent="0.2"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</row>
    <row r="192" spans="3:144" x14ac:dyDescent="0.2"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</row>
    <row r="193" spans="3:144" x14ac:dyDescent="0.2"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  <c r="EI193" s="177"/>
      <c r="EJ193" s="177"/>
      <c r="EK193" s="177"/>
      <c r="EL193" s="177"/>
      <c r="EM193" s="177"/>
      <c r="EN193" s="177"/>
    </row>
    <row r="194" spans="3:144" x14ac:dyDescent="0.2"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</row>
    <row r="195" spans="3:144" x14ac:dyDescent="0.2"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</row>
    <row r="196" spans="3:144" x14ac:dyDescent="0.2"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</row>
    <row r="197" spans="3:144" x14ac:dyDescent="0.2"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</row>
    <row r="198" spans="3:144" x14ac:dyDescent="0.2"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</row>
    <row r="199" spans="3:144" x14ac:dyDescent="0.2"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</row>
    <row r="200" spans="3:144" x14ac:dyDescent="0.2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</row>
    <row r="201" spans="3:144" x14ac:dyDescent="0.2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</row>
    <row r="202" spans="3:144" x14ac:dyDescent="0.2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</row>
    <row r="203" spans="3:144" x14ac:dyDescent="0.2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</row>
    <row r="204" spans="3:144" x14ac:dyDescent="0.2"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</row>
    <row r="205" spans="3:144" x14ac:dyDescent="0.2"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</row>
    <row r="206" spans="3:144" x14ac:dyDescent="0.2"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</row>
    <row r="207" spans="3:144" x14ac:dyDescent="0.2"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</row>
    <row r="208" spans="3:144" x14ac:dyDescent="0.2"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</row>
    <row r="209" spans="3:144" x14ac:dyDescent="0.2"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7"/>
      <c r="DQ209" s="177"/>
      <c r="DR209" s="177"/>
      <c r="DS209" s="177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7"/>
      <c r="EE209" s="177"/>
      <c r="EF209" s="177"/>
      <c r="EG209" s="177"/>
      <c r="EH209" s="177"/>
      <c r="EI209" s="177"/>
      <c r="EJ209" s="177"/>
      <c r="EK209" s="177"/>
      <c r="EL209" s="177"/>
      <c r="EM209" s="177"/>
      <c r="EN209" s="177"/>
    </row>
    <row r="210" spans="3:144" x14ac:dyDescent="0.2"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  <c r="EI210" s="177"/>
      <c r="EJ210" s="177"/>
      <c r="EK210" s="177"/>
      <c r="EL210" s="177"/>
      <c r="EM210" s="177"/>
      <c r="EN210" s="177"/>
    </row>
    <row r="211" spans="3:144" x14ac:dyDescent="0.2"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  <c r="EI211" s="177"/>
      <c r="EJ211" s="177"/>
      <c r="EK211" s="177"/>
      <c r="EL211" s="177"/>
      <c r="EM211" s="177"/>
      <c r="EN211" s="177"/>
    </row>
    <row r="212" spans="3:144" x14ac:dyDescent="0.2"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</row>
    <row r="213" spans="3:144" x14ac:dyDescent="0.2"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  <c r="EI213" s="177"/>
      <c r="EJ213" s="177"/>
      <c r="EK213" s="177"/>
      <c r="EL213" s="177"/>
      <c r="EM213" s="177"/>
      <c r="EN213" s="177"/>
    </row>
    <row r="214" spans="3:144" x14ac:dyDescent="0.2"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  <c r="EI214" s="177"/>
      <c r="EJ214" s="177"/>
      <c r="EK214" s="177"/>
      <c r="EL214" s="177"/>
      <c r="EM214" s="177"/>
      <c r="EN214" s="177"/>
    </row>
    <row r="215" spans="3:144" x14ac:dyDescent="0.2"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  <c r="EI215" s="177"/>
      <c r="EJ215" s="177"/>
      <c r="EK215" s="177"/>
      <c r="EL215" s="177"/>
      <c r="EM215" s="177"/>
      <c r="EN215" s="177"/>
    </row>
    <row r="216" spans="3:144" x14ac:dyDescent="0.2"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</row>
    <row r="217" spans="3:144" x14ac:dyDescent="0.2"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  <c r="EI217" s="177"/>
      <c r="EJ217" s="177"/>
      <c r="EK217" s="177"/>
      <c r="EL217" s="177"/>
      <c r="EM217" s="177"/>
      <c r="EN217" s="177"/>
    </row>
    <row r="218" spans="3:144" x14ac:dyDescent="0.2"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</row>
    <row r="219" spans="3:144" x14ac:dyDescent="0.2"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  <c r="EI219" s="177"/>
      <c r="EJ219" s="177"/>
      <c r="EK219" s="177"/>
      <c r="EL219" s="177"/>
      <c r="EM219" s="177"/>
      <c r="EN219" s="177"/>
    </row>
    <row r="220" spans="3:144" x14ac:dyDescent="0.2"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</row>
    <row r="221" spans="3:144" x14ac:dyDescent="0.2"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  <c r="EI221" s="177"/>
      <c r="EJ221" s="177"/>
      <c r="EK221" s="177"/>
      <c r="EL221" s="177"/>
      <c r="EM221" s="177"/>
      <c r="EN221" s="177"/>
    </row>
    <row r="222" spans="3:144" x14ac:dyDescent="0.2"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</row>
    <row r="223" spans="3:144" x14ac:dyDescent="0.2"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7"/>
      <c r="DQ223" s="177"/>
      <c r="DR223" s="177"/>
      <c r="DS223" s="177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7"/>
      <c r="EE223" s="177"/>
      <c r="EF223" s="177"/>
      <c r="EG223" s="177"/>
      <c r="EH223" s="177"/>
      <c r="EI223" s="177"/>
      <c r="EJ223" s="177"/>
      <c r="EK223" s="177"/>
      <c r="EL223" s="177"/>
      <c r="EM223" s="177"/>
      <c r="EN223" s="177"/>
    </row>
    <row r="224" spans="3:144" x14ac:dyDescent="0.2"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</row>
    <row r="225" spans="3:144" x14ac:dyDescent="0.2"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</row>
    <row r="226" spans="3:144" x14ac:dyDescent="0.2"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</row>
    <row r="227" spans="3:144" x14ac:dyDescent="0.2"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</row>
    <row r="228" spans="3:144" x14ac:dyDescent="0.2"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7"/>
      <c r="DQ228" s="177"/>
      <c r="DR228" s="177"/>
      <c r="DS228" s="177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7"/>
      <c r="EE228" s="177"/>
      <c r="EF228" s="177"/>
      <c r="EG228" s="177"/>
      <c r="EH228" s="177"/>
      <c r="EI228" s="177"/>
      <c r="EJ228" s="177"/>
      <c r="EK228" s="177"/>
      <c r="EL228" s="177"/>
      <c r="EM228" s="177"/>
      <c r="EN228" s="177"/>
    </row>
    <row r="229" spans="3:144" x14ac:dyDescent="0.2"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</row>
    <row r="230" spans="3:144" x14ac:dyDescent="0.2"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7"/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7"/>
      <c r="DQ230" s="177"/>
      <c r="DR230" s="177"/>
      <c r="DS230" s="177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7"/>
      <c r="EE230" s="177"/>
      <c r="EF230" s="177"/>
      <c r="EG230" s="177"/>
      <c r="EH230" s="177"/>
      <c r="EI230" s="177"/>
      <c r="EJ230" s="177"/>
      <c r="EK230" s="177"/>
      <c r="EL230" s="177"/>
      <c r="EM230" s="177"/>
      <c r="EN230" s="177"/>
    </row>
    <row r="231" spans="3:144" x14ac:dyDescent="0.2"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7"/>
      <c r="DQ231" s="177"/>
      <c r="DR231" s="177"/>
      <c r="DS231" s="177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7"/>
      <c r="EE231" s="177"/>
      <c r="EF231" s="177"/>
      <c r="EG231" s="177"/>
      <c r="EH231" s="177"/>
      <c r="EI231" s="177"/>
      <c r="EJ231" s="177"/>
      <c r="EK231" s="177"/>
      <c r="EL231" s="177"/>
      <c r="EM231" s="177"/>
      <c r="EN231" s="177"/>
    </row>
    <row r="232" spans="3:144" x14ac:dyDescent="0.2"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7"/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</row>
    <row r="233" spans="3:144" x14ac:dyDescent="0.2"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</row>
    <row r="234" spans="3:144" x14ac:dyDescent="0.2"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77"/>
      <c r="BN234" s="177"/>
      <c r="BO234" s="177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7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177"/>
      <c r="DQ234" s="177"/>
      <c r="DR234" s="177"/>
      <c r="DS234" s="177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7"/>
      <c r="EE234" s="177"/>
      <c r="EF234" s="177"/>
      <c r="EG234" s="177"/>
      <c r="EH234" s="177"/>
      <c r="EI234" s="177"/>
      <c r="EJ234" s="177"/>
      <c r="EK234" s="177"/>
      <c r="EL234" s="177"/>
      <c r="EM234" s="177"/>
      <c r="EN234" s="177"/>
    </row>
    <row r="235" spans="3:144" x14ac:dyDescent="0.2"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  <c r="EI235" s="177"/>
      <c r="EJ235" s="177"/>
      <c r="EK235" s="177"/>
      <c r="EL235" s="177"/>
      <c r="EM235" s="177"/>
      <c r="EN235" s="177"/>
    </row>
    <row r="236" spans="3:144" x14ac:dyDescent="0.2"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7"/>
      <c r="DQ236" s="177"/>
      <c r="DR236" s="177"/>
      <c r="DS236" s="177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7"/>
      <c r="EE236" s="177"/>
      <c r="EF236" s="177"/>
      <c r="EG236" s="177"/>
      <c r="EH236" s="177"/>
      <c r="EI236" s="177"/>
      <c r="EJ236" s="177"/>
      <c r="EK236" s="177"/>
      <c r="EL236" s="177"/>
      <c r="EM236" s="177"/>
      <c r="EN236" s="177"/>
    </row>
    <row r="237" spans="3:144" x14ac:dyDescent="0.2"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  <c r="EI237" s="177"/>
      <c r="EJ237" s="177"/>
      <c r="EK237" s="177"/>
      <c r="EL237" s="177"/>
      <c r="EM237" s="177"/>
      <c r="EN237" s="177"/>
    </row>
    <row r="238" spans="3:144" x14ac:dyDescent="0.2"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7"/>
      <c r="DQ238" s="177"/>
      <c r="DR238" s="177"/>
      <c r="DS238" s="177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7"/>
      <c r="EE238" s="177"/>
      <c r="EF238" s="177"/>
      <c r="EG238" s="177"/>
      <c r="EH238" s="177"/>
      <c r="EI238" s="177"/>
      <c r="EJ238" s="177"/>
      <c r="EK238" s="177"/>
      <c r="EL238" s="177"/>
      <c r="EM238" s="177"/>
      <c r="EN238" s="177"/>
    </row>
    <row r="239" spans="3:144" x14ac:dyDescent="0.2"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7"/>
      <c r="DQ239" s="177"/>
      <c r="DR239" s="177"/>
      <c r="DS239" s="177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7"/>
      <c r="EE239" s="177"/>
      <c r="EF239" s="177"/>
      <c r="EG239" s="177"/>
      <c r="EH239" s="177"/>
      <c r="EI239" s="177"/>
      <c r="EJ239" s="177"/>
      <c r="EK239" s="177"/>
      <c r="EL239" s="177"/>
      <c r="EM239" s="177"/>
      <c r="EN239" s="177"/>
    </row>
    <row r="240" spans="3:144" x14ac:dyDescent="0.2"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7"/>
      <c r="DQ240" s="177"/>
      <c r="DR240" s="177"/>
      <c r="DS240" s="177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7"/>
      <c r="EE240" s="177"/>
      <c r="EF240" s="177"/>
      <c r="EG240" s="177"/>
      <c r="EH240" s="177"/>
      <c r="EI240" s="177"/>
      <c r="EJ240" s="177"/>
      <c r="EK240" s="177"/>
      <c r="EL240" s="177"/>
      <c r="EM240" s="177"/>
      <c r="EN240" s="177"/>
    </row>
    <row r="241" spans="3:144" x14ac:dyDescent="0.2"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  <c r="EI241" s="177"/>
      <c r="EJ241" s="177"/>
      <c r="EK241" s="177"/>
      <c r="EL241" s="177"/>
      <c r="EM241" s="177"/>
      <c r="EN241" s="177"/>
    </row>
    <row r="242" spans="3:144" x14ac:dyDescent="0.2"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7"/>
      <c r="DQ242" s="177"/>
      <c r="DR242" s="177"/>
      <c r="DS242" s="177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7"/>
      <c r="EE242" s="177"/>
      <c r="EF242" s="177"/>
      <c r="EG242" s="177"/>
      <c r="EH242" s="177"/>
      <c r="EI242" s="177"/>
      <c r="EJ242" s="177"/>
      <c r="EK242" s="177"/>
      <c r="EL242" s="177"/>
      <c r="EM242" s="177"/>
      <c r="EN242" s="177"/>
    </row>
    <row r="243" spans="3:144" x14ac:dyDescent="0.2"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</row>
    <row r="244" spans="3:144" x14ac:dyDescent="0.2"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  <c r="EI244" s="177"/>
      <c r="EJ244" s="177"/>
      <c r="EK244" s="177"/>
      <c r="EL244" s="177"/>
      <c r="EM244" s="177"/>
      <c r="EN244" s="177"/>
    </row>
    <row r="245" spans="3:144" x14ac:dyDescent="0.2"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7"/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7"/>
      <c r="DQ245" s="177"/>
      <c r="DR245" s="177"/>
      <c r="DS245" s="177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7"/>
      <c r="EE245" s="177"/>
      <c r="EF245" s="177"/>
      <c r="EG245" s="177"/>
      <c r="EH245" s="177"/>
      <c r="EI245" s="177"/>
      <c r="EJ245" s="177"/>
      <c r="EK245" s="177"/>
      <c r="EL245" s="177"/>
      <c r="EM245" s="177"/>
      <c r="EN245" s="177"/>
    </row>
    <row r="246" spans="3:144" x14ac:dyDescent="0.2"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</row>
    <row r="247" spans="3:144" x14ac:dyDescent="0.2"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</row>
    <row r="248" spans="3:144" x14ac:dyDescent="0.2"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  <c r="EI248" s="177"/>
      <c r="EJ248" s="177"/>
      <c r="EK248" s="177"/>
      <c r="EL248" s="177"/>
      <c r="EM248" s="177"/>
      <c r="EN248" s="177"/>
    </row>
    <row r="249" spans="3:144" x14ac:dyDescent="0.2"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</row>
    <row r="250" spans="3:144" x14ac:dyDescent="0.2"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  <c r="EI250" s="177"/>
      <c r="EJ250" s="177"/>
      <c r="EK250" s="177"/>
      <c r="EL250" s="177"/>
      <c r="EM250" s="177"/>
      <c r="EN250" s="177"/>
    </row>
    <row r="251" spans="3:144" x14ac:dyDescent="0.2"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</row>
    <row r="252" spans="3:144" x14ac:dyDescent="0.2"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</row>
    <row r="253" spans="3:144" x14ac:dyDescent="0.2"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  <c r="EI253" s="177"/>
      <c r="EJ253" s="177"/>
      <c r="EK253" s="177"/>
      <c r="EL253" s="177"/>
      <c r="EM253" s="177"/>
      <c r="EN253" s="177"/>
    </row>
    <row r="254" spans="3:144" x14ac:dyDescent="0.2"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  <c r="EI254" s="177"/>
      <c r="EJ254" s="177"/>
      <c r="EK254" s="177"/>
      <c r="EL254" s="177"/>
      <c r="EM254" s="177"/>
      <c r="EN254" s="177"/>
    </row>
    <row r="255" spans="3:144" x14ac:dyDescent="0.2"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</row>
    <row r="256" spans="3:144" x14ac:dyDescent="0.2"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</row>
    <row r="257" spans="3:144" x14ac:dyDescent="0.2"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</row>
    <row r="258" spans="3:144" x14ac:dyDescent="0.2"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7"/>
      <c r="EE258" s="177"/>
      <c r="EF258" s="177"/>
      <c r="EG258" s="177"/>
      <c r="EH258" s="177"/>
      <c r="EI258" s="177"/>
      <c r="EJ258" s="177"/>
      <c r="EK258" s="177"/>
      <c r="EL258" s="177"/>
      <c r="EM258" s="177"/>
      <c r="EN258" s="177"/>
    </row>
    <row r="259" spans="3:144" x14ac:dyDescent="0.2"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</row>
    <row r="260" spans="3:144" x14ac:dyDescent="0.2"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</row>
    <row r="261" spans="3:144" x14ac:dyDescent="0.2"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</row>
    <row r="262" spans="3:144" x14ac:dyDescent="0.2"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</row>
    <row r="263" spans="3:144" x14ac:dyDescent="0.2"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7"/>
      <c r="EE263" s="177"/>
      <c r="EF263" s="177"/>
      <c r="EG263" s="177"/>
      <c r="EH263" s="177"/>
      <c r="EI263" s="177"/>
      <c r="EJ263" s="177"/>
      <c r="EK263" s="177"/>
      <c r="EL263" s="177"/>
      <c r="EM263" s="177"/>
      <c r="EN263" s="177"/>
    </row>
    <row r="264" spans="3:144" x14ac:dyDescent="0.2"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</row>
    <row r="265" spans="3:144" x14ac:dyDescent="0.2"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</row>
    <row r="266" spans="3:144" x14ac:dyDescent="0.2"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</row>
    <row r="267" spans="3:144" x14ac:dyDescent="0.2"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</row>
    <row r="268" spans="3:144" x14ac:dyDescent="0.2"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</row>
    <row r="269" spans="3:144" x14ac:dyDescent="0.2"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</row>
    <row r="270" spans="3:144" x14ac:dyDescent="0.2"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</row>
    <row r="271" spans="3:144" x14ac:dyDescent="0.2"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</row>
    <row r="272" spans="3:144" x14ac:dyDescent="0.2"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</row>
    <row r="273" spans="3:144" x14ac:dyDescent="0.2"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</row>
    <row r="274" spans="3:144" x14ac:dyDescent="0.2"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</row>
    <row r="275" spans="3:144" x14ac:dyDescent="0.2"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</row>
    <row r="276" spans="3:144" x14ac:dyDescent="0.2"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</row>
    <row r="277" spans="3:144" x14ac:dyDescent="0.2"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</row>
    <row r="278" spans="3:144" x14ac:dyDescent="0.2"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</row>
    <row r="279" spans="3:144" x14ac:dyDescent="0.2"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</row>
    <row r="280" spans="3:144" x14ac:dyDescent="0.2"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</row>
    <row r="281" spans="3:144" x14ac:dyDescent="0.2"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</row>
    <row r="282" spans="3:144" x14ac:dyDescent="0.2"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</row>
    <row r="283" spans="3:144" x14ac:dyDescent="0.2"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</row>
    <row r="284" spans="3:144" x14ac:dyDescent="0.2"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</row>
    <row r="285" spans="3:144" x14ac:dyDescent="0.2"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</row>
    <row r="286" spans="3:144" x14ac:dyDescent="0.2"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</row>
    <row r="287" spans="3:144" x14ac:dyDescent="0.2"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</row>
    <row r="288" spans="3:144" x14ac:dyDescent="0.2"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</row>
    <row r="289" spans="3:144" x14ac:dyDescent="0.2"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</row>
    <row r="290" spans="3:144" x14ac:dyDescent="0.2"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</row>
    <row r="291" spans="3:144" x14ac:dyDescent="0.2"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</row>
    <row r="292" spans="3:144" x14ac:dyDescent="0.2"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</row>
    <row r="293" spans="3:144" x14ac:dyDescent="0.2"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</row>
    <row r="294" spans="3:144" x14ac:dyDescent="0.2"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</row>
    <row r="295" spans="3:144" x14ac:dyDescent="0.2"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</row>
    <row r="296" spans="3:144" x14ac:dyDescent="0.2"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</row>
    <row r="297" spans="3:144" x14ac:dyDescent="0.2"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</row>
    <row r="298" spans="3:144" x14ac:dyDescent="0.2"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</row>
    <row r="299" spans="3:144" x14ac:dyDescent="0.2"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</row>
    <row r="300" spans="3:144" x14ac:dyDescent="0.2"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  <c r="EI300" s="177"/>
      <c r="EJ300" s="177"/>
      <c r="EK300" s="177"/>
      <c r="EL300" s="177"/>
      <c r="EM300" s="177"/>
      <c r="EN300" s="177"/>
    </row>
    <row r="301" spans="3:144" x14ac:dyDescent="0.2"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</row>
    <row r="302" spans="3:144" x14ac:dyDescent="0.2"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</row>
    <row r="303" spans="3:144" x14ac:dyDescent="0.2"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</row>
    <row r="304" spans="3:144" x14ac:dyDescent="0.2"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77"/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  <c r="DO304" s="177"/>
      <c r="DP304" s="177"/>
      <c r="DQ304" s="177"/>
      <c r="DR304" s="177"/>
      <c r="DS304" s="177"/>
      <c r="DT304" s="177"/>
      <c r="DU304" s="177"/>
      <c r="DV304" s="177"/>
      <c r="DW304" s="177"/>
      <c r="DX304" s="177"/>
      <c r="DY304" s="177"/>
      <c r="DZ304" s="177"/>
      <c r="EA304" s="177"/>
      <c r="EB304" s="177"/>
      <c r="EC304" s="177"/>
      <c r="ED304" s="177"/>
      <c r="EE304" s="177"/>
      <c r="EF304" s="177"/>
      <c r="EG304" s="177"/>
      <c r="EH304" s="177"/>
      <c r="EI304" s="177"/>
      <c r="EJ304" s="177"/>
      <c r="EK304" s="177"/>
      <c r="EL304" s="177"/>
      <c r="EM304" s="177"/>
      <c r="EN304" s="177"/>
    </row>
    <row r="305" spans="3:144" x14ac:dyDescent="0.2"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77"/>
      <c r="DX305" s="177"/>
      <c r="DY305" s="177"/>
      <c r="DZ305" s="177"/>
      <c r="EA305" s="177"/>
      <c r="EB305" s="177"/>
      <c r="EC305" s="177"/>
      <c r="ED305" s="177"/>
      <c r="EE305" s="177"/>
      <c r="EF305" s="177"/>
      <c r="EG305" s="177"/>
      <c r="EH305" s="177"/>
      <c r="EI305" s="177"/>
      <c r="EJ305" s="177"/>
      <c r="EK305" s="177"/>
      <c r="EL305" s="177"/>
      <c r="EM305" s="177"/>
      <c r="EN305" s="177"/>
    </row>
    <row r="306" spans="3:144" x14ac:dyDescent="0.2"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</row>
    <row r="307" spans="3:144" x14ac:dyDescent="0.2"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</row>
    <row r="308" spans="3:144" x14ac:dyDescent="0.2"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</row>
    <row r="309" spans="3:144" x14ac:dyDescent="0.2"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</row>
    <row r="310" spans="3:144" x14ac:dyDescent="0.2"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</row>
    <row r="311" spans="3:144" x14ac:dyDescent="0.2"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</row>
    <row r="312" spans="3:144" x14ac:dyDescent="0.2"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</row>
    <row r="313" spans="3:144" x14ac:dyDescent="0.2"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</row>
    <row r="314" spans="3:144" x14ac:dyDescent="0.2"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</row>
    <row r="315" spans="3:144" x14ac:dyDescent="0.2"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</row>
    <row r="316" spans="3:144" x14ac:dyDescent="0.2"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</row>
    <row r="317" spans="3:144" x14ac:dyDescent="0.2"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77"/>
      <c r="DX317" s="177"/>
      <c r="DY317" s="177"/>
      <c r="DZ317" s="177"/>
      <c r="EA317" s="177"/>
      <c r="EB317" s="177"/>
      <c r="EC317" s="177"/>
      <c r="ED317" s="177"/>
      <c r="EE317" s="177"/>
      <c r="EF317" s="177"/>
      <c r="EG317" s="177"/>
      <c r="EH317" s="177"/>
      <c r="EI317" s="177"/>
      <c r="EJ317" s="177"/>
      <c r="EK317" s="177"/>
      <c r="EL317" s="177"/>
      <c r="EM317" s="177"/>
      <c r="EN317" s="177"/>
    </row>
    <row r="318" spans="3:144" x14ac:dyDescent="0.2"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</row>
    <row r="319" spans="3:144" x14ac:dyDescent="0.2"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77"/>
      <c r="DX319" s="177"/>
      <c r="DY319" s="177"/>
      <c r="DZ319" s="177"/>
      <c r="EA319" s="177"/>
      <c r="EB319" s="177"/>
      <c r="EC319" s="177"/>
      <c r="ED319" s="177"/>
      <c r="EE319" s="177"/>
      <c r="EF319" s="177"/>
      <c r="EG319" s="177"/>
      <c r="EH319" s="177"/>
      <c r="EI319" s="177"/>
      <c r="EJ319" s="177"/>
      <c r="EK319" s="177"/>
      <c r="EL319" s="177"/>
      <c r="EM319" s="177"/>
      <c r="EN319" s="177"/>
    </row>
    <row r="320" spans="3:144" x14ac:dyDescent="0.2"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77"/>
      <c r="DX320" s="177"/>
      <c r="DY320" s="177"/>
      <c r="DZ320" s="177"/>
      <c r="EA320" s="177"/>
      <c r="EB320" s="177"/>
      <c r="EC320" s="177"/>
      <c r="ED320" s="177"/>
      <c r="EE320" s="177"/>
      <c r="EF320" s="177"/>
      <c r="EG320" s="177"/>
      <c r="EH320" s="177"/>
      <c r="EI320" s="177"/>
      <c r="EJ320" s="177"/>
      <c r="EK320" s="177"/>
      <c r="EL320" s="177"/>
      <c r="EM320" s="177"/>
      <c r="EN320" s="177"/>
    </row>
    <row r="321" spans="3:144" x14ac:dyDescent="0.2"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</row>
    <row r="322" spans="3:144" x14ac:dyDescent="0.2"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77"/>
      <c r="DX322" s="177"/>
      <c r="DY322" s="177"/>
      <c r="DZ322" s="177"/>
      <c r="EA322" s="177"/>
      <c r="EB322" s="177"/>
      <c r="EC322" s="177"/>
      <c r="ED322" s="177"/>
      <c r="EE322" s="177"/>
      <c r="EF322" s="177"/>
      <c r="EG322" s="177"/>
      <c r="EH322" s="177"/>
      <c r="EI322" s="177"/>
      <c r="EJ322" s="177"/>
      <c r="EK322" s="177"/>
      <c r="EL322" s="177"/>
      <c r="EM322" s="177"/>
      <c r="EN322" s="177"/>
    </row>
    <row r="323" spans="3:144" x14ac:dyDescent="0.2"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77"/>
      <c r="DX323" s="177"/>
      <c r="DY323" s="177"/>
      <c r="DZ323" s="177"/>
      <c r="EA323" s="177"/>
      <c r="EB323" s="177"/>
      <c r="EC323" s="177"/>
      <c r="ED323" s="177"/>
      <c r="EE323" s="177"/>
      <c r="EF323" s="177"/>
      <c r="EG323" s="177"/>
      <c r="EH323" s="177"/>
      <c r="EI323" s="177"/>
      <c r="EJ323" s="177"/>
      <c r="EK323" s="177"/>
      <c r="EL323" s="177"/>
      <c r="EM323" s="177"/>
      <c r="EN323" s="177"/>
    </row>
    <row r="324" spans="3:144" x14ac:dyDescent="0.2"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  <c r="EI324" s="177"/>
      <c r="EJ324" s="177"/>
      <c r="EK324" s="177"/>
      <c r="EL324" s="177"/>
      <c r="EM324" s="177"/>
      <c r="EN324" s="177"/>
    </row>
    <row r="325" spans="3:144" x14ac:dyDescent="0.2"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77"/>
      <c r="DX325" s="177"/>
      <c r="DY325" s="177"/>
      <c r="DZ325" s="177"/>
      <c r="EA325" s="177"/>
      <c r="EB325" s="177"/>
      <c r="EC325" s="177"/>
      <c r="ED325" s="177"/>
      <c r="EE325" s="177"/>
      <c r="EF325" s="177"/>
      <c r="EG325" s="177"/>
      <c r="EH325" s="177"/>
      <c r="EI325" s="177"/>
      <c r="EJ325" s="177"/>
      <c r="EK325" s="177"/>
      <c r="EL325" s="177"/>
      <c r="EM325" s="177"/>
      <c r="EN325" s="177"/>
    </row>
    <row r="326" spans="3:144" x14ac:dyDescent="0.2"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</row>
    <row r="327" spans="3:144" x14ac:dyDescent="0.2"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  <c r="EI327" s="177"/>
      <c r="EJ327" s="177"/>
      <c r="EK327" s="177"/>
      <c r="EL327" s="177"/>
      <c r="EM327" s="177"/>
      <c r="EN327" s="177"/>
    </row>
    <row r="328" spans="3:144" x14ac:dyDescent="0.2"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  <c r="EI328" s="177"/>
      <c r="EJ328" s="177"/>
      <c r="EK328" s="177"/>
      <c r="EL328" s="177"/>
      <c r="EM328" s="177"/>
      <c r="EN328" s="177"/>
    </row>
    <row r="329" spans="3:144" x14ac:dyDescent="0.2"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  <c r="EI329" s="177"/>
      <c r="EJ329" s="177"/>
      <c r="EK329" s="177"/>
      <c r="EL329" s="177"/>
      <c r="EM329" s="177"/>
      <c r="EN329" s="177"/>
    </row>
    <row r="330" spans="3:144" x14ac:dyDescent="0.2"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7"/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</row>
    <row r="331" spans="3:144" x14ac:dyDescent="0.2"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  <c r="EI331" s="177"/>
      <c r="EJ331" s="177"/>
      <c r="EK331" s="177"/>
      <c r="EL331" s="177"/>
      <c r="EM331" s="177"/>
      <c r="EN331" s="177"/>
    </row>
    <row r="332" spans="3:144" x14ac:dyDescent="0.2"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</row>
    <row r="333" spans="3:144" x14ac:dyDescent="0.2"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</row>
    <row r="334" spans="3:144" x14ac:dyDescent="0.2"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</row>
    <row r="335" spans="3:144" x14ac:dyDescent="0.2"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</row>
    <row r="336" spans="3:144" x14ac:dyDescent="0.2"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</row>
    <row r="337" spans="3:144" x14ac:dyDescent="0.2"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</row>
    <row r="338" spans="3:144" x14ac:dyDescent="0.2"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</row>
    <row r="339" spans="3:144" x14ac:dyDescent="0.2"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</row>
    <row r="340" spans="3:144" x14ac:dyDescent="0.2"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</row>
    <row r="341" spans="3:144" x14ac:dyDescent="0.2"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</row>
    <row r="342" spans="3:144" x14ac:dyDescent="0.2"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</row>
    <row r="343" spans="3:144" x14ac:dyDescent="0.2"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7"/>
      <c r="BN343" s="177"/>
      <c r="BO343" s="177"/>
      <c r="BP343" s="177"/>
      <c r="BQ343" s="177"/>
      <c r="BR343" s="177"/>
      <c r="BS343" s="177"/>
      <c r="BT343" s="177"/>
      <c r="BU343" s="177"/>
      <c r="BV343" s="177"/>
      <c r="BW343" s="177"/>
      <c r="BX343" s="177"/>
      <c r="BY343" s="177"/>
      <c r="BZ343" s="177"/>
      <c r="CA343" s="177"/>
      <c r="CB343" s="177"/>
      <c r="CC343" s="177"/>
      <c r="CD343" s="177"/>
      <c r="CE343" s="177"/>
      <c r="CF343" s="177"/>
      <c r="CG343" s="177"/>
      <c r="CH343" s="177"/>
      <c r="CI343" s="177"/>
      <c r="CJ343" s="177"/>
      <c r="CK343" s="177"/>
      <c r="CL343" s="177"/>
      <c r="CM343" s="177"/>
      <c r="CN343" s="177"/>
      <c r="CO343" s="177"/>
      <c r="CP343" s="177"/>
      <c r="CQ343" s="177"/>
      <c r="CR343" s="177"/>
      <c r="CS343" s="177"/>
      <c r="CT343" s="177"/>
      <c r="CU343" s="177"/>
      <c r="CV343" s="177"/>
      <c r="CW343" s="177"/>
      <c r="CX343" s="177"/>
      <c r="CY343" s="177"/>
      <c r="CZ343" s="177"/>
      <c r="DA343" s="177"/>
      <c r="DB343" s="177"/>
      <c r="DC343" s="177"/>
      <c r="DD343" s="177"/>
      <c r="DE343" s="177"/>
      <c r="DF343" s="177"/>
      <c r="DG343" s="177"/>
      <c r="DH343" s="177"/>
      <c r="DI343" s="177"/>
      <c r="DJ343" s="177"/>
      <c r="DK343" s="177"/>
      <c r="DL343" s="177"/>
      <c r="DM343" s="177"/>
      <c r="DN343" s="177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</row>
    <row r="344" spans="3:144" x14ac:dyDescent="0.2"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</row>
    <row r="345" spans="3:144" x14ac:dyDescent="0.2"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</row>
    <row r="346" spans="3:144" x14ac:dyDescent="0.2"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</row>
    <row r="347" spans="3:144" x14ac:dyDescent="0.2"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</row>
    <row r="348" spans="3:144" x14ac:dyDescent="0.2"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</row>
    <row r="349" spans="3:144" x14ac:dyDescent="0.2"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7"/>
      <c r="BR349" s="177"/>
      <c r="BS349" s="177"/>
      <c r="BT349" s="177"/>
      <c r="BU349" s="177"/>
      <c r="BV349" s="177"/>
      <c r="BW349" s="177"/>
      <c r="BX349" s="177"/>
      <c r="BY349" s="177"/>
      <c r="BZ349" s="177"/>
      <c r="CA349" s="177"/>
      <c r="CB349" s="177"/>
      <c r="CC349" s="177"/>
      <c r="CD349" s="177"/>
      <c r="CE349" s="177"/>
      <c r="CF349" s="177"/>
      <c r="CG349" s="177"/>
      <c r="CH349" s="177"/>
      <c r="CI349" s="177"/>
      <c r="CJ349" s="177"/>
      <c r="CK349" s="177"/>
      <c r="CL349" s="177"/>
      <c r="CM349" s="177"/>
      <c r="CN349" s="177"/>
      <c r="CO349" s="177"/>
      <c r="CP349" s="177"/>
      <c r="CQ349" s="177"/>
      <c r="CR349" s="177"/>
      <c r="CS349" s="177"/>
      <c r="CT349" s="177"/>
      <c r="CU349" s="177"/>
      <c r="CV349" s="177"/>
      <c r="CW349" s="177"/>
      <c r="CX349" s="177"/>
      <c r="CY349" s="177"/>
      <c r="CZ349" s="177"/>
      <c r="DA349" s="177"/>
      <c r="DB349" s="177"/>
      <c r="DC349" s="177"/>
      <c r="DD349" s="177"/>
      <c r="DE349" s="177"/>
      <c r="DF349" s="177"/>
      <c r="DG349" s="177"/>
      <c r="DH349" s="177"/>
      <c r="DI349" s="177"/>
      <c r="DJ349" s="177"/>
      <c r="DK349" s="177"/>
      <c r="DL349" s="177"/>
      <c r="DM349" s="177"/>
      <c r="DN349" s="177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</row>
    <row r="350" spans="3:144" x14ac:dyDescent="0.2"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</row>
    <row r="351" spans="3:144" x14ac:dyDescent="0.2"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  <c r="EI351" s="177"/>
      <c r="EJ351" s="177"/>
      <c r="EK351" s="177"/>
      <c r="EL351" s="177"/>
      <c r="EM351" s="177"/>
      <c r="EN351" s="177"/>
    </row>
    <row r="352" spans="3:144" x14ac:dyDescent="0.2"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77"/>
      <c r="DX352" s="177"/>
      <c r="DY352" s="177"/>
      <c r="DZ352" s="177"/>
      <c r="EA352" s="177"/>
      <c r="EB352" s="177"/>
      <c r="EC352" s="177"/>
      <c r="ED352" s="177"/>
      <c r="EE352" s="177"/>
      <c r="EF352" s="177"/>
      <c r="EG352" s="177"/>
      <c r="EH352" s="177"/>
      <c r="EI352" s="177"/>
      <c r="EJ352" s="177"/>
      <c r="EK352" s="177"/>
      <c r="EL352" s="177"/>
      <c r="EM352" s="177"/>
      <c r="EN352" s="177"/>
    </row>
    <row r="353" spans="3:144" x14ac:dyDescent="0.2"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77"/>
      <c r="DX353" s="177"/>
      <c r="DY353" s="177"/>
      <c r="DZ353" s="177"/>
      <c r="EA353" s="177"/>
      <c r="EB353" s="177"/>
      <c r="EC353" s="177"/>
      <c r="ED353" s="177"/>
      <c r="EE353" s="177"/>
      <c r="EF353" s="177"/>
      <c r="EG353" s="177"/>
      <c r="EH353" s="177"/>
      <c r="EI353" s="177"/>
      <c r="EJ353" s="177"/>
      <c r="EK353" s="177"/>
      <c r="EL353" s="177"/>
      <c r="EM353" s="177"/>
      <c r="EN353" s="177"/>
    </row>
    <row r="354" spans="3:144" x14ac:dyDescent="0.2"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77"/>
      <c r="DX354" s="177"/>
      <c r="DY354" s="177"/>
      <c r="DZ354" s="177"/>
      <c r="EA354" s="177"/>
      <c r="EB354" s="177"/>
      <c r="EC354" s="177"/>
      <c r="ED354" s="177"/>
      <c r="EE354" s="177"/>
      <c r="EF354" s="177"/>
      <c r="EG354" s="177"/>
      <c r="EH354" s="177"/>
      <c r="EI354" s="177"/>
      <c r="EJ354" s="177"/>
      <c r="EK354" s="177"/>
      <c r="EL354" s="177"/>
      <c r="EM354" s="177"/>
      <c r="EN354" s="177"/>
    </row>
    <row r="355" spans="3:144" x14ac:dyDescent="0.2"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77"/>
      <c r="DX355" s="177"/>
      <c r="DY355" s="177"/>
      <c r="DZ355" s="177"/>
      <c r="EA355" s="177"/>
      <c r="EB355" s="177"/>
      <c r="EC355" s="177"/>
      <c r="ED355" s="177"/>
      <c r="EE355" s="177"/>
      <c r="EF355" s="177"/>
      <c r="EG355" s="177"/>
      <c r="EH355" s="177"/>
      <c r="EI355" s="177"/>
      <c r="EJ355" s="177"/>
      <c r="EK355" s="177"/>
      <c r="EL355" s="177"/>
      <c r="EM355" s="177"/>
      <c r="EN355" s="177"/>
    </row>
    <row r="356" spans="3:144" x14ac:dyDescent="0.2"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  <c r="EI356" s="177"/>
      <c r="EJ356" s="177"/>
      <c r="EK356" s="177"/>
      <c r="EL356" s="177"/>
      <c r="EM356" s="177"/>
      <c r="EN356" s="177"/>
    </row>
    <row r="357" spans="3:144" x14ac:dyDescent="0.2"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7"/>
      <c r="BN357" s="177"/>
      <c r="BO357" s="177"/>
      <c r="BP357" s="177"/>
      <c r="BQ357" s="177"/>
      <c r="BR357" s="177"/>
      <c r="BS357" s="177"/>
      <c r="BT357" s="177"/>
      <c r="BU357" s="177"/>
      <c r="BV357" s="177"/>
      <c r="BW357" s="177"/>
      <c r="BX357" s="177"/>
      <c r="BY357" s="177"/>
      <c r="BZ357" s="177"/>
      <c r="CA357" s="177"/>
      <c r="CB357" s="177"/>
      <c r="CC357" s="177"/>
      <c r="CD357" s="177"/>
      <c r="CE357" s="177"/>
      <c r="CF357" s="177"/>
      <c r="CG357" s="177"/>
      <c r="CH357" s="177"/>
      <c r="CI357" s="177"/>
      <c r="CJ357" s="177"/>
      <c r="CK357" s="177"/>
      <c r="CL357" s="177"/>
      <c r="CM357" s="177"/>
      <c r="CN357" s="177"/>
      <c r="CO357" s="177"/>
      <c r="CP357" s="177"/>
      <c r="CQ357" s="177"/>
      <c r="CR357" s="177"/>
      <c r="CS357" s="177"/>
      <c r="CT357" s="177"/>
      <c r="CU357" s="177"/>
      <c r="CV357" s="177"/>
      <c r="CW357" s="177"/>
      <c r="CX357" s="177"/>
      <c r="CY357" s="177"/>
      <c r="CZ357" s="177"/>
      <c r="DA357" s="177"/>
      <c r="DB357" s="177"/>
      <c r="DC357" s="177"/>
      <c r="DD357" s="177"/>
      <c r="DE357" s="177"/>
      <c r="DF357" s="177"/>
      <c r="DG357" s="177"/>
      <c r="DH357" s="177"/>
      <c r="DI357" s="177"/>
      <c r="DJ357" s="177"/>
      <c r="DK357" s="177"/>
      <c r="DL357" s="177"/>
      <c r="DM357" s="177"/>
      <c r="DN357" s="177"/>
      <c r="DO357" s="177"/>
      <c r="DP357" s="177"/>
      <c r="DQ357" s="177"/>
      <c r="DR357" s="177"/>
      <c r="DS357" s="177"/>
      <c r="DT357" s="177"/>
      <c r="DU357" s="177"/>
      <c r="DV357" s="177"/>
      <c r="DW357" s="177"/>
      <c r="DX357" s="177"/>
      <c r="DY357" s="177"/>
      <c r="DZ357" s="177"/>
      <c r="EA357" s="177"/>
      <c r="EB357" s="177"/>
      <c r="EC357" s="177"/>
      <c r="ED357" s="177"/>
      <c r="EE357" s="177"/>
      <c r="EF357" s="177"/>
      <c r="EG357" s="177"/>
      <c r="EH357" s="177"/>
      <c r="EI357" s="177"/>
      <c r="EJ357" s="177"/>
      <c r="EK357" s="177"/>
      <c r="EL357" s="177"/>
      <c r="EM357" s="177"/>
      <c r="EN357" s="177"/>
    </row>
    <row r="358" spans="3:144" x14ac:dyDescent="0.2"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7"/>
      <c r="CC358" s="177"/>
      <c r="CD358" s="177"/>
      <c r="CE358" s="177"/>
      <c r="CF358" s="177"/>
      <c r="CG358" s="177"/>
      <c r="CH358" s="177"/>
      <c r="CI358" s="177"/>
      <c r="CJ358" s="177"/>
      <c r="CK358" s="177"/>
      <c r="CL358" s="177"/>
      <c r="CM358" s="177"/>
      <c r="CN358" s="177"/>
      <c r="CO358" s="177"/>
      <c r="CP358" s="177"/>
      <c r="CQ358" s="177"/>
      <c r="CR358" s="177"/>
      <c r="CS358" s="177"/>
      <c r="CT358" s="177"/>
      <c r="CU358" s="177"/>
      <c r="CV358" s="177"/>
      <c r="CW358" s="177"/>
      <c r="CX358" s="177"/>
      <c r="CY358" s="177"/>
      <c r="CZ358" s="177"/>
      <c r="DA358" s="177"/>
      <c r="DB358" s="177"/>
      <c r="DC358" s="177"/>
      <c r="DD358" s="177"/>
      <c r="DE358" s="177"/>
      <c r="DF358" s="177"/>
      <c r="DG358" s="177"/>
      <c r="DH358" s="177"/>
      <c r="DI358" s="177"/>
      <c r="DJ358" s="177"/>
      <c r="DK358" s="177"/>
      <c r="DL358" s="177"/>
      <c r="DM358" s="177"/>
      <c r="DN358" s="177"/>
      <c r="DO358" s="177"/>
      <c r="DP358" s="177"/>
      <c r="DQ358" s="177"/>
      <c r="DR358" s="177"/>
      <c r="DS358" s="177"/>
      <c r="DT358" s="177"/>
      <c r="DU358" s="177"/>
      <c r="DV358" s="177"/>
      <c r="DW358" s="177"/>
      <c r="DX358" s="177"/>
      <c r="DY358" s="177"/>
      <c r="DZ358" s="177"/>
      <c r="EA358" s="177"/>
      <c r="EB358" s="177"/>
      <c r="EC358" s="177"/>
      <c r="ED358" s="177"/>
      <c r="EE358" s="177"/>
      <c r="EF358" s="177"/>
      <c r="EG358" s="177"/>
      <c r="EH358" s="177"/>
      <c r="EI358" s="177"/>
      <c r="EJ358" s="177"/>
      <c r="EK358" s="177"/>
      <c r="EL358" s="177"/>
      <c r="EM358" s="177"/>
      <c r="EN358" s="177"/>
    </row>
    <row r="359" spans="3:144" x14ac:dyDescent="0.2"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7"/>
      <c r="CC359" s="177"/>
      <c r="CD359" s="177"/>
      <c r="CE359" s="177"/>
      <c r="CF359" s="177"/>
      <c r="CG359" s="177"/>
      <c r="CH359" s="177"/>
      <c r="CI359" s="177"/>
      <c r="CJ359" s="177"/>
      <c r="CK359" s="177"/>
      <c r="CL359" s="177"/>
      <c r="CM359" s="177"/>
      <c r="CN359" s="177"/>
      <c r="CO359" s="177"/>
      <c r="CP359" s="177"/>
      <c r="CQ359" s="177"/>
      <c r="CR359" s="177"/>
      <c r="CS359" s="177"/>
      <c r="CT359" s="177"/>
      <c r="CU359" s="177"/>
      <c r="CV359" s="177"/>
      <c r="CW359" s="177"/>
      <c r="CX359" s="177"/>
      <c r="CY359" s="177"/>
      <c r="CZ359" s="177"/>
      <c r="DA359" s="177"/>
      <c r="DB359" s="177"/>
      <c r="DC359" s="177"/>
      <c r="DD359" s="177"/>
      <c r="DE359" s="177"/>
      <c r="DF359" s="177"/>
      <c r="DG359" s="177"/>
      <c r="DH359" s="177"/>
      <c r="DI359" s="177"/>
      <c r="DJ359" s="177"/>
      <c r="DK359" s="177"/>
      <c r="DL359" s="177"/>
      <c r="DM359" s="177"/>
      <c r="DN359" s="177"/>
      <c r="DO359" s="177"/>
      <c r="DP359" s="177"/>
      <c r="DQ359" s="177"/>
      <c r="DR359" s="177"/>
      <c r="DS359" s="177"/>
      <c r="DT359" s="177"/>
      <c r="DU359" s="177"/>
      <c r="DV359" s="177"/>
      <c r="DW359" s="177"/>
      <c r="DX359" s="177"/>
      <c r="DY359" s="177"/>
      <c r="DZ359" s="177"/>
      <c r="EA359" s="177"/>
      <c r="EB359" s="177"/>
      <c r="EC359" s="177"/>
      <c r="ED359" s="177"/>
      <c r="EE359" s="177"/>
      <c r="EF359" s="177"/>
      <c r="EG359" s="177"/>
      <c r="EH359" s="177"/>
      <c r="EI359" s="177"/>
      <c r="EJ359" s="177"/>
      <c r="EK359" s="177"/>
      <c r="EL359" s="177"/>
      <c r="EM359" s="177"/>
      <c r="EN359" s="177"/>
    </row>
    <row r="360" spans="3:144" x14ac:dyDescent="0.2"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7"/>
      <c r="CC360" s="177"/>
      <c r="CD360" s="177"/>
      <c r="CE360" s="177"/>
      <c r="CF360" s="177"/>
      <c r="CG360" s="177"/>
      <c r="CH360" s="177"/>
      <c r="CI360" s="177"/>
      <c r="CJ360" s="177"/>
      <c r="CK360" s="177"/>
      <c r="CL360" s="177"/>
      <c r="CM360" s="177"/>
      <c r="CN360" s="177"/>
      <c r="CO360" s="177"/>
      <c r="CP360" s="177"/>
      <c r="CQ360" s="177"/>
      <c r="CR360" s="177"/>
      <c r="CS360" s="177"/>
      <c r="CT360" s="177"/>
      <c r="CU360" s="177"/>
      <c r="CV360" s="177"/>
      <c r="CW360" s="177"/>
      <c r="CX360" s="177"/>
      <c r="CY360" s="177"/>
      <c r="CZ360" s="177"/>
      <c r="DA360" s="177"/>
      <c r="DB360" s="177"/>
      <c r="DC360" s="177"/>
      <c r="DD360" s="177"/>
      <c r="DE360" s="177"/>
      <c r="DF360" s="177"/>
      <c r="DG360" s="177"/>
      <c r="DH360" s="177"/>
      <c r="DI360" s="177"/>
      <c r="DJ360" s="177"/>
      <c r="DK360" s="177"/>
      <c r="DL360" s="177"/>
      <c r="DM360" s="177"/>
      <c r="DN360" s="177"/>
      <c r="DO360" s="177"/>
      <c r="DP360" s="177"/>
      <c r="DQ360" s="177"/>
      <c r="DR360" s="177"/>
      <c r="DS360" s="177"/>
      <c r="DT360" s="177"/>
      <c r="DU360" s="177"/>
      <c r="DV360" s="177"/>
      <c r="DW360" s="177"/>
      <c r="DX360" s="177"/>
      <c r="DY360" s="177"/>
      <c r="DZ360" s="177"/>
      <c r="EA360" s="177"/>
      <c r="EB360" s="177"/>
      <c r="EC360" s="177"/>
      <c r="ED360" s="177"/>
      <c r="EE360" s="177"/>
      <c r="EF360" s="177"/>
      <c r="EG360" s="177"/>
      <c r="EH360" s="177"/>
      <c r="EI360" s="177"/>
      <c r="EJ360" s="177"/>
      <c r="EK360" s="177"/>
      <c r="EL360" s="177"/>
      <c r="EM360" s="177"/>
      <c r="EN360" s="177"/>
    </row>
    <row r="361" spans="3:144" x14ac:dyDescent="0.2"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7"/>
      <c r="CC361" s="177"/>
      <c r="CD361" s="177"/>
      <c r="CE361" s="177"/>
      <c r="CF361" s="177"/>
      <c r="CG361" s="177"/>
      <c r="CH361" s="177"/>
      <c r="CI361" s="177"/>
      <c r="CJ361" s="177"/>
      <c r="CK361" s="177"/>
      <c r="CL361" s="177"/>
      <c r="CM361" s="177"/>
      <c r="CN361" s="177"/>
      <c r="CO361" s="177"/>
      <c r="CP361" s="177"/>
      <c r="CQ361" s="177"/>
      <c r="CR361" s="177"/>
      <c r="CS361" s="177"/>
      <c r="CT361" s="177"/>
      <c r="CU361" s="177"/>
      <c r="CV361" s="177"/>
      <c r="CW361" s="177"/>
      <c r="CX361" s="177"/>
      <c r="CY361" s="177"/>
      <c r="CZ361" s="177"/>
      <c r="DA361" s="177"/>
      <c r="DB361" s="177"/>
      <c r="DC361" s="177"/>
      <c r="DD361" s="177"/>
      <c r="DE361" s="177"/>
      <c r="DF361" s="177"/>
      <c r="DG361" s="177"/>
      <c r="DH361" s="177"/>
      <c r="DI361" s="177"/>
      <c r="DJ361" s="177"/>
      <c r="DK361" s="177"/>
      <c r="DL361" s="177"/>
      <c r="DM361" s="177"/>
      <c r="DN361" s="177"/>
      <c r="DO361" s="177"/>
      <c r="DP361" s="177"/>
      <c r="DQ361" s="177"/>
      <c r="DR361" s="177"/>
      <c r="DS361" s="177"/>
      <c r="DT361" s="177"/>
      <c r="DU361" s="177"/>
      <c r="DV361" s="177"/>
      <c r="DW361" s="177"/>
      <c r="DX361" s="177"/>
      <c r="DY361" s="177"/>
      <c r="DZ361" s="177"/>
      <c r="EA361" s="177"/>
      <c r="EB361" s="177"/>
      <c r="EC361" s="177"/>
      <c r="ED361" s="177"/>
      <c r="EE361" s="177"/>
      <c r="EF361" s="177"/>
      <c r="EG361" s="177"/>
      <c r="EH361" s="177"/>
      <c r="EI361" s="177"/>
      <c r="EJ361" s="177"/>
      <c r="EK361" s="177"/>
      <c r="EL361" s="177"/>
      <c r="EM361" s="177"/>
      <c r="EN361" s="177"/>
    </row>
    <row r="362" spans="3:144" x14ac:dyDescent="0.2"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  <c r="BI362" s="177"/>
      <c r="BJ362" s="177"/>
      <c r="BK362" s="177"/>
      <c r="BL362" s="177"/>
      <c r="BM362" s="177"/>
      <c r="BN362" s="177"/>
      <c r="BO362" s="177"/>
      <c r="BP362" s="177"/>
      <c r="BQ362" s="177"/>
      <c r="BR362" s="177"/>
      <c r="BS362" s="177"/>
      <c r="BT362" s="177"/>
      <c r="BU362" s="177"/>
      <c r="BV362" s="177"/>
      <c r="BW362" s="177"/>
      <c r="BX362" s="177"/>
      <c r="BY362" s="177"/>
      <c r="BZ362" s="177"/>
      <c r="CA362" s="177"/>
      <c r="CB362" s="177"/>
      <c r="CC362" s="177"/>
      <c r="CD362" s="177"/>
      <c r="CE362" s="177"/>
      <c r="CF362" s="177"/>
      <c r="CG362" s="177"/>
      <c r="CH362" s="177"/>
      <c r="CI362" s="177"/>
      <c r="CJ362" s="177"/>
      <c r="CK362" s="177"/>
      <c r="CL362" s="177"/>
      <c r="CM362" s="177"/>
      <c r="CN362" s="177"/>
      <c r="CO362" s="177"/>
      <c r="CP362" s="177"/>
      <c r="CQ362" s="177"/>
      <c r="CR362" s="177"/>
      <c r="CS362" s="177"/>
      <c r="CT362" s="177"/>
      <c r="CU362" s="177"/>
      <c r="CV362" s="177"/>
      <c r="CW362" s="177"/>
      <c r="CX362" s="177"/>
      <c r="CY362" s="177"/>
      <c r="CZ362" s="177"/>
      <c r="DA362" s="177"/>
      <c r="DB362" s="177"/>
      <c r="DC362" s="177"/>
      <c r="DD362" s="177"/>
      <c r="DE362" s="177"/>
      <c r="DF362" s="177"/>
      <c r="DG362" s="177"/>
      <c r="DH362" s="177"/>
      <c r="DI362" s="177"/>
      <c r="DJ362" s="177"/>
      <c r="DK362" s="177"/>
      <c r="DL362" s="177"/>
      <c r="DM362" s="177"/>
      <c r="DN362" s="177"/>
      <c r="DO362" s="177"/>
      <c r="DP362" s="177"/>
      <c r="DQ362" s="177"/>
      <c r="DR362" s="177"/>
      <c r="DS362" s="177"/>
      <c r="DT362" s="177"/>
      <c r="DU362" s="177"/>
      <c r="DV362" s="177"/>
      <c r="DW362" s="177"/>
      <c r="DX362" s="177"/>
      <c r="DY362" s="177"/>
      <c r="DZ362" s="177"/>
      <c r="EA362" s="177"/>
      <c r="EB362" s="177"/>
      <c r="EC362" s="177"/>
      <c r="ED362" s="177"/>
      <c r="EE362" s="177"/>
      <c r="EF362" s="177"/>
      <c r="EG362" s="177"/>
      <c r="EH362" s="177"/>
      <c r="EI362" s="177"/>
      <c r="EJ362" s="177"/>
      <c r="EK362" s="177"/>
      <c r="EL362" s="177"/>
      <c r="EM362" s="177"/>
      <c r="EN362" s="177"/>
    </row>
    <row r="363" spans="3:144" x14ac:dyDescent="0.2"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177"/>
      <c r="BZ363" s="177"/>
      <c r="CA363" s="177"/>
      <c r="CB363" s="177"/>
      <c r="CC363" s="177"/>
      <c r="CD363" s="177"/>
      <c r="CE363" s="177"/>
      <c r="CF363" s="177"/>
      <c r="CG363" s="177"/>
      <c r="CH363" s="177"/>
      <c r="CI363" s="177"/>
      <c r="CJ363" s="177"/>
      <c r="CK363" s="177"/>
      <c r="CL363" s="177"/>
      <c r="CM363" s="177"/>
      <c r="CN363" s="177"/>
      <c r="CO363" s="177"/>
      <c r="CP363" s="177"/>
      <c r="CQ363" s="177"/>
      <c r="CR363" s="177"/>
      <c r="CS363" s="177"/>
      <c r="CT363" s="177"/>
      <c r="CU363" s="177"/>
      <c r="CV363" s="177"/>
      <c r="CW363" s="177"/>
      <c r="CX363" s="177"/>
      <c r="CY363" s="177"/>
      <c r="CZ363" s="177"/>
      <c r="DA363" s="177"/>
      <c r="DB363" s="177"/>
      <c r="DC363" s="177"/>
      <c r="DD363" s="177"/>
      <c r="DE363" s="177"/>
      <c r="DF363" s="177"/>
      <c r="DG363" s="177"/>
      <c r="DH363" s="177"/>
      <c r="DI363" s="177"/>
      <c r="DJ363" s="177"/>
      <c r="DK363" s="177"/>
      <c r="DL363" s="177"/>
      <c r="DM363" s="177"/>
      <c r="DN363" s="177"/>
      <c r="DO363" s="177"/>
      <c r="DP363" s="177"/>
      <c r="DQ363" s="177"/>
      <c r="DR363" s="177"/>
      <c r="DS363" s="177"/>
      <c r="DT363" s="177"/>
      <c r="DU363" s="177"/>
      <c r="DV363" s="177"/>
      <c r="DW363" s="177"/>
      <c r="DX363" s="177"/>
      <c r="DY363" s="177"/>
      <c r="DZ363" s="177"/>
      <c r="EA363" s="177"/>
      <c r="EB363" s="177"/>
      <c r="EC363" s="177"/>
      <c r="ED363" s="177"/>
      <c r="EE363" s="177"/>
      <c r="EF363" s="177"/>
      <c r="EG363" s="177"/>
      <c r="EH363" s="177"/>
      <c r="EI363" s="177"/>
      <c r="EJ363" s="177"/>
      <c r="EK363" s="177"/>
      <c r="EL363" s="177"/>
      <c r="EM363" s="177"/>
      <c r="EN363" s="177"/>
    </row>
    <row r="364" spans="3:144" x14ac:dyDescent="0.2"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177"/>
      <c r="BN364" s="177"/>
      <c r="BO364" s="177"/>
      <c r="BP364" s="177"/>
      <c r="BQ364" s="177"/>
      <c r="BR364" s="177"/>
      <c r="BS364" s="177"/>
      <c r="BT364" s="177"/>
      <c r="BU364" s="177"/>
      <c r="BV364" s="177"/>
      <c r="BW364" s="177"/>
      <c r="BX364" s="177"/>
      <c r="BY364" s="177"/>
      <c r="BZ364" s="177"/>
      <c r="CA364" s="177"/>
      <c r="CB364" s="177"/>
      <c r="CC364" s="177"/>
      <c r="CD364" s="177"/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</row>
    <row r="365" spans="3:144" x14ac:dyDescent="0.2"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  <c r="BI365" s="177"/>
      <c r="BJ365" s="177"/>
      <c r="BK365" s="177"/>
      <c r="BL365" s="177"/>
      <c r="BM365" s="177"/>
      <c r="BN365" s="177"/>
      <c r="BO365" s="177"/>
      <c r="BP365" s="177"/>
      <c r="BQ365" s="177"/>
      <c r="BR365" s="177"/>
      <c r="BS365" s="177"/>
      <c r="BT365" s="177"/>
      <c r="BU365" s="177"/>
      <c r="BV365" s="177"/>
      <c r="BW365" s="177"/>
      <c r="BX365" s="177"/>
      <c r="BY365" s="177"/>
      <c r="BZ365" s="177"/>
      <c r="CA365" s="177"/>
      <c r="CB365" s="177"/>
      <c r="CC365" s="177"/>
      <c r="CD365" s="177"/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</row>
    <row r="366" spans="3:144" x14ac:dyDescent="0.2"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</row>
    <row r="367" spans="3:144" x14ac:dyDescent="0.2"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  <c r="BI367" s="177"/>
      <c r="BJ367" s="177"/>
      <c r="BK367" s="177"/>
      <c r="BL367" s="177"/>
      <c r="BM367" s="177"/>
      <c r="BN367" s="177"/>
      <c r="BO367" s="177"/>
      <c r="BP367" s="177"/>
      <c r="BQ367" s="177"/>
      <c r="BR367" s="177"/>
      <c r="BS367" s="177"/>
      <c r="BT367" s="177"/>
      <c r="BU367" s="177"/>
      <c r="BV367" s="177"/>
      <c r="BW367" s="177"/>
      <c r="BX367" s="177"/>
      <c r="BY367" s="177"/>
      <c r="BZ367" s="177"/>
      <c r="CA367" s="177"/>
      <c r="CB367" s="177"/>
      <c r="CC367" s="177"/>
      <c r="CD367" s="177"/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</row>
    <row r="368" spans="3:144" x14ac:dyDescent="0.2"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  <c r="BI368" s="177"/>
      <c r="BJ368" s="177"/>
      <c r="BK368" s="177"/>
      <c r="BL368" s="177"/>
      <c r="BM368" s="177"/>
      <c r="BN368" s="177"/>
      <c r="BO368" s="177"/>
      <c r="BP368" s="177"/>
      <c r="BQ368" s="177"/>
      <c r="BR368" s="177"/>
      <c r="BS368" s="177"/>
      <c r="BT368" s="177"/>
      <c r="BU368" s="177"/>
      <c r="BV368" s="177"/>
      <c r="BW368" s="177"/>
      <c r="BX368" s="177"/>
      <c r="BY368" s="177"/>
      <c r="BZ368" s="177"/>
      <c r="CA368" s="177"/>
      <c r="CB368" s="177"/>
      <c r="CC368" s="177"/>
      <c r="CD368" s="177"/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</row>
    <row r="369" spans="3:144" x14ac:dyDescent="0.2"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7"/>
      <c r="BN369" s="177"/>
      <c r="BO369" s="177"/>
      <c r="BP369" s="177"/>
      <c r="BQ369" s="177"/>
      <c r="BR369" s="177"/>
      <c r="BS369" s="177"/>
      <c r="BT369" s="177"/>
      <c r="BU369" s="177"/>
      <c r="BV369" s="177"/>
      <c r="BW369" s="177"/>
      <c r="BX369" s="177"/>
      <c r="BY369" s="177"/>
      <c r="BZ369" s="177"/>
      <c r="CA369" s="177"/>
      <c r="CB369" s="177"/>
      <c r="CC369" s="177"/>
      <c r="CD369" s="177"/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</row>
    <row r="370" spans="3:144" x14ac:dyDescent="0.2"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7"/>
      <c r="BW370" s="177"/>
      <c r="BX370" s="177"/>
      <c r="BY370" s="177"/>
      <c r="BZ370" s="177"/>
      <c r="CA370" s="177"/>
      <c r="CB370" s="177"/>
      <c r="CC370" s="177"/>
      <c r="CD370" s="177"/>
      <c r="CE370" s="177"/>
      <c r="CF370" s="177"/>
      <c r="CG370" s="177"/>
      <c r="CH370" s="177"/>
      <c r="CI370" s="177"/>
      <c r="CJ370" s="177"/>
      <c r="CK370" s="177"/>
      <c r="CL370" s="177"/>
      <c r="CM370" s="177"/>
      <c r="CN370" s="177"/>
      <c r="CO370" s="177"/>
      <c r="CP370" s="177"/>
      <c r="CQ370" s="177"/>
      <c r="CR370" s="177"/>
      <c r="CS370" s="177"/>
      <c r="CT370" s="177"/>
      <c r="CU370" s="177"/>
      <c r="CV370" s="177"/>
      <c r="CW370" s="177"/>
      <c r="CX370" s="177"/>
      <c r="CY370" s="177"/>
      <c r="CZ370" s="177"/>
      <c r="DA370" s="177"/>
      <c r="DB370" s="177"/>
      <c r="DC370" s="177"/>
      <c r="DD370" s="177"/>
      <c r="DE370" s="177"/>
      <c r="DF370" s="177"/>
      <c r="DG370" s="177"/>
      <c r="DH370" s="177"/>
      <c r="DI370" s="177"/>
      <c r="DJ370" s="177"/>
      <c r="DK370" s="177"/>
      <c r="DL370" s="177"/>
      <c r="DM370" s="177"/>
      <c r="DN370" s="177"/>
      <c r="DO370" s="177"/>
      <c r="DP370" s="177"/>
      <c r="DQ370" s="177"/>
      <c r="DR370" s="177"/>
      <c r="DS370" s="177"/>
      <c r="DT370" s="177"/>
      <c r="DU370" s="177"/>
      <c r="DV370" s="177"/>
      <c r="DW370" s="177"/>
      <c r="DX370" s="177"/>
      <c r="DY370" s="177"/>
      <c r="DZ370" s="177"/>
      <c r="EA370" s="177"/>
      <c r="EB370" s="177"/>
      <c r="EC370" s="177"/>
      <c r="ED370" s="177"/>
      <c r="EE370" s="177"/>
      <c r="EF370" s="177"/>
      <c r="EG370" s="177"/>
      <c r="EH370" s="177"/>
      <c r="EI370" s="177"/>
      <c r="EJ370" s="177"/>
      <c r="EK370" s="177"/>
      <c r="EL370" s="177"/>
      <c r="EM370" s="177"/>
      <c r="EN370" s="177"/>
    </row>
    <row r="371" spans="3:144" x14ac:dyDescent="0.2"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7"/>
      <c r="CC371" s="177"/>
      <c r="CD371" s="177"/>
      <c r="CE371" s="177"/>
      <c r="CF371" s="177"/>
      <c r="CG371" s="177"/>
      <c r="CH371" s="177"/>
      <c r="CI371" s="177"/>
      <c r="CJ371" s="177"/>
      <c r="CK371" s="177"/>
      <c r="CL371" s="177"/>
      <c r="CM371" s="177"/>
      <c r="CN371" s="177"/>
      <c r="CO371" s="177"/>
      <c r="CP371" s="177"/>
      <c r="CQ371" s="177"/>
      <c r="CR371" s="177"/>
      <c r="CS371" s="177"/>
      <c r="CT371" s="177"/>
      <c r="CU371" s="177"/>
      <c r="CV371" s="177"/>
      <c r="CW371" s="177"/>
      <c r="CX371" s="177"/>
      <c r="CY371" s="177"/>
      <c r="CZ371" s="177"/>
      <c r="DA371" s="177"/>
      <c r="DB371" s="177"/>
      <c r="DC371" s="177"/>
      <c r="DD371" s="177"/>
      <c r="DE371" s="177"/>
      <c r="DF371" s="177"/>
      <c r="DG371" s="177"/>
      <c r="DH371" s="177"/>
      <c r="DI371" s="177"/>
      <c r="DJ371" s="177"/>
      <c r="DK371" s="177"/>
      <c r="DL371" s="177"/>
      <c r="DM371" s="177"/>
      <c r="DN371" s="177"/>
      <c r="DO371" s="177"/>
      <c r="DP371" s="177"/>
      <c r="DQ371" s="177"/>
      <c r="DR371" s="177"/>
      <c r="DS371" s="177"/>
      <c r="DT371" s="177"/>
      <c r="DU371" s="177"/>
      <c r="DV371" s="177"/>
      <c r="DW371" s="177"/>
      <c r="DX371" s="177"/>
      <c r="DY371" s="177"/>
      <c r="DZ371" s="177"/>
      <c r="EA371" s="177"/>
      <c r="EB371" s="177"/>
      <c r="EC371" s="177"/>
      <c r="ED371" s="177"/>
      <c r="EE371" s="177"/>
      <c r="EF371" s="177"/>
      <c r="EG371" s="177"/>
      <c r="EH371" s="177"/>
      <c r="EI371" s="177"/>
      <c r="EJ371" s="177"/>
      <c r="EK371" s="177"/>
      <c r="EL371" s="177"/>
      <c r="EM371" s="177"/>
      <c r="EN371" s="177"/>
    </row>
    <row r="372" spans="3:144" x14ac:dyDescent="0.2"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177"/>
      <c r="BZ372" s="177"/>
      <c r="CA372" s="177"/>
      <c r="CB372" s="177"/>
      <c r="CC372" s="177"/>
      <c r="CD372" s="177"/>
      <c r="CE372" s="177"/>
      <c r="CF372" s="177"/>
      <c r="CG372" s="177"/>
      <c r="CH372" s="177"/>
      <c r="CI372" s="177"/>
      <c r="CJ372" s="177"/>
      <c r="CK372" s="177"/>
      <c r="CL372" s="177"/>
      <c r="CM372" s="177"/>
      <c r="CN372" s="177"/>
      <c r="CO372" s="177"/>
      <c r="CP372" s="177"/>
      <c r="CQ372" s="177"/>
      <c r="CR372" s="177"/>
      <c r="CS372" s="177"/>
      <c r="CT372" s="177"/>
      <c r="CU372" s="177"/>
      <c r="CV372" s="177"/>
      <c r="CW372" s="177"/>
      <c r="CX372" s="177"/>
      <c r="CY372" s="177"/>
      <c r="CZ372" s="177"/>
      <c r="DA372" s="177"/>
      <c r="DB372" s="177"/>
      <c r="DC372" s="177"/>
      <c r="DD372" s="177"/>
      <c r="DE372" s="177"/>
      <c r="DF372" s="177"/>
      <c r="DG372" s="177"/>
      <c r="DH372" s="177"/>
      <c r="DI372" s="177"/>
      <c r="DJ372" s="177"/>
      <c r="DK372" s="177"/>
      <c r="DL372" s="177"/>
      <c r="DM372" s="177"/>
      <c r="DN372" s="177"/>
      <c r="DO372" s="177"/>
      <c r="DP372" s="177"/>
      <c r="DQ372" s="177"/>
      <c r="DR372" s="177"/>
      <c r="DS372" s="177"/>
      <c r="DT372" s="177"/>
      <c r="DU372" s="177"/>
      <c r="DV372" s="177"/>
      <c r="DW372" s="177"/>
      <c r="DX372" s="177"/>
      <c r="DY372" s="177"/>
      <c r="DZ372" s="177"/>
      <c r="EA372" s="177"/>
      <c r="EB372" s="177"/>
      <c r="EC372" s="177"/>
      <c r="ED372" s="177"/>
      <c r="EE372" s="177"/>
      <c r="EF372" s="177"/>
      <c r="EG372" s="177"/>
      <c r="EH372" s="177"/>
      <c r="EI372" s="177"/>
      <c r="EJ372" s="177"/>
      <c r="EK372" s="177"/>
      <c r="EL372" s="177"/>
      <c r="EM372" s="177"/>
      <c r="EN372" s="177"/>
    </row>
    <row r="373" spans="3:144" x14ac:dyDescent="0.2"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7"/>
      <c r="CC373" s="177"/>
      <c r="CD373" s="177"/>
      <c r="CE373" s="177"/>
      <c r="CF373" s="177"/>
      <c r="CG373" s="177"/>
      <c r="CH373" s="177"/>
      <c r="CI373" s="177"/>
      <c r="CJ373" s="177"/>
      <c r="CK373" s="177"/>
      <c r="CL373" s="177"/>
      <c r="CM373" s="177"/>
      <c r="CN373" s="177"/>
      <c r="CO373" s="177"/>
      <c r="CP373" s="177"/>
      <c r="CQ373" s="177"/>
      <c r="CR373" s="177"/>
      <c r="CS373" s="177"/>
      <c r="CT373" s="177"/>
      <c r="CU373" s="177"/>
      <c r="CV373" s="177"/>
      <c r="CW373" s="177"/>
      <c r="CX373" s="177"/>
      <c r="CY373" s="177"/>
      <c r="CZ373" s="177"/>
      <c r="DA373" s="177"/>
      <c r="DB373" s="177"/>
      <c r="DC373" s="177"/>
      <c r="DD373" s="177"/>
      <c r="DE373" s="177"/>
      <c r="DF373" s="177"/>
      <c r="DG373" s="177"/>
      <c r="DH373" s="177"/>
      <c r="DI373" s="177"/>
      <c r="DJ373" s="177"/>
      <c r="DK373" s="177"/>
      <c r="DL373" s="177"/>
      <c r="DM373" s="177"/>
      <c r="DN373" s="177"/>
      <c r="DO373" s="177"/>
      <c r="DP373" s="177"/>
      <c r="DQ373" s="177"/>
      <c r="DR373" s="177"/>
      <c r="DS373" s="177"/>
      <c r="DT373" s="177"/>
      <c r="DU373" s="177"/>
      <c r="DV373" s="177"/>
      <c r="DW373" s="177"/>
      <c r="DX373" s="177"/>
      <c r="DY373" s="177"/>
      <c r="DZ373" s="177"/>
      <c r="EA373" s="177"/>
      <c r="EB373" s="177"/>
      <c r="EC373" s="177"/>
      <c r="ED373" s="177"/>
      <c r="EE373" s="177"/>
      <c r="EF373" s="177"/>
      <c r="EG373" s="177"/>
      <c r="EH373" s="177"/>
      <c r="EI373" s="177"/>
      <c r="EJ373" s="177"/>
      <c r="EK373" s="177"/>
      <c r="EL373" s="177"/>
      <c r="EM373" s="177"/>
      <c r="EN373" s="177"/>
    </row>
    <row r="374" spans="3:144" x14ac:dyDescent="0.2"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7"/>
      <c r="CC374" s="177"/>
      <c r="CD374" s="177"/>
      <c r="CE374" s="177"/>
      <c r="CF374" s="177"/>
      <c r="CG374" s="177"/>
      <c r="CH374" s="177"/>
      <c r="CI374" s="177"/>
      <c r="CJ374" s="177"/>
      <c r="CK374" s="177"/>
      <c r="CL374" s="177"/>
      <c r="CM374" s="177"/>
      <c r="CN374" s="177"/>
      <c r="CO374" s="177"/>
      <c r="CP374" s="177"/>
      <c r="CQ374" s="177"/>
      <c r="CR374" s="177"/>
      <c r="CS374" s="177"/>
      <c r="CT374" s="177"/>
      <c r="CU374" s="177"/>
      <c r="CV374" s="177"/>
      <c r="CW374" s="177"/>
      <c r="CX374" s="177"/>
      <c r="CY374" s="177"/>
      <c r="CZ374" s="177"/>
      <c r="DA374" s="177"/>
      <c r="DB374" s="177"/>
      <c r="DC374" s="177"/>
      <c r="DD374" s="177"/>
      <c r="DE374" s="177"/>
      <c r="DF374" s="177"/>
      <c r="DG374" s="177"/>
      <c r="DH374" s="177"/>
      <c r="DI374" s="177"/>
      <c r="DJ374" s="177"/>
      <c r="DK374" s="177"/>
      <c r="DL374" s="177"/>
      <c r="DM374" s="177"/>
      <c r="DN374" s="177"/>
      <c r="DO374" s="177"/>
      <c r="DP374" s="177"/>
      <c r="DQ374" s="177"/>
      <c r="DR374" s="177"/>
      <c r="DS374" s="177"/>
      <c r="DT374" s="177"/>
      <c r="DU374" s="177"/>
      <c r="DV374" s="177"/>
      <c r="DW374" s="177"/>
      <c r="DX374" s="177"/>
      <c r="DY374" s="177"/>
      <c r="DZ374" s="177"/>
      <c r="EA374" s="177"/>
      <c r="EB374" s="177"/>
      <c r="EC374" s="177"/>
      <c r="ED374" s="177"/>
      <c r="EE374" s="177"/>
      <c r="EF374" s="177"/>
      <c r="EG374" s="177"/>
      <c r="EH374" s="177"/>
      <c r="EI374" s="177"/>
      <c r="EJ374" s="177"/>
      <c r="EK374" s="177"/>
      <c r="EL374" s="177"/>
      <c r="EM374" s="177"/>
      <c r="EN374" s="177"/>
    </row>
    <row r="375" spans="3:144" x14ac:dyDescent="0.2"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7"/>
      <c r="BN375" s="177"/>
      <c r="BO375" s="177"/>
      <c r="BP375" s="177"/>
      <c r="BQ375" s="177"/>
      <c r="BR375" s="177"/>
      <c r="BS375" s="177"/>
      <c r="BT375" s="177"/>
      <c r="BU375" s="177"/>
      <c r="BV375" s="177"/>
      <c r="BW375" s="177"/>
      <c r="BX375" s="177"/>
      <c r="BY375" s="177"/>
      <c r="BZ375" s="177"/>
      <c r="CA375" s="177"/>
      <c r="CB375" s="177"/>
      <c r="CC375" s="177"/>
      <c r="CD375" s="177"/>
      <c r="CE375" s="177"/>
      <c r="CF375" s="177"/>
      <c r="CG375" s="177"/>
      <c r="CH375" s="177"/>
      <c r="CI375" s="177"/>
      <c r="CJ375" s="177"/>
      <c r="CK375" s="177"/>
      <c r="CL375" s="177"/>
      <c r="CM375" s="177"/>
      <c r="CN375" s="177"/>
      <c r="CO375" s="177"/>
      <c r="CP375" s="177"/>
      <c r="CQ375" s="177"/>
      <c r="CR375" s="177"/>
      <c r="CS375" s="177"/>
      <c r="CT375" s="177"/>
      <c r="CU375" s="177"/>
      <c r="CV375" s="177"/>
      <c r="CW375" s="177"/>
      <c r="CX375" s="177"/>
      <c r="CY375" s="177"/>
      <c r="CZ375" s="177"/>
      <c r="DA375" s="177"/>
      <c r="DB375" s="177"/>
      <c r="DC375" s="177"/>
      <c r="DD375" s="177"/>
      <c r="DE375" s="177"/>
      <c r="DF375" s="177"/>
      <c r="DG375" s="177"/>
      <c r="DH375" s="177"/>
      <c r="DI375" s="177"/>
      <c r="DJ375" s="177"/>
      <c r="DK375" s="177"/>
      <c r="DL375" s="177"/>
      <c r="DM375" s="177"/>
      <c r="DN375" s="177"/>
      <c r="DO375" s="177"/>
      <c r="DP375" s="177"/>
      <c r="DQ375" s="177"/>
      <c r="DR375" s="177"/>
      <c r="DS375" s="177"/>
      <c r="DT375" s="177"/>
      <c r="DU375" s="177"/>
      <c r="DV375" s="177"/>
      <c r="DW375" s="177"/>
      <c r="DX375" s="177"/>
      <c r="DY375" s="177"/>
      <c r="DZ375" s="177"/>
      <c r="EA375" s="177"/>
      <c r="EB375" s="177"/>
      <c r="EC375" s="177"/>
      <c r="ED375" s="177"/>
      <c r="EE375" s="177"/>
      <c r="EF375" s="177"/>
      <c r="EG375" s="177"/>
      <c r="EH375" s="177"/>
      <c r="EI375" s="177"/>
      <c r="EJ375" s="177"/>
      <c r="EK375" s="177"/>
      <c r="EL375" s="177"/>
      <c r="EM375" s="177"/>
      <c r="EN375" s="177"/>
    </row>
    <row r="376" spans="3:144" x14ac:dyDescent="0.2"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  <c r="BR376" s="177"/>
      <c r="BS376" s="177"/>
      <c r="BT376" s="177"/>
      <c r="BU376" s="177"/>
      <c r="BV376" s="177"/>
      <c r="BW376" s="177"/>
      <c r="BX376" s="177"/>
      <c r="BY376" s="177"/>
      <c r="BZ376" s="177"/>
      <c r="CA376" s="177"/>
      <c r="CB376" s="177"/>
      <c r="CC376" s="177"/>
      <c r="CD376" s="177"/>
      <c r="CE376" s="177"/>
      <c r="CF376" s="177"/>
      <c r="CG376" s="177"/>
      <c r="CH376" s="177"/>
      <c r="CI376" s="177"/>
      <c r="CJ376" s="177"/>
      <c r="CK376" s="177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177"/>
      <c r="DE376" s="177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7"/>
      <c r="DU376" s="177"/>
      <c r="DV376" s="177"/>
      <c r="DW376" s="177"/>
      <c r="DX376" s="177"/>
      <c r="DY376" s="177"/>
      <c r="DZ376" s="177"/>
      <c r="EA376" s="177"/>
      <c r="EB376" s="177"/>
      <c r="EC376" s="177"/>
      <c r="ED376" s="177"/>
      <c r="EE376" s="177"/>
      <c r="EF376" s="177"/>
      <c r="EG376" s="177"/>
      <c r="EH376" s="177"/>
      <c r="EI376" s="177"/>
      <c r="EJ376" s="177"/>
      <c r="EK376" s="177"/>
      <c r="EL376" s="177"/>
      <c r="EM376" s="177"/>
      <c r="EN376" s="177"/>
    </row>
    <row r="377" spans="3:144" x14ac:dyDescent="0.2"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77"/>
      <c r="BN377" s="177"/>
      <c r="BO377" s="177"/>
      <c r="BP377" s="177"/>
      <c r="BQ377" s="177"/>
      <c r="BR377" s="177"/>
      <c r="BS377" s="177"/>
      <c r="BT377" s="177"/>
      <c r="BU377" s="177"/>
      <c r="BV377" s="177"/>
      <c r="BW377" s="177"/>
      <c r="BX377" s="177"/>
      <c r="BY377" s="177"/>
      <c r="BZ377" s="177"/>
      <c r="CA377" s="177"/>
      <c r="CB377" s="177"/>
      <c r="CC377" s="177"/>
      <c r="CD377" s="177"/>
      <c r="CE377" s="177"/>
      <c r="CF377" s="177"/>
      <c r="CG377" s="177"/>
      <c r="CH377" s="177"/>
      <c r="CI377" s="177"/>
      <c r="CJ377" s="177"/>
      <c r="CK377" s="177"/>
      <c r="CL377" s="177"/>
      <c r="CM377" s="177"/>
      <c r="CN377" s="177"/>
      <c r="CO377" s="177"/>
      <c r="CP377" s="177"/>
      <c r="CQ377" s="177"/>
      <c r="CR377" s="177"/>
      <c r="CS377" s="177"/>
      <c r="CT377" s="177"/>
      <c r="CU377" s="177"/>
      <c r="CV377" s="177"/>
      <c r="CW377" s="177"/>
      <c r="CX377" s="177"/>
      <c r="CY377" s="177"/>
      <c r="CZ377" s="177"/>
      <c r="DA377" s="177"/>
      <c r="DB377" s="177"/>
      <c r="DC377" s="177"/>
      <c r="DD377" s="177"/>
      <c r="DE377" s="177"/>
      <c r="DF377" s="177"/>
      <c r="DG377" s="177"/>
      <c r="DH377" s="177"/>
      <c r="DI377" s="177"/>
      <c r="DJ377" s="177"/>
      <c r="DK377" s="177"/>
      <c r="DL377" s="177"/>
      <c r="DM377" s="177"/>
      <c r="DN377" s="177"/>
      <c r="DO377" s="177"/>
      <c r="DP377" s="177"/>
      <c r="DQ377" s="177"/>
      <c r="DR377" s="177"/>
      <c r="DS377" s="177"/>
      <c r="DT377" s="177"/>
      <c r="DU377" s="177"/>
      <c r="DV377" s="177"/>
      <c r="DW377" s="177"/>
      <c r="DX377" s="177"/>
      <c r="DY377" s="177"/>
      <c r="DZ377" s="177"/>
      <c r="EA377" s="177"/>
      <c r="EB377" s="177"/>
      <c r="EC377" s="177"/>
      <c r="ED377" s="177"/>
      <c r="EE377" s="177"/>
      <c r="EF377" s="177"/>
      <c r="EG377" s="177"/>
      <c r="EH377" s="177"/>
      <c r="EI377" s="177"/>
      <c r="EJ377" s="177"/>
      <c r="EK377" s="177"/>
      <c r="EL377" s="177"/>
      <c r="EM377" s="177"/>
      <c r="EN377" s="177"/>
    </row>
    <row r="378" spans="3:144" x14ac:dyDescent="0.2"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77"/>
      <c r="BN378" s="177"/>
      <c r="BO378" s="177"/>
      <c r="BP378" s="177"/>
      <c r="BQ378" s="177"/>
      <c r="BR378" s="177"/>
      <c r="BS378" s="177"/>
      <c r="BT378" s="177"/>
      <c r="BU378" s="177"/>
      <c r="BV378" s="177"/>
      <c r="BW378" s="177"/>
      <c r="BX378" s="177"/>
      <c r="BY378" s="177"/>
      <c r="BZ378" s="177"/>
      <c r="CA378" s="177"/>
      <c r="CB378" s="177"/>
      <c r="CC378" s="177"/>
      <c r="CD378" s="177"/>
      <c r="CE378" s="177"/>
      <c r="CF378" s="177"/>
      <c r="CG378" s="177"/>
      <c r="CH378" s="177"/>
      <c r="CI378" s="177"/>
      <c r="CJ378" s="177"/>
      <c r="CK378" s="177"/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177"/>
      <c r="DI378" s="177"/>
      <c r="DJ378" s="177"/>
      <c r="DK378" s="177"/>
      <c r="DL378" s="177"/>
      <c r="DM378" s="177"/>
      <c r="DN378" s="177"/>
      <c r="DO378" s="177"/>
      <c r="DP378" s="177"/>
      <c r="DQ378" s="177"/>
      <c r="DR378" s="177"/>
      <c r="DS378" s="177"/>
      <c r="DT378" s="177"/>
      <c r="DU378" s="177"/>
      <c r="DV378" s="177"/>
      <c r="DW378" s="177"/>
      <c r="DX378" s="177"/>
      <c r="DY378" s="177"/>
      <c r="DZ378" s="177"/>
      <c r="EA378" s="177"/>
      <c r="EB378" s="177"/>
      <c r="EC378" s="177"/>
      <c r="ED378" s="177"/>
      <c r="EE378" s="177"/>
      <c r="EF378" s="177"/>
      <c r="EG378" s="177"/>
      <c r="EH378" s="177"/>
      <c r="EI378" s="177"/>
      <c r="EJ378" s="177"/>
      <c r="EK378" s="177"/>
      <c r="EL378" s="177"/>
      <c r="EM378" s="177"/>
      <c r="EN378" s="177"/>
    </row>
    <row r="379" spans="3:144" x14ac:dyDescent="0.2"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77"/>
      <c r="BN379" s="177"/>
      <c r="BO379" s="177"/>
      <c r="BP379" s="177"/>
      <c r="BQ379" s="177"/>
      <c r="BR379" s="177"/>
      <c r="BS379" s="177"/>
      <c r="BT379" s="177"/>
      <c r="BU379" s="177"/>
      <c r="BV379" s="177"/>
      <c r="BW379" s="177"/>
      <c r="BX379" s="177"/>
      <c r="BY379" s="177"/>
      <c r="BZ379" s="177"/>
      <c r="CA379" s="177"/>
      <c r="CB379" s="177"/>
      <c r="CC379" s="177"/>
      <c r="CD379" s="177"/>
      <c r="CE379" s="177"/>
      <c r="CF379" s="177"/>
      <c r="CG379" s="177"/>
      <c r="CH379" s="177"/>
      <c r="CI379" s="177"/>
      <c r="CJ379" s="177"/>
      <c r="CK379" s="177"/>
      <c r="CL379" s="177"/>
      <c r="CM379" s="177"/>
      <c r="CN379" s="177"/>
      <c r="CO379" s="177"/>
      <c r="CP379" s="177"/>
      <c r="CQ379" s="177"/>
      <c r="CR379" s="177"/>
      <c r="CS379" s="177"/>
      <c r="CT379" s="177"/>
      <c r="CU379" s="177"/>
      <c r="CV379" s="177"/>
      <c r="CW379" s="177"/>
      <c r="CX379" s="177"/>
      <c r="CY379" s="177"/>
      <c r="CZ379" s="177"/>
      <c r="DA379" s="177"/>
      <c r="DB379" s="177"/>
      <c r="DC379" s="177"/>
      <c r="DD379" s="177"/>
      <c r="DE379" s="177"/>
      <c r="DF379" s="177"/>
      <c r="DG379" s="177"/>
      <c r="DH379" s="177"/>
      <c r="DI379" s="177"/>
      <c r="DJ379" s="177"/>
      <c r="DK379" s="177"/>
      <c r="DL379" s="177"/>
      <c r="DM379" s="177"/>
      <c r="DN379" s="177"/>
      <c r="DO379" s="177"/>
      <c r="DP379" s="177"/>
      <c r="DQ379" s="177"/>
      <c r="DR379" s="177"/>
      <c r="DS379" s="177"/>
      <c r="DT379" s="177"/>
      <c r="DU379" s="177"/>
      <c r="DV379" s="177"/>
      <c r="DW379" s="177"/>
      <c r="DX379" s="177"/>
      <c r="DY379" s="177"/>
      <c r="DZ379" s="177"/>
      <c r="EA379" s="177"/>
      <c r="EB379" s="177"/>
      <c r="EC379" s="177"/>
      <c r="ED379" s="177"/>
      <c r="EE379" s="177"/>
      <c r="EF379" s="177"/>
      <c r="EG379" s="177"/>
      <c r="EH379" s="177"/>
      <c r="EI379" s="177"/>
      <c r="EJ379" s="177"/>
      <c r="EK379" s="177"/>
      <c r="EL379" s="177"/>
      <c r="EM379" s="177"/>
      <c r="EN379" s="177"/>
    </row>
    <row r="380" spans="3:144" x14ac:dyDescent="0.2"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177"/>
      <c r="BZ380" s="177"/>
      <c r="CA380" s="177"/>
      <c r="CB380" s="177"/>
      <c r="CC380" s="177"/>
      <c r="CD380" s="177"/>
      <c r="CE380" s="177"/>
      <c r="CF380" s="177"/>
      <c r="CG380" s="177"/>
      <c r="CH380" s="177"/>
      <c r="CI380" s="177"/>
      <c r="CJ380" s="177"/>
      <c r="CK380" s="177"/>
      <c r="CL380" s="177"/>
      <c r="CM380" s="177"/>
      <c r="CN380" s="177"/>
      <c r="CO380" s="177"/>
      <c r="CP380" s="177"/>
      <c r="CQ380" s="177"/>
      <c r="CR380" s="177"/>
      <c r="CS380" s="177"/>
      <c r="CT380" s="177"/>
      <c r="CU380" s="177"/>
      <c r="CV380" s="177"/>
      <c r="CW380" s="177"/>
      <c r="CX380" s="177"/>
      <c r="CY380" s="177"/>
      <c r="CZ380" s="177"/>
      <c r="DA380" s="177"/>
      <c r="DB380" s="177"/>
      <c r="DC380" s="177"/>
      <c r="DD380" s="177"/>
      <c r="DE380" s="177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77"/>
      <c r="EE380" s="177"/>
      <c r="EF380" s="177"/>
      <c r="EG380" s="177"/>
      <c r="EH380" s="177"/>
      <c r="EI380" s="177"/>
      <c r="EJ380" s="177"/>
      <c r="EK380" s="177"/>
      <c r="EL380" s="177"/>
      <c r="EM380" s="177"/>
      <c r="EN380" s="177"/>
    </row>
    <row r="381" spans="3:144" x14ac:dyDescent="0.2"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  <c r="BF381" s="177"/>
      <c r="BG381" s="177"/>
      <c r="BH381" s="177"/>
      <c r="BI381" s="177"/>
      <c r="BJ381" s="177"/>
      <c r="BK381" s="177"/>
      <c r="BL381" s="177"/>
      <c r="BM381" s="177"/>
      <c r="BN381" s="177"/>
      <c r="BO381" s="177"/>
      <c r="BP381" s="177"/>
      <c r="BQ381" s="177"/>
      <c r="BR381" s="177"/>
      <c r="BS381" s="177"/>
      <c r="BT381" s="177"/>
      <c r="BU381" s="177"/>
      <c r="BV381" s="177"/>
      <c r="BW381" s="177"/>
      <c r="BX381" s="177"/>
      <c r="BY381" s="177"/>
      <c r="BZ381" s="177"/>
      <c r="CA381" s="177"/>
      <c r="CB381" s="177"/>
      <c r="CC381" s="177"/>
      <c r="CD381" s="177"/>
      <c r="CE381" s="177"/>
      <c r="CF381" s="177"/>
      <c r="CG381" s="177"/>
      <c r="CH381" s="177"/>
      <c r="CI381" s="177"/>
      <c r="CJ381" s="177"/>
      <c r="CK381" s="177"/>
      <c r="CL381" s="177"/>
      <c r="CM381" s="177"/>
      <c r="CN381" s="177"/>
      <c r="CO381" s="177"/>
      <c r="CP381" s="177"/>
      <c r="CQ381" s="177"/>
      <c r="CR381" s="177"/>
      <c r="CS381" s="177"/>
      <c r="CT381" s="177"/>
      <c r="CU381" s="177"/>
      <c r="CV381" s="177"/>
      <c r="CW381" s="177"/>
      <c r="CX381" s="177"/>
      <c r="CY381" s="177"/>
      <c r="CZ381" s="177"/>
      <c r="DA381" s="177"/>
      <c r="DB381" s="177"/>
      <c r="DC381" s="177"/>
      <c r="DD381" s="177"/>
      <c r="DE381" s="177"/>
      <c r="DF381" s="177"/>
      <c r="DG381" s="177"/>
      <c r="DH381" s="177"/>
      <c r="DI381" s="177"/>
      <c r="DJ381" s="177"/>
      <c r="DK381" s="177"/>
      <c r="DL381" s="177"/>
      <c r="DM381" s="177"/>
      <c r="DN381" s="177"/>
      <c r="DO381" s="177"/>
      <c r="DP381" s="177"/>
      <c r="DQ381" s="177"/>
      <c r="DR381" s="177"/>
      <c r="DS381" s="177"/>
      <c r="DT381" s="177"/>
      <c r="DU381" s="177"/>
      <c r="DV381" s="177"/>
      <c r="DW381" s="177"/>
      <c r="DX381" s="177"/>
      <c r="DY381" s="177"/>
      <c r="DZ381" s="177"/>
      <c r="EA381" s="177"/>
      <c r="EB381" s="177"/>
      <c r="EC381" s="177"/>
      <c r="ED381" s="177"/>
      <c r="EE381" s="177"/>
      <c r="EF381" s="177"/>
      <c r="EG381" s="177"/>
      <c r="EH381" s="177"/>
      <c r="EI381" s="177"/>
      <c r="EJ381" s="177"/>
      <c r="EK381" s="177"/>
      <c r="EL381" s="177"/>
      <c r="EM381" s="177"/>
      <c r="EN381" s="177"/>
    </row>
    <row r="382" spans="3:144" x14ac:dyDescent="0.2"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  <c r="BI382" s="177"/>
      <c r="BJ382" s="177"/>
      <c r="BK382" s="177"/>
      <c r="BL382" s="177"/>
      <c r="BM382" s="177"/>
      <c r="BN382" s="177"/>
      <c r="BO382" s="177"/>
      <c r="BP382" s="177"/>
      <c r="BQ382" s="177"/>
      <c r="BR382" s="177"/>
      <c r="BS382" s="177"/>
      <c r="BT382" s="177"/>
      <c r="BU382" s="177"/>
      <c r="BV382" s="177"/>
      <c r="BW382" s="177"/>
      <c r="BX382" s="177"/>
      <c r="BY382" s="177"/>
      <c r="BZ382" s="177"/>
      <c r="CA382" s="177"/>
      <c r="CB382" s="177"/>
      <c r="CC382" s="177"/>
      <c r="CD382" s="177"/>
      <c r="CE382" s="177"/>
      <c r="CF382" s="177"/>
      <c r="CG382" s="177"/>
      <c r="CH382" s="177"/>
      <c r="CI382" s="177"/>
      <c r="CJ382" s="177"/>
      <c r="CK382" s="177"/>
      <c r="CL382" s="177"/>
      <c r="CM382" s="177"/>
      <c r="CN382" s="177"/>
      <c r="CO382" s="177"/>
      <c r="CP382" s="177"/>
      <c r="CQ382" s="177"/>
      <c r="CR382" s="177"/>
      <c r="CS382" s="177"/>
      <c r="CT382" s="177"/>
      <c r="CU382" s="177"/>
      <c r="CV382" s="177"/>
      <c r="CW382" s="177"/>
      <c r="CX382" s="177"/>
      <c r="CY382" s="177"/>
      <c r="CZ382" s="177"/>
      <c r="DA382" s="177"/>
      <c r="DB382" s="177"/>
      <c r="DC382" s="177"/>
      <c r="DD382" s="177"/>
      <c r="DE382" s="177"/>
      <c r="DF382" s="177"/>
      <c r="DG382" s="177"/>
      <c r="DH382" s="177"/>
      <c r="DI382" s="177"/>
      <c r="DJ382" s="177"/>
      <c r="DK382" s="177"/>
      <c r="DL382" s="177"/>
      <c r="DM382" s="177"/>
      <c r="DN382" s="177"/>
      <c r="DO382" s="177"/>
      <c r="DP382" s="177"/>
      <c r="DQ382" s="177"/>
      <c r="DR382" s="177"/>
      <c r="DS382" s="177"/>
      <c r="DT382" s="177"/>
      <c r="DU382" s="177"/>
      <c r="DV382" s="177"/>
      <c r="DW382" s="177"/>
      <c r="DX382" s="177"/>
      <c r="DY382" s="177"/>
      <c r="DZ382" s="177"/>
      <c r="EA382" s="177"/>
      <c r="EB382" s="177"/>
      <c r="EC382" s="177"/>
      <c r="ED382" s="177"/>
      <c r="EE382" s="177"/>
      <c r="EF382" s="177"/>
      <c r="EG382" s="177"/>
      <c r="EH382" s="177"/>
      <c r="EI382" s="177"/>
      <c r="EJ382" s="177"/>
      <c r="EK382" s="177"/>
      <c r="EL382" s="177"/>
      <c r="EM382" s="177"/>
      <c r="EN382" s="177"/>
    </row>
    <row r="383" spans="3:144" x14ac:dyDescent="0.2"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  <c r="CF383" s="177"/>
      <c r="CG383" s="177"/>
      <c r="CH383" s="177"/>
      <c r="CI383" s="177"/>
      <c r="CJ383" s="177"/>
      <c r="CK383" s="177"/>
      <c r="CL383" s="177"/>
      <c r="CM383" s="177"/>
      <c r="CN383" s="177"/>
      <c r="CO383" s="177"/>
      <c r="CP383" s="177"/>
      <c r="CQ383" s="177"/>
      <c r="CR383" s="177"/>
      <c r="CS383" s="177"/>
      <c r="CT383" s="177"/>
      <c r="CU383" s="177"/>
      <c r="CV383" s="177"/>
      <c r="CW383" s="177"/>
      <c r="CX383" s="177"/>
      <c r="CY383" s="177"/>
      <c r="CZ383" s="177"/>
      <c r="DA383" s="177"/>
      <c r="DB383" s="177"/>
      <c r="DC383" s="177"/>
      <c r="DD383" s="177"/>
      <c r="DE383" s="177"/>
      <c r="DF383" s="177"/>
      <c r="DG383" s="177"/>
      <c r="DH383" s="177"/>
      <c r="DI383" s="177"/>
      <c r="DJ383" s="177"/>
      <c r="DK383" s="177"/>
      <c r="DL383" s="177"/>
      <c r="DM383" s="177"/>
      <c r="DN383" s="177"/>
      <c r="DO383" s="177"/>
      <c r="DP383" s="177"/>
      <c r="DQ383" s="177"/>
      <c r="DR383" s="177"/>
      <c r="DS383" s="177"/>
      <c r="DT383" s="177"/>
      <c r="DU383" s="177"/>
      <c r="DV383" s="177"/>
      <c r="DW383" s="177"/>
      <c r="DX383" s="177"/>
      <c r="DY383" s="177"/>
      <c r="DZ383" s="177"/>
      <c r="EA383" s="177"/>
      <c r="EB383" s="177"/>
      <c r="EC383" s="177"/>
      <c r="ED383" s="177"/>
      <c r="EE383" s="177"/>
      <c r="EF383" s="177"/>
      <c r="EG383" s="177"/>
      <c r="EH383" s="177"/>
      <c r="EI383" s="177"/>
      <c r="EJ383" s="177"/>
      <c r="EK383" s="177"/>
      <c r="EL383" s="177"/>
      <c r="EM383" s="177"/>
      <c r="EN383" s="177"/>
    </row>
    <row r="384" spans="3:144" x14ac:dyDescent="0.2"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7"/>
      <c r="CC384" s="177"/>
      <c r="CD384" s="177"/>
      <c r="CE384" s="177"/>
      <c r="CF384" s="177"/>
      <c r="CG384" s="177"/>
      <c r="CH384" s="177"/>
      <c r="CI384" s="177"/>
      <c r="CJ384" s="177"/>
      <c r="CK384" s="177"/>
      <c r="CL384" s="177"/>
      <c r="CM384" s="177"/>
      <c r="CN384" s="177"/>
      <c r="CO384" s="177"/>
      <c r="CP384" s="177"/>
      <c r="CQ384" s="177"/>
      <c r="CR384" s="177"/>
      <c r="CS384" s="177"/>
      <c r="CT384" s="177"/>
      <c r="CU384" s="177"/>
      <c r="CV384" s="177"/>
      <c r="CW384" s="177"/>
      <c r="CX384" s="177"/>
      <c r="CY384" s="177"/>
      <c r="CZ384" s="177"/>
      <c r="DA384" s="177"/>
      <c r="DB384" s="177"/>
      <c r="DC384" s="177"/>
      <c r="DD384" s="177"/>
      <c r="DE384" s="177"/>
      <c r="DF384" s="177"/>
      <c r="DG384" s="177"/>
      <c r="DH384" s="177"/>
      <c r="DI384" s="177"/>
      <c r="DJ384" s="177"/>
      <c r="DK384" s="177"/>
      <c r="DL384" s="177"/>
      <c r="DM384" s="177"/>
      <c r="DN384" s="177"/>
      <c r="DO384" s="177"/>
      <c r="DP384" s="177"/>
      <c r="DQ384" s="177"/>
      <c r="DR384" s="177"/>
      <c r="DS384" s="177"/>
      <c r="DT384" s="177"/>
      <c r="DU384" s="177"/>
      <c r="DV384" s="177"/>
      <c r="DW384" s="177"/>
      <c r="DX384" s="177"/>
      <c r="DY384" s="177"/>
      <c r="DZ384" s="177"/>
      <c r="EA384" s="177"/>
      <c r="EB384" s="177"/>
      <c r="EC384" s="177"/>
      <c r="ED384" s="177"/>
      <c r="EE384" s="177"/>
      <c r="EF384" s="177"/>
      <c r="EG384" s="177"/>
      <c r="EH384" s="177"/>
      <c r="EI384" s="177"/>
      <c r="EJ384" s="177"/>
      <c r="EK384" s="177"/>
      <c r="EL384" s="177"/>
      <c r="EM384" s="177"/>
      <c r="EN384" s="177"/>
    </row>
    <row r="385" spans="3:144" x14ac:dyDescent="0.2"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7"/>
      <c r="BN385" s="177"/>
      <c r="BO385" s="177"/>
      <c r="BP385" s="177"/>
      <c r="BQ385" s="177"/>
      <c r="BR385" s="177"/>
      <c r="BS385" s="177"/>
      <c r="BT385" s="177"/>
      <c r="BU385" s="177"/>
      <c r="BV385" s="177"/>
      <c r="BW385" s="177"/>
      <c r="BX385" s="177"/>
      <c r="BY385" s="177"/>
      <c r="BZ385" s="177"/>
      <c r="CA385" s="177"/>
      <c r="CB385" s="177"/>
      <c r="CC385" s="177"/>
      <c r="CD385" s="177"/>
      <c r="CE385" s="177"/>
      <c r="CF385" s="177"/>
      <c r="CG385" s="177"/>
      <c r="CH385" s="177"/>
      <c r="CI385" s="177"/>
      <c r="CJ385" s="177"/>
      <c r="CK385" s="177"/>
      <c r="CL385" s="177"/>
      <c r="CM385" s="177"/>
      <c r="CN385" s="177"/>
      <c r="CO385" s="177"/>
      <c r="CP385" s="177"/>
      <c r="CQ385" s="177"/>
      <c r="CR385" s="177"/>
      <c r="CS385" s="177"/>
      <c r="CT385" s="177"/>
      <c r="CU385" s="177"/>
      <c r="CV385" s="177"/>
      <c r="CW385" s="177"/>
      <c r="CX385" s="177"/>
      <c r="CY385" s="177"/>
      <c r="CZ385" s="177"/>
      <c r="DA385" s="177"/>
      <c r="DB385" s="177"/>
      <c r="DC385" s="177"/>
      <c r="DD385" s="177"/>
      <c r="DE385" s="177"/>
      <c r="DF385" s="177"/>
      <c r="DG385" s="177"/>
      <c r="DH385" s="177"/>
      <c r="DI385" s="177"/>
      <c r="DJ385" s="177"/>
      <c r="DK385" s="177"/>
      <c r="DL385" s="177"/>
      <c r="DM385" s="177"/>
      <c r="DN385" s="177"/>
      <c r="DO385" s="177"/>
      <c r="DP385" s="177"/>
      <c r="DQ385" s="177"/>
      <c r="DR385" s="177"/>
      <c r="DS385" s="177"/>
      <c r="DT385" s="177"/>
      <c r="DU385" s="177"/>
      <c r="DV385" s="177"/>
      <c r="DW385" s="177"/>
      <c r="DX385" s="177"/>
      <c r="DY385" s="177"/>
      <c r="DZ385" s="177"/>
      <c r="EA385" s="177"/>
      <c r="EB385" s="177"/>
      <c r="EC385" s="177"/>
      <c r="ED385" s="177"/>
      <c r="EE385" s="177"/>
      <c r="EF385" s="177"/>
      <c r="EG385" s="177"/>
      <c r="EH385" s="177"/>
      <c r="EI385" s="177"/>
      <c r="EJ385" s="177"/>
      <c r="EK385" s="177"/>
      <c r="EL385" s="177"/>
      <c r="EM385" s="177"/>
      <c r="EN385" s="177"/>
    </row>
    <row r="386" spans="3:144" x14ac:dyDescent="0.2"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  <c r="CF386" s="177"/>
      <c r="CG386" s="177"/>
      <c r="CH386" s="177"/>
      <c r="CI386" s="177"/>
      <c r="CJ386" s="177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77"/>
      <c r="DG386" s="177"/>
      <c r="DH386" s="177"/>
      <c r="DI386" s="177"/>
      <c r="DJ386" s="177"/>
      <c r="DK386" s="177"/>
      <c r="DL386" s="177"/>
      <c r="DM386" s="177"/>
      <c r="DN386" s="177"/>
      <c r="DO386" s="177"/>
      <c r="DP386" s="177"/>
      <c r="DQ386" s="177"/>
      <c r="DR386" s="177"/>
      <c r="DS386" s="177"/>
      <c r="DT386" s="177"/>
      <c r="DU386" s="177"/>
      <c r="DV386" s="177"/>
      <c r="DW386" s="177"/>
      <c r="DX386" s="177"/>
      <c r="DY386" s="177"/>
      <c r="DZ386" s="177"/>
      <c r="EA386" s="177"/>
      <c r="EB386" s="177"/>
      <c r="EC386" s="177"/>
      <c r="ED386" s="177"/>
      <c r="EE386" s="177"/>
      <c r="EF386" s="177"/>
      <c r="EG386" s="177"/>
      <c r="EH386" s="177"/>
      <c r="EI386" s="177"/>
      <c r="EJ386" s="177"/>
      <c r="EK386" s="177"/>
      <c r="EL386" s="177"/>
      <c r="EM386" s="177"/>
      <c r="EN386" s="177"/>
    </row>
    <row r="387" spans="3:144" x14ac:dyDescent="0.2"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7"/>
      <c r="CC387" s="177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7"/>
      <c r="CO387" s="177"/>
      <c r="CP387" s="177"/>
      <c r="CQ387" s="177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7"/>
      <c r="DC387" s="177"/>
      <c r="DD387" s="177"/>
      <c r="DE387" s="177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7"/>
      <c r="DQ387" s="177"/>
      <c r="DR387" s="177"/>
      <c r="DS387" s="177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7"/>
      <c r="EE387" s="177"/>
      <c r="EF387" s="177"/>
      <c r="EG387" s="177"/>
      <c r="EH387" s="177"/>
      <c r="EI387" s="177"/>
      <c r="EJ387" s="177"/>
      <c r="EK387" s="177"/>
      <c r="EL387" s="177"/>
      <c r="EM387" s="177"/>
      <c r="EN387" s="177"/>
    </row>
    <row r="388" spans="3:144" x14ac:dyDescent="0.2"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7"/>
      <c r="CA388" s="177"/>
      <c r="CB388" s="177"/>
      <c r="CC388" s="177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7"/>
      <c r="CO388" s="177"/>
      <c r="CP388" s="177"/>
      <c r="CQ388" s="177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7"/>
      <c r="DC388" s="177"/>
      <c r="DD388" s="177"/>
      <c r="DE388" s="177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7"/>
      <c r="DQ388" s="177"/>
      <c r="DR388" s="177"/>
      <c r="DS388" s="177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7"/>
      <c r="EE388" s="177"/>
      <c r="EF388" s="177"/>
      <c r="EG388" s="177"/>
      <c r="EH388" s="177"/>
      <c r="EI388" s="177"/>
      <c r="EJ388" s="177"/>
      <c r="EK388" s="177"/>
      <c r="EL388" s="177"/>
      <c r="EM388" s="177"/>
      <c r="EN388" s="177"/>
    </row>
    <row r="389" spans="3:144" x14ac:dyDescent="0.2"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7"/>
      <c r="CO389" s="177"/>
      <c r="CP389" s="177"/>
      <c r="CQ389" s="177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7"/>
      <c r="DC389" s="177"/>
      <c r="DD389" s="177"/>
      <c r="DE389" s="177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7"/>
      <c r="DQ389" s="177"/>
      <c r="DR389" s="177"/>
      <c r="DS389" s="177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7"/>
      <c r="EE389" s="177"/>
      <c r="EF389" s="177"/>
      <c r="EG389" s="177"/>
      <c r="EH389" s="177"/>
      <c r="EI389" s="177"/>
      <c r="EJ389" s="177"/>
      <c r="EK389" s="177"/>
      <c r="EL389" s="177"/>
      <c r="EM389" s="177"/>
      <c r="EN389" s="177"/>
    </row>
    <row r="390" spans="3:144" x14ac:dyDescent="0.2"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77"/>
      <c r="BN390" s="177"/>
      <c r="BO390" s="177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7"/>
      <c r="CA390" s="177"/>
      <c r="CB390" s="177"/>
      <c r="CC390" s="177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7"/>
      <c r="CO390" s="177"/>
      <c r="CP390" s="177"/>
      <c r="CQ390" s="177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7"/>
      <c r="DC390" s="177"/>
      <c r="DD390" s="177"/>
      <c r="DE390" s="177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7"/>
      <c r="DQ390" s="177"/>
      <c r="DR390" s="177"/>
      <c r="DS390" s="177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7"/>
      <c r="EE390" s="177"/>
      <c r="EF390" s="177"/>
      <c r="EG390" s="177"/>
      <c r="EH390" s="177"/>
      <c r="EI390" s="177"/>
      <c r="EJ390" s="177"/>
      <c r="EK390" s="177"/>
      <c r="EL390" s="177"/>
      <c r="EM390" s="177"/>
      <c r="EN390" s="177"/>
    </row>
    <row r="391" spans="3:144" x14ac:dyDescent="0.2"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7"/>
      <c r="BM391" s="177"/>
      <c r="BN391" s="177"/>
      <c r="BO391" s="177"/>
      <c r="BP391" s="177"/>
      <c r="BQ391" s="177"/>
      <c r="BR391" s="177"/>
      <c r="BS391" s="177"/>
      <c r="BT391" s="177"/>
      <c r="BU391" s="177"/>
      <c r="BV391" s="177"/>
      <c r="BW391" s="177"/>
      <c r="BX391" s="177"/>
      <c r="BY391" s="177"/>
      <c r="BZ391" s="177"/>
      <c r="CA391" s="177"/>
      <c r="CB391" s="177"/>
      <c r="CC391" s="177"/>
      <c r="CD391" s="177"/>
      <c r="CE391" s="177"/>
      <c r="CF391" s="177"/>
      <c r="CG391" s="177"/>
      <c r="CH391" s="177"/>
      <c r="CI391" s="177"/>
      <c r="CJ391" s="177"/>
      <c r="CK391" s="177"/>
      <c r="CL391" s="177"/>
      <c r="CM391" s="177"/>
      <c r="CN391" s="177"/>
      <c r="CO391" s="177"/>
      <c r="CP391" s="177"/>
      <c r="CQ391" s="177"/>
      <c r="CR391" s="177"/>
      <c r="CS391" s="177"/>
      <c r="CT391" s="177"/>
      <c r="CU391" s="177"/>
      <c r="CV391" s="177"/>
      <c r="CW391" s="177"/>
      <c r="CX391" s="177"/>
      <c r="CY391" s="177"/>
      <c r="CZ391" s="177"/>
      <c r="DA391" s="177"/>
      <c r="DB391" s="177"/>
      <c r="DC391" s="177"/>
      <c r="DD391" s="177"/>
      <c r="DE391" s="177"/>
      <c r="DF391" s="177"/>
      <c r="DG391" s="177"/>
      <c r="DH391" s="177"/>
      <c r="DI391" s="177"/>
      <c r="DJ391" s="177"/>
      <c r="DK391" s="177"/>
      <c r="DL391" s="177"/>
      <c r="DM391" s="177"/>
      <c r="DN391" s="177"/>
      <c r="DO391" s="177"/>
      <c r="DP391" s="177"/>
      <c r="DQ391" s="177"/>
      <c r="DR391" s="177"/>
      <c r="DS391" s="177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7"/>
      <c r="EE391" s="177"/>
      <c r="EF391" s="177"/>
      <c r="EG391" s="177"/>
      <c r="EH391" s="177"/>
      <c r="EI391" s="177"/>
      <c r="EJ391" s="177"/>
      <c r="EK391" s="177"/>
      <c r="EL391" s="177"/>
      <c r="EM391" s="177"/>
      <c r="EN391" s="177"/>
    </row>
    <row r="392" spans="3:144" x14ac:dyDescent="0.2"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  <c r="CF392" s="177"/>
      <c r="CG392" s="177"/>
      <c r="CH392" s="177"/>
      <c r="CI392" s="177"/>
      <c r="CJ392" s="177"/>
      <c r="CK392" s="177"/>
      <c r="CL392" s="177"/>
      <c r="CM392" s="177"/>
      <c r="CN392" s="177"/>
      <c r="CO392" s="177"/>
      <c r="CP392" s="177"/>
      <c r="CQ392" s="177"/>
      <c r="CR392" s="177"/>
      <c r="CS392" s="177"/>
      <c r="CT392" s="177"/>
      <c r="CU392" s="177"/>
      <c r="CV392" s="177"/>
      <c r="CW392" s="177"/>
      <c r="CX392" s="177"/>
      <c r="CY392" s="177"/>
      <c r="CZ392" s="177"/>
      <c r="DA392" s="177"/>
      <c r="DB392" s="177"/>
      <c r="DC392" s="177"/>
      <c r="DD392" s="177"/>
      <c r="DE392" s="177"/>
      <c r="DF392" s="177"/>
      <c r="DG392" s="177"/>
      <c r="DH392" s="177"/>
      <c r="DI392" s="177"/>
      <c r="DJ392" s="177"/>
      <c r="DK392" s="177"/>
      <c r="DL392" s="177"/>
      <c r="DM392" s="177"/>
      <c r="DN392" s="177"/>
      <c r="DO392" s="177"/>
      <c r="DP392" s="177"/>
      <c r="DQ392" s="177"/>
      <c r="DR392" s="177"/>
      <c r="DS392" s="177"/>
      <c r="DT392" s="177"/>
      <c r="DU392" s="177"/>
      <c r="DV392" s="177"/>
      <c r="DW392" s="177"/>
      <c r="DX392" s="177"/>
      <c r="DY392" s="177"/>
      <c r="DZ392" s="177"/>
      <c r="EA392" s="177"/>
      <c r="EB392" s="177"/>
      <c r="EC392" s="177"/>
      <c r="ED392" s="177"/>
      <c r="EE392" s="177"/>
      <c r="EF392" s="177"/>
      <c r="EG392" s="177"/>
      <c r="EH392" s="177"/>
      <c r="EI392" s="177"/>
      <c r="EJ392" s="177"/>
      <c r="EK392" s="177"/>
      <c r="EL392" s="177"/>
      <c r="EM392" s="177"/>
      <c r="EN392" s="177"/>
    </row>
    <row r="393" spans="3:144" x14ac:dyDescent="0.2"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7"/>
      <c r="BN393" s="177"/>
      <c r="BO393" s="177"/>
      <c r="BP393" s="177"/>
      <c r="BQ393" s="177"/>
      <c r="BR393" s="177"/>
      <c r="BS393" s="177"/>
      <c r="BT393" s="177"/>
      <c r="BU393" s="177"/>
      <c r="BV393" s="177"/>
      <c r="BW393" s="177"/>
      <c r="BX393" s="177"/>
      <c r="BY393" s="177"/>
      <c r="BZ393" s="177"/>
      <c r="CA393" s="177"/>
      <c r="CB393" s="177"/>
      <c r="CC393" s="177"/>
      <c r="CD393" s="177"/>
      <c r="CE393" s="177"/>
      <c r="CF393" s="177"/>
      <c r="CG393" s="177"/>
      <c r="CH393" s="177"/>
      <c r="CI393" s="177"/>
      <c r="CJ393" s="177"/>
      <c r="CK393" s="177"/>
      <c r="CL393" s="177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77"/>
      <c r="CY393" s="177"/>
      <c r="CZ393" s="177"/>
      <c r="DA393" s="177"/>
      <c r="DB393" s="177"/>
      <c r="DC393" s="177"/>
      <c r="DD393" s="177"/>
      <c r="DE393" s="177"/>
      <c r="DF393" s="177"/>
      <c r="DG393" s="177"/>
      <c r="DH393" s="177"/>
      <c r="DI393" s="177"/>
      <c r="DJ393" s="177"/>
      <c r="DK393" s="177"/>
      <c r="DL393" s="177"/>
      <c r="DM393" s="177"/>
      <c r="DN393" s="177"/>
      <c r="DO393" s="177"/>
      <c r="DP393" s="177"/>
      <c r="DQ393" s="177"/>
      <c r="DR393" s="177"/>
      <c r="DS393" s="177"/>
      <c r="DT393" s="177"/>
      <c r="DU393" s="177"/>
      <c r="DV393" s="177"/>
      <c r="DW393" s="177"/>
      <c r="DX393" s="177"/>
      <c r="DY393" s="177"/>
      <c r="DZ393" s="177"/>
      <c r="EA393" s="177"/>
      <c r="EB393" s="177"/>
      <c r="EC393" s="177"/>
      <c r="ED393" s="177"/>
      <c r="EE393" s="177"/>
      <c r="EF393" s="177"/>
      <c r="EG393" s="177"/>
      <c r="EH393" s="177"/>
      <c r="EI393" s="177"/>
      <c r="EJ393" s="177"/>
      <c r="EK393" s="177"/>
      <c r="EL393" s="177"/>
      <c r="EM393" s="177"/>
      <c r="EN393" s="177"/>
    </row>
    <row r="394" spans="3:144" x14ac:dyDescent="0.2"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7"/>
      <c r="BN394" s="177"/>
      <c r="BO394" s="177"/>
      <c r="BP394" s="177"/>
      <c r="BQ394" s="177"/>
      <c r="BR394" s="177"/>
      <c r="BS394" s="177"/>
      <c r="BT394" s="177"/>
      <c r="BU394" s="177"/>
      <c r="BV394" s="177"/>
      <c r="BW394" s="177"/>
      <c r="BX394" s="177"/>
      <c r="BY394" s="177"/>
      <c r="BZ394" s="177"/>
      <c r="CA394" s="177"/>
      <c r="CB394" s="177"/>
      <c r="CC394" s="177"/>
      <c r="CD394" s="177"/>
      <c r="CE394" s="177"/>
      <c r="CF394" s="177"/>
      <c r="CG394" s="177"/>
      <c r="CH394" s="177"/>
      <c r="CI394" s="177"/>
      <c r="CJ394" s="177"/>
      <c r="CK394" s="177"/>
      <c r="CL394" s="177"/>
      <c r="CM394" s="177"/>
      <c r="CN394" s="177"/>
      <c r="CO394" s="177"/>
      <c r="CP394" s="177"/>
      <c r="CQ394" s="177"/>
      <c r="CR394" s="177"/>
      <c r="CS394" s="177"/>
      <c r="CT394" s="177"/>
      <c r="CU394" s="177"/>
      <c r="CV394" s="177"/>
      <c r="CW394" s="177"/>
      <c r="CX394" s="177"/>
      <c r="CY394" s="177"/>
      <c r="CZ394" s="177"/>
      <c r="DA394" s="177"/>
      <c r="DB394" s="177"/>
      <c r="DC394" s="177"/>
      <c r="DD394" s="177"/>
      <c r="DE394" s="177"/>
      <c r="DF394" s="177"/>
      <c r="DG394" s="177"/>
      <c r="DH394" s="177"/>
      <c r="DI394" s="177"/>
      <c r="DJ394" s="177"/>
      <c r="DK394" s="177"/>
      <c r="DL394" s="177"/>
      <c r="DM394" s="177"/>
      <c r="DN394" s="177"/>
      <c r="DO394" s="177"/>
      <c r="DP394" s="177"/>
      <c r="DQ394" s="177"/>
      <c r="DR394" s="177"/>
      <c r="DS394" s="177"/>
      <c r="DT394" s="177"/>
      <c r="DU394" s="177"/>
      <c r="DV394" s="177"/>
      <c r="DW394" s="177"/>
      <c r="DX394" s="177"/>
      <c r="DY394" s="177"/>
      <c r="DZ394" s="177"/>
      <c r="EA394" s="177"/>
      <c r="EB394" s="177"/>
      <c r="EC394" s="177"/>
      <c r="ED394" s="177"/>
      <c r="EE394" s="177"/>
      <c r="EF394" s="177"/>
      <c r="EG394" s="177"/>
      <c r="EH394" s="177"/>
      <c r="EI394" s="177"/>
      <c r="EJ394" s="177"/>
      <c r="EK394" s="177"/>
      <c r="EL394" s="177"/>
      <c r="EM394" s="177"/>
      <c r="EN394" s="177"/>
    </row>
    <row r="395" spans="3:144" x14ac:dyDescent="0.2"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  <c r="CF395" s="177"/>
      <c r="CG395" s="177"/>
      <c r="CH395" s="177"/>
      <c r="CI395" s="177"/>
      <c r="CJ395" s="177"/>
      <c r="CK395" s="177"/>
      <c r="CL395" s="177"/>
      <c r="CM395" s="177"/>
      <c r="CN395" s="177"/>
      <c r="CO395" s="177"/>
      <c r="CP395" s="177"/>
      <c r="CQ395" s="177"/>
      <c r="CR395" s="177"/>
      <c r="CS395" s="177"/>
      <c r="CT395" s="177"/>
      <c r="CU395" s="177"/>
      <c r="CV395" s="177"/>
      <c r="CW395" s="177"/>
      <c r="CX395" s="177"/>
      <c r="CY395" s="177"/>
      <c r="CZ395" s="177"/>
      <c r="DA395" s="177"/>
      <c r="DB395" s="177"/>
      <c r="DC395" s="177"/>
      <c r="DD395" s="177"/>
      <c r="DE395" s="177"/>
      <c r="DF395" s="177"/>
      <c r="DG395" s="177"/>
      <c r="DH395" s="177"/>
      <c r="DI395" s="177"/>
      <c r="DJ395" s="177"/>
      <c r="DK395" s="177"/>
      <c r="DL395" s="177"/>
      <c r="DM395" s="177"/>
      <c r="DN395" s="177"/>
      <c r="DO395" s="177"/>
      <c r="DP395" s="177"/>
      <c r="DQ395" s="177"/>
      <c r="DR395" s="177"/>
      <c r="DS395" s="177"/>
      <c r="DT395" s="177"/>
      <c r="DU395" s="177"/>
      <c r="DV395" s="177"/>
      <c r="DW395" s="177"/>
      <c r="DX395" s="177"/>
      <c r="DY395" s="177"/>
      <c r="DZ395" s="177"/>
      <c r="EA395" s="177"/>
      <c r="EB395" s="177"/>
      <c r="EC395" s="177"/>
      <c r="ED395" s="177"/>
      <c r="EE395" s="177"/>
      <c r="EF395" s="177"/>
      <c r="EG395" s="177"/>
      <c r="EH395" s="177"/>
      <c r="EI395" s="177"/>
      <c r="EJ395" s="177"/>
      <c r="EK395" s="177"/>
      <c r="EL395" s="177"/>
      <c r="EM395" s="177"/>
      <c r="EN395" s="177"/>
    </row>
    <row r="396" spans="3:144" x14ac:dyDescent="0.2"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7"/>
      <c r="BW396" s="177"/>
      <c r="BX396" s="177"/>
      <c r="BY396" s="177"/>
      <c r="BZ396" s="177"/>
      <c r="CA396" s="177"/>
      <c r="CB396" s="177"/>
      <c r="CC396" s="177"/>
      <c r="CD396" s="177"/>
      <c r="CE396" s="177"/>
      <c r="CF396" s="177"/>
      <c r="CG396" s="177"/>
      <c r="CH396" s="177"/>
      <c r="CI396" s="177"/>
      <c r="CJ396" s="177"/>
      <c r="CK396" s="177"/>
      <c r="CL396" s="177"/>
      <c r="CM396" s="177"/>
      <c r="CN396" s="177"/>
      <c r="CO396" s="177"/>
      <c r="CP396" s="177"/>
      <c r="CQ396" s="177"/>
      <c r="CR396" s="177"/>
      <c r="CS396" s="177"/>
      <c r="CT396" s="177"/>
      <c r="CU396" s="177"/>
      <c r="CV396" s="177"/>
      <c r="CW396" s="177"/>
      <c r="CX396" s="177"/>
      <c r="CY396" s="177"/>
      <c r="CZ396" s="177"/>
      <c r="DA396" s="177"/>
      <c r="DB396" s="177"/>
      <c r="DC396" s="177"/>
      <c r="DD396" s="177"/>
      <c r="DE396" s="177"/>
      <c r="DF396" s="177"/>
      <c r="DG396" s="177"/>
      <c r="DH396" s="177"/>
      <c r="DI396" s="177"/>
      <c r="DJ396" s="177"/>
      <c r="DK396" s="177"/>
      <c r="DL396" s="177"/>
      <c r="DM396" s="177"/>
      <c r="DN396" s="177"/>
      <c r="DO396" s="177"/>
      <c r="DP396" s="177"/>
      <c r="DQ396" s="177"/>
      <c r="DR396" s="177"/>
      <c r="DS396" s="177"/>
      <c r="DT396" s="177"/>
      <c r="DU396" s="177"/>
      <c r="DV396" s="177"/>
      <c r="DW396" s="177"/>
      <c r="DX396" s="177"/>
      <c r="DY396" s="177"/>
      <c r="DZ396" s="177"/>
      <c r="EA396" s="177"/>
      <c r="EB396" s="177"/>
      <c r="EC396" s="177"/>
      <c r="ED396" s="177"/>
      <c r="EE396" s="177"/>
      <c r="EF396" s="177"/>
      <c r="EG396" s="177"/>
      <c r="EH396" s="177"/>
      <c r="EI396" s="177"/>
      <c r="EJ396" s="177"/>
      <c r="EK396" s="177"/>
      <c r="EL396" s="177"/>
      <c r="EM396" s="177"/>
      <c r="EN396" s="177"/>
    </row>
    <row r="397" spans="3:144" x14ac:dyDescent="0.2"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  <c r="CF397" s="177"/>
      <c r="CG397" s="177"/>
      <c r="CH397" s="177"/>
      <c r="CI397" s="177"/>
      <c r="CJ397" s="177"/>
      <c r="CK397" s="177"/>
      <c r="CL397" s="177"/>
      <c r="CM397" s="177"/>
      <c r="CN397" s="177"/>
      <c r="CO397" s="177"/>
      <c r="CP397" s="177"/>
      <c r="CQ397" s="177"/>
      <c r="CR397" s="177"/>
      <c r="CS397" s="177"/>
      <c r="CT397" s="177"/>
      <c r="CU397" s="177"/>
      <c r="CV397" s="177"/>
      <c r="CW397" s="177"/>
      <c r="CX397" s="177"/>
      <c r="CY397" s="177"/>
      <c r="CZ397" s="177"/>
      <c r="DA397" s="177"/>
      <c r="DB397" s="177"/>
      <c r="DC397" s="177"/>
      <c r="DD397" s="177"/>
      <c r="DE397" s="177"/>
      <c r="DF397" s="177"/>
      <c r="DG397" s="177"/>
      <c r="DH397" s="177"/>
      <c r="DI397" s="177"/>
      <c r="DJ397" s="177"/>
      <c r="DK397" s="177"/>
      <c r="DL397" s="177"/>
      <c r="DM397" s="177"/>
      <c r="DN397" s="177"/>
      <c r="DO397" s="177"/>
      <c r="DP397" s="177"/>
      <c r="DQ397" s="177"/>
      <c r="DR397" s="177"/>
      <c r="DS397" s="177"/>
      <c r="DT397" s="177"/>
      <c r="DU397" s="177"/>
      <c r="DV397" s="177"/>
      <c r="DW397" s="177"/>
      <c r="DX397" s="177"/>
      <c r="DY397" s="177"/>
      <c r="DZ397" s="177"/>
      <c r="EA397" s="177"/>
      <c r="EB397" s="177"/>
      <c r="EC397" s="177"/>
      <c r="ED397" s="177"/>
      <c r="EE397" s="177"/>
      <c r="EF397" s="177"/>
      <c r="EG397" s="177"/>
      <c r="EH397" s="177"/>
      <c r="EI397" s="177"/>
      <c r="EJ397" s="177"/>
      <c r="EK397" s="177"/>
      <c r="EL397" s="177"/>
      <c r="EM397" s="177"/>
      <c r="EN397" s="177"/>
    </row>
    <row r="398" spans="3:144" x14ac:dyDescent="0.2"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7"/>
      <c r="CC398" s="177"/>
      <c r="CD398" s="177"/>
      <c r="CE398" s="177"/>
      <c r="CF398" s="177"/>
      <c r="CG398" s="177"/>
      <c r="CH398" s="177"/>
      <c r="CI398" s="177"/>
      <c r="CJ398" s="177"/>
      <c r="CK398" s="177"/>
      <c r="CL398" s="177"/>
      <c r="CM398" s="177"/>
      <c r="CN398" s="177"/>
      <c r="CO398" s="177"/>
      <c r="CP398" s="177"/>
      <c r="CQ398" s="177"/>
      <c r="CR398" s="177"/>
      <c r="CS398" s="177"/>
      <c r="CT398" s="177"/>
      <c r="CU398" s="177"/>
      <c r="CV398" s="177"/>
      <c r="CW398" s="177"/>
      <c r="CX398" s="177"/>
      <c r="CY398" s="177"/>
      <c r="CZ398" s="177"/>
      <c r="DA398" s="177"/>
      <c r="DB398" s="177"/>
      <c r="DC398" s="177"/>
      <c r="DD398" s="177"/>
      <c r="DE398" s="177"/>
      <c r="DF398" s="177"/>
      <c r="DG398" s="177"/>
      <c r="DH398" s="177"/>
      <c r="DI398" s="177"/>
      <c r="DJ398" s="177"/>
      <c r="DK398" s="177"/>
      <c r="DL398" s="177"/>
      <c r="DM398" s="177"/>
      <c r="DN398" s="177"/>
      <c r="DO398" s="177"/>
      <c r="DP398" s="177"/>
      <c r="DQ398" s="177"/>
      <c r="DR398" s="177"/>
      <c r="DS398" s="177"/>
      <c r="DT398" s="177"/>
      <c r="DU398" s="177"/>
      <c r="DV398" s="177"/>
      <c r="DW398" s="177"/>
      <c r="DX398" s="177"/>
      <c r="DY398" s="177"/>
      <c r="DZ398" s="177"/>
      <c r="EA398" s="177"/>
      <c r="EB398" s="177"/>
      <c r="EC398" s="177"/>
      <c r="ED398" s="177"/>
      <c r="EE398" s="177"/>
      <c r="EF398" s="177"/>
      <c r="EG398" s="177"/>
      <c r="EH398" s="177"/>
      <c r="EI398" s="177"/>
      <c r="EJ398" s="177"/>
      <c r="EK398" s="177"/>
      <c r="EL398" s="177"/>
      <c r="EM398" s="177"/>
      <c r="EN398" s="177"/>
    </row>
    <row r="399" spans="3:144" x14ac:dyDescent="0.2"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  <c r="CF399" s="177"/>
      <c r="CG399" s="177"/>
      <c r="CH399" s="177"/>
      <c r="CI399" s="177"/>
      <c r="CJ399" s="177"/>
      <c r="CK399" s="177"/>
      <c r="CL399" s="177"/>
      <c r="CM399" s="177"/>
      <c r="CN399" s="177"/>
      <c r="CO399" s="177"/>
      <c r="CP399" s="177"/>
      <c r="CQ399" s="177"/>
      <c r="CR399" s="177"/>
      <c r="CS399" s="177"/>
      <c r="CT399" s="177"/>
      <c r="CU399" s="177"/>
      <c r="CV399" s="177"/>
      <c r="CW399" s="177"/>
      <c r="CX399" s="177"/>
      <c r="CY399" s="177"/>
      <c r="CZ399" s="177"/>
      <c r="DA399" s="177"/>
      <c r="DB399" s="177"/>
      <c r="DC399" s="177"/>
      <c r="DD399" s="177"/>
      <c r="DE399" s="177"/>
      <c r="DF399" s="177"/>
      <c r="DG399" s="177"/>
      <c r="DH399" s="177"/>
      <c r="DI399" s="177"/>
      <c r="DJ399" s="177"/>
      <c r="DK399" s="177"/>
      <c r="DL399" s="177"/>
      <c r="DM399" s="177"/>
      <c r="DN399" s="177"/>
      <c r="DO399" s="177"/>
      <c r="DP399" s="177"/>
      <c r="DQ399" s="177"/>
      <c r="DR399" s="177"/>
      <c r="DS399" s="177"/>
      <c r="DT399" s="177"/>
      <c r="DU399" s="177"/>
      <c r="DV399" s="177"/>
      <c r="DW399" s="177"/>
      <c r="DX399" s="177"/>
      <c r="DY399" s="177"/>
      <c r="DZ399" s="177"/>
      <c r="EA399" s="177"/>
      <c r="EB399" s="177"/>
      <c r="EC399" s="177"/>
      <c r="ED399" s="177"/>
      <c r="EE399" s="177"/>
      <c r="EF399" s="177"/>
      <c r="EG399" s="177"/>
      <c r="EH399" s="177"/>
      <c r="EI399" s="177"/>
      <c r="EJ399" s="177"/>
      <c r="EK399" s="177"/>
      <c r="EL399" s="177"/>
      <c r="EM399" s="177"/>
      <c r="EN399" s="177"/>
    </row>
    <row r="400" spans="3:144" x14ac:dyDescent="0.2"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77"/>
      <c r="DK400" s="177"/>
      <c r="DL400" s="177"/>
      <c r="DM400" s="177"/>
      <c r="DN400" s="177"/>
      <c r="DO400" s="177"/>
      <c r="DP400" s="177"/>
      <c r="DQ400" s="177"/>
      <c r="DR400" s="177"/>
      <c r="DS400" s="177"/>
      <c r="DT400" s="177"/>
      <c r="DU400" s="177"/>
      <c r="DV400" s="177"/>
      <c r="DW400" s="177"/>
      <c r="DX400" s="177"/>
      <c r="DY400" s="177"/>
      <c r="DZ400" s="177"/>
      <c r="EA400" s="177"/>
      <c r="EB400" s="177"/>
      <c r="EC400" s="177"/>
      <c r="ED400" s="177"/>
      <c r="EE400" s="177"/>
      <c r="EF400" s="177"/>
      <c r="EG400" s="177"/>
      <c r="EH400" s="177"/>
      <c r="EI400" s="177"/>
      <c r="EJ400" s="177"/>
      <c r="EK400" s="177"/>
      <c r="EL400" s="177"/>
      <c r="EM400" s="177"/>
      <c r="EN400" s="177"/>
    </row>
    <row r="401" spans="3:144" x14ac:dyDescent="0.2"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7"/>
      <c r="BW401" s="177"/>
      <c r="BX401" s="177"/>
      <c r="BY401" s="177"/>
      <c r="BZ401" s="177"/>
      <c r="CA401" s="177"/>
      <c r="CB401" s="177"/>
      <c r="CC401" s="177"/>
      <c r="CD401" s="177"/>
      <c r="CE401" s="177"/>
      <c r="CF401" s="177"/>
      <c r="CG401" s="177"/>
      <c r="CH401" s="177"/>
      <c r="CI401" s="177"/>
      <c r="CJ401" s="177"/>
      <c r="CK401" s="177"/>
      <c r="CL401" s="177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177"/>
      <c r="EG401" s="177"/>
      <c r="EH401" s="177"/>
      <c r="EI401" s="177"/>
      <c r="EJ401" s="177"/>
      <c r="EK401" s="177"/>
      <c r="EL401" s="177"/>
      <c r="EM401" s="177"/>
      <c r="EN401" s="177"/>
    </row>
    <row r="402" spans="3:144" x14ac:dyDescent="0.2"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  <c r="CF402" s="177"/>
      <c r="CG402" s="177"/>
      <c r="CH402" s="177"/>
      <c r="CI402" s="177"/>
      <c r="CJ402" s="177"/>
      <c r="CK402" s="177"/>
      <c r="CL402" s="177"/>
      <c r="CM402" s="177"/>
      <c r="CN402" s="177"/>
      <c r="CO402" s="177"/>
      <c r="CP402" s="177"/>
      <c r="CQ402" s="177"/>
      <c r="CR402" s="177"/>
      <c r="CS402" s="177"/>
      <c r="CT402" s="177"/>
      <c r="CU402" s="177"/>
      <c r="CV402" s="177"/>
      <c r="CW402" s="177"/>
      <c r="CX402" s="177"/>
      <c r="CY402" s="177"/>
      <c r="CZ402" s="177"/>
      <c r="DA402" s="177"/>
      <c r="DB402" s="177"/>
      <c r="DC402" s="177"/>
      <c r="DD402" s="177"/>
      <c r="DE402" s="177"/>
      <c r="DF402" s="177"/>
      <c r="DG402" s="177"/>
      <c r="DH402" s="177"/>
      <c r="DI402" s="177"/>
      <c r="DJ402" s="177"/>
      <c r="DK402" s="177"/>
      <c r="DL402" s="177"/>
      <c r="DM402" s="177"/>
      <c r="DN402" s="177"/>
      <c r="DO402" s="177"/>
      <c r="DP402" s="177"/>
      <c r="DQ402" s="177"/>
      <c r="DR402" s="177"/>
      <c r="DS402" s="177"/>
      <c r="DT402" s="177"/>
      <c r="DU402" s="177"/>
      <c r="DV402" s="177"/>
      <c r="DW402" s="177"/>
      <c r="DX402" s="177"/>
      <c r="DY402" s="177"/>
      <c r="DZ402" s="177"/>
      <c r="EA402" s="177"/>
      <c r="EB402" s="177"/>
      <c r="EC402" s="177"/>
      <c r="ED402" s="177"/>
      <c r="EE402" s="177"/>
      <c r="EF402" s="177"/>
      <c r="EG402" s="177"/>
      <c r="EH402" s="177"/>
      <c r="EI402" s="177"/>
      <c r="EJ402" s="177"/>
      <c r="EK402" s="177"/>
      <c r="EL402" s="177"/>
      <c r="EM402" s="177"/>
      <c r="EN402" s="177"/>
    </row>
    <row r="403" spans="3:144" x14ac:dyDescent="0.2"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7"/>
      <c r="BN403" s="177"/>
      <c r="BO403" s="177"/>
      <c r="BP403" s="177"/>
      <c r="BQ403" s="177"/>
      <c r="BR403" s="177"/>
      <c r="BS403" s="177"/>
      <c r="BT403" s="177"/>
      <c r="BU403" s="177"/>
      <c r="BV403" s="177"/>
      <c r="BW403" s="177"/>
      <c r="BX403" s="177"/>
      <c r="BY403" s="177"/>
      <c r="BZ403" s="177"/>
      <c r="CA403" s="177"/>
      <c r="CB403" s="177"/>
      <c r="CC403" s="177"/>
      <c r="CD403" s="177"/>
      <c r="CE403" s="177"/>
      <c r="CF403" s="177"/>
      <c r="CG403" s="177"/>
      <c r="CH403" s="177"/>
      <c r="CI403" s="177"/>
      <c r="CJ403" s="177"/>
      <c r="CK403" s="177"/>
      <c r="CL403" s="177"/>
      <c r="CM403" s="177"/>
      <c r="CN403" s="177"/>
      <c r="CO403" s="177"/>
      <c r="CP403" s="177"/>
      <c r="CQ403" s="177"/>
      <c r="CR403" s="177"/>
      <c r="CS403" s="177"/>
      <c r="CT403" s="177"/>
      <c r="CU403" s="177"/>
      <c r="CV403" s="177"/>
      <c r="CW403" s="177"/>
      <c r="CX403" s="177"/>
      <c r="CY403" s="177"/>
      <c r="CZ403" s="177"/>
      <c r="DA403" s="177"/>
      <c r="DB403" s="177"/>
      <c r="DC403" s="177"/>
      <c r="DD403" s="177"/>
      <c r="DE403" s="177"/>
      <c r="DF403" s="177"/>
      <c r="DG403" s="177"/>
      <c r="DH403" s="177"/>
      <c r="DI403" s="177"/>
      <c r="DJ403" s="177"/>
      <c r="DK403" s="177"/>
      <c r="DL403" s="177"/>
      <c r="DM403" s="177"/>
      <c r="DN403" s="177"/>
      <c r="DO403" s="177"/>
      <c r="DP403" s="177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177"/>
      <c r="EB403" s="177"/>
      <c r="EC403" s="177"/>
      <c r="ED403" s="177"/>
      <c r="EE403" s="177"/>
      <c r="EF403" s="177"/>
      <c r="EG403" s="177"/>
      <c r="EH403" s="177"/>
      <c r="EI403" s="177"/>
      <c r="EJ403" s="177"/>
      <c r="EK403" s="177"/>
      <c r="EL403" s="177"/>
      <c r="EM403" s="177"/>
      <c r="EN403" s="177"/>
    </row>
    <row r="404" spans="3:144" x14ac:dyDescent="0.2"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  <c r="CF404" s="177"/>
      <c r="CG404" s="177"/>
      <c r="CH404" s="177"/>
      <c r="CI404" s="177"/>
      <c r="CJ404" s="177"/>
      <c r="CK404" s="177"/>
      <c r="CL404" s="177"/>
      <c r="CM404" s="177"/>
      <c r="CN404" s="177"/>
      <c r="CO404" s="177"/>
      <c r="CP404" s="177"/>
      <c r="CQ404" s="177"/>
      <c r="CR404" s="177"/>
      <c r="CS404" s="177"/>
      <c r="CT404" s="177"/>
      <c r="CU404" s="177"/>
      <c r="CV404" s="177"/>
      <c r="CW404" s="177"/>
      <c r="CX404" s="177"/>
      <c r="CY404" s="177"/>
      <c r="CZ404" s="177"/>
      <c r="DA404" s="177"/>
      <c r="DB404" s="177"/>
      <c r="DC404" s="177"/>
      <c r="DD404" s="177"/>
      <c r="DE404" s="177"/>
      <c r="DF404" s="177"/>
      <c r="DG404" s="177"/>
      <c r="DH404" s="177"/>
      <c r="DI404" s="177"/>
      <c r="DJ404" s="177"/>
      <c r="DK404" s="177"/>
      <c r="DL404" s="177"/>
      <c r="DM404" s="177"/>
      <c r="DN404" s="177"/>
      <c r="DO404" s="177"/>
      <c r="DP404" s="177"/>
      <c r="DQ404" s="177"/>
      <c r="DR404" s="177"/>
      <c r="DS404" s="177"/>
      <c r="DT404" s="177"/>
      <c r="DU404" s="177"/>
      <c r="DV404" s="177"/>
      <c r="DW404" s="177"/>
      <c r="DX404" s="177"/>
      <c r="DY404" s="177"/>
      <c r="DZ404" s="177"/>
      <c r="EA404" s="177"/>
      <c r="EB404" s="177"/>
      <c r="EC404" s="177"/>
      <c r="ED404" s="177"/>
      <c r="EE404" s="177"/>
      <c r="EF404" s="177"/>
      <c r="EG404" s="177"/>
      <c r="EH404" s="177"/>
      <c r="EI404" s="177"/>
      <c r="EJ404" s="177"/>
      <c r="EK404" s="177"/>
      <c r="EL404" s="177"/>
      <c r="EM404" s="177"/>
      <c r="EN404" s="177"/>
    </row>
    <row r="405" spans="3:144" x14ac:dyDescent="0.2"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  <c r="EI405" s="177"/>
      <c r="EJ405" s="177"/>
      <c r="EK405" s="177"/>
      <c r="EL405" s="177"/>
      <c r="EM405" s="177"/>
      <c r="EN405" s="177"/>
    </row>
    <row r="406" spans="3:144" x14ac:dyDescent="0.2"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  <c r="EI406" s="177"/>
      <c r="EJ406" s="177"/>
      <c r="EK406" s="177"/>
      <c r="EL406" s="177"/>
      <c r="EM406" s="177"/>
      <c r="EN406" s="177"/>
    </row>
    <row r="407" spans="3:144" x14ac:dyDescent="0.2"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  <c r="EI407" s="177"/>
      <c r="EJ407" s="177"/>
      <c r="EK407" s="177"/>
      <c r="EL407" s="177"/>
      <c r="EM407" s="177"/>
      <c r="EN407" s="177"/>
    </row>
    <row r="408" spans="3:144" x14ac:dyDescent="0.2"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77"/>
      <c r="BN408" s="177"/>
      <c r="BO408" s="177"/>
      <c r="BP408" s="177"/>
      <c r="BQ408" s="177"/>
      <c r="BR408" s="177"/>
      <c r="BS408" s="177"/>
      <c r="BT408" s="177"/>
      <c r="BU408" s="177"/>
      <c r="BV408" s="177"/>
      <c r="BW408" s="177"/>
      <c r="BX408" s="177"/>
      <c r="BY408" s="177"/>
      <c r="BZ408" s="177"/>
      <c r="CA408" s="177"/>
      <c r="CB408" s="177"/>
      <c r="CC408" s="177"/>
      <c r="CD408" s="177"/>
      <c r="CE408" s="177"/>
      <c r="CF408" s="177"/>
      <c r="CG408" s="177"/>
      <c r="CH408" s="177"/>
      <c r="CI408" s="177"/>
      <c r="CJ408" s="177"/>
      <c r="CK408" s="177"/>
      <c r="CL408" s="177"/>
      <c r="CM408" s="177"/>
      <c r="CN408" s="177"/>
      <c r="CO408" s="177"/>
      <c r="CP408" s="177"/>
      <c r="CQ408" s="177"/>
      <c r="CR408" s="177"/>
      <c r="CS408" s="177"/>
      <c r="CT408" s="177"/>
      <c r="CU408" s="177"/>
      <c r="CV408" s="177"/>
      <c r="CW408" s="177"/>
      <c r="CX408" s="177"/>
      <c r="CY408" s="177"/>
      <c r="CZ408" s="177"/>
      <c r="DA408" s="177"/>
      <c r="DB408" s="177"/>
      <c r="DC408" s="177"/>
      <c r="DD408" s="177"/>
      <c r="DE408" s="177"/>
      <c r="DF408" s="177"/>
      <c r="DG408" s="177"/>
      <c r="DH408" s="177"/>
      <c r="DI408" s="177"/>
      <c r="DJ408" s="177"/>
      <c r="DK408" s="177"/>
      <c r="DL408" s="177"/>
      <c r="DM408" s="177"/>
      <c r="DN408" s="177"/>
      <c r="DO408" s="177"/>
      <c r="DP408" s="177"/>
      <c r="DQ408" s="177"/>
      <c r="DR408" s="177"/>
      <c r="DS408" s="177"/>
      <c r="DT408" s="177"/>
      <c r="DU408" s="177"/>
      <c r="DV408" s="177"/>
      <c r="DW408" s="177"/>
      <c r="DX408" s="177"/>
      <c r="DY408" s="177"/>
      <c r="DZ408" s="177"/>
      <c r="EA408" s="177"/>
      <c r="EB408" s="177"/>
      <c r="EC408" s="177"/>
      <c r="ED408" s="177"/>
      <c r="EE408" s="177"/>
      <c r="EF408" s="177"/>
      <c r="EG408" s="177"/>
      <c r="EH408" s="177"/>
      <c r="EI408" s="177"/>
      <c r="EJ408" s="177"/>
      <c r="EK408" s="177"/>
      <c r="EL408" s="177"/>
      <c r="EM408" s="177"/>
      <c r="EN408" s="177"/>
    </row>
    <row r="409" spans="3:144" x14ac:dyDescent="0.2"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  <c r="CF409" s="177"/>
      <c r="CG409" s="177"/>
      <c r="CH409" s="177"/>
      <c r="CI409" s="177"/>
      <c r="CJ409" s="177"/>
      <c r="CK409" s="177"/>
      <c r="CL409" s="177"/>
      <c r="CM409" s="177"/>
      <c r="CN409" s="177"/>
      <c r="CO409" s="177"/>
      <c r="CP409" s="177"/>
      <c r="CQ409" s="177"/>
      <c r="CR409" s="177"/>
      <c r="CS409" s="177"/>
      <c r="CT409" s="177"/>
      <c r="CU409" s="177"/>
      <c r="CV409" s="177"/>
      <c r="CW409" s="177"/>
      <c r="CX409" s="177"/>
      <c r="CY409" s="177"/>
      <c r="CZ409" s="177"/>
      <c r="DA409" s="177"/>
      <c r="DB409" s="177"/>
      <c r="DC409" s="177"/>
      <c r="DD409" s="177"/>
      <c r="DE409" s="177"/>
      <c r="DF409" s="177"/>
      <c r="DG409" s="177"/>
      <c r="DH409" s="177"/>
      <c r="DI409" s="177"/>
      <c r="DJ409" s="177"/>
      <c r="DK409" s="177"/>
      <c r="DL409" s="177"/>
      <c r="DM409" s="177"/>
      <c r="DN409" s="177"/>
      <c r="DO409" s="177"/>
      <c r="DP409" s="177"/>
      <c r="DQ409" s="177"/>
      <c r="DR409" s="177"/>
      <c r="DS409" s="177"/>
      <c r="DT409" s="177"/>
      <c r="DU409" s="177"/>
      <c r="DV409" s="177"/>
      <c r="DW409" s="177"/>
      <c r="DX409" s="177"/>
      <c r="DY409" s="177"/>
      <c r="DZ409" s="177"/>
      <c r="EA409" s="177"/>
      <c r="EB409" s="177"/>
      <c r="EC409" s="177"/>
      <c r="ED409" s="177"/>
      <c r="EE409" s="177"/>
      <c r="EF409" s="177"/>
      <c r="EG409" s="177"/>
      <c r="EH409" s="177"/>
      <c r="EI409" s="177"/>
      <c r="EJ409" s="177"/>
      <c r="EK409" s="177"/>
      <c r="EL409" s="177"/>
      <c r="EM409" s="177"/>
      <c r="EN409" s="177"/>
    </row>
    <row r="410" spans="3:144" x14ac:dyDescent="0.2"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177"/>
      <c r="CM410" s="177"/>
      <c r="CN410" s="177"/>
      <c r="CO410" s="177"/>
      <c r="CP410" s="177"/>
      <c r="CQ410" s="177"/>
      <c r="CR410" s="177"/>
      <c r="CS410" s="177"/>
      <c r="CT410" s="177"/>
      <c r="CU410" s="177"/>
      <c r="CV410" s="177"/>
      <c r="CW410" s="177"/>
      <c r="CX410" s="177"/>
      <c r="CY410" s="177"/>
      <c r="CZ410" s="177"/>
      <c r="DA410" s="177"/>
      <c r="DB410" s="177"/>
      <c r="DC410" s="177"/>
      <c r="DD410" s="177"/>
      <c r="DE410" s="177"/>
      <c r="DF410" s="177"/>
      <c r="DG410" s="177"/>
      <c r="DH410" s="177"/>
      <c r="DI410" s="177"/>
      <c r="DJ410" s="177"/>
      <c r="DK410" s="177"/>
      <c r="DL410" s="177"/>
      <c r="DM410" s="177"/>
      <c r="DN410" s="177"/>
      <c r="DO410" s="177"/>
      <c r="DP410" s="177"/>
      <c r="DQ410" s="177"/>
      <c r="DR410" s="177"/>
      <c r="DS410" s="177"/>
      <c r="DT410" s="177"/>
      <c r="DU410" s="177"/>
      <c r="DV410" s="177"/>
      <c r="DW410" s="177"/>
      <c r="DX410" s="177"/>
      <c r="DY410" s="177"/>
      <c r="DZ410" s="177"/>
      <c r="EA410" s="177"/>
      <c r="EB410" s="177"/>
      <c r="EC410" s="177"/>
      <c r="ED410" s="177"/>
      <c r="EE410" s="177"/>
      <c r="EF410" s="177"/>
      <c r="EG410" s="177"/>
      <c r="EH410" s="177"/>
      <c r="EI410" s="177"/>
      <c r="EJ410" s="177"/>
      <c r="EK410" s="177"/>
      <c r="EL410" s="177"/>
      <c r="EM410" s="177"/>
      <c r="EN410" s="177"/>
    </row>
    <row r="411" spans="3:144" x14ac:dyDescent="0.2"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  <c r="CF411" s="177"/>
      <c r="CG411" s="177"/>
      <c r="CH411" s="177"/>
      <c r="CI411" s="177"/>
      <c r="CJ411" s="177"/>
      <c r="CK411" s="177"/>
      <c r="CL411" s="177"/>
      <c r="CM411" s="177"/>
      <c r="CN411" s="177"/>
      <c r="CO411" s="177"/>
      <c r="CP411" s="177"/>
      <c r="CQ411" s="177"/>
      <c r="CR411" s="177"/>
      <c r="CS411" s="177"/>
      <c r="CT411" s="177"/>
      <c r="CU411" s="177"/>
      <c r="CV411" s="177"/>
      <c r="CW411" s="177"/>
      <c r="CX411" s="177"/>
      <c r="CY411" s="177"/>
      <c r="CZ411" s="177"/>
      <c r="DA411" s="177"/>
      <c r="DB411" s="177"/>
      <c r="DC411" s="177"/>
      <c r="DD411" s="177"/>
      <c r="DE411" s="177"/>
      <c r="DF411" s="177"/>
      <c r="DG411" s="177"/>
      <c r="DH411" s="177"/>
      <c r="DI411" s="177"/>
      <c r="DJ411" s="177"/>
      <c r="DK411" s="177"/>
      <c r="DL411" s="177"/>
      <c r="DM411" s="177"/>
      <c r="DN411" s="177"/>
      <c r="DO411" s="177"/>
      <c r="DP411" s="177"/>
      <c r="DQ411" s="177"/>
      <c r="DR411" s="177"/>
      <c r="DS411" s="177"/>
      <c r="DT411" s="177"/>
      <c r="DU411" s="177"/>
      <c r="DV411" s="177"/>
      <c r="DW411" s="177"/>
      <c r="DX411" s="177"/>
      <c r="DY411" s="177"/>
      <c r="DZ411" s="177"/>
      <c r="EA411" s="177"/>
      <c r="EB411" s="177"/>
      <c r="EC411" s="177"/>
      <c r="ED411" s="177"/>
      <c r="EE411" s="177"/>
      <c r="EF411" s="177"/>
      <c r="EG411" s="177"/>
      <c r="EH411" s="177"/>
      <c r="EI411" s="177"/>
      <c r="EJ411" s="177"/>
      <c r="EK411" s="177"/>
      <c r="EL411" s="177"/>
      <c r="EM411" s="177"/>
      <c r="EN411" s="177"/>
    </row>
    <row r="412" spans="3:144" x14ac:dyDescent="0.2"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7"/>
      <c r="CC412" s="177"/>
      <c r="CD412" s="177"/>
      <c r="CE412" s="177"/>
      <c r="CF412" s="177"/>
      <c r="CG412" s="177"/>
      <c r="CH412" s="177"/>
      <c r="CI412" s="177"/>
      <c r="CJ412" s="177"/>
      <c r="CK412" s="177"/>
      <c r="CL412" s="177"/>
      <c r="CM412" s="177"/>
      <c r="CN412" s="177"/>
      <c r="CO412" s="177"/>
      <c r="CP412" s="177"/>
      <c r="CQ412" s="177"/>
      <c r="CR412" s="177"/>
      <c r="CS412" s="177"/>
      <c r="CT412" s="177"/>
      <c r="CU412" s="177"/>
      <c r="CV412" s="177"/>
      <c r="CW412" s="177"/>
      <c r="CX412" s="177"/>
      <c r="CY412" s="177"/>
      <c r="CZ412" s="177"/>
      <c r="DA412" s="177"/>
      <c r="DB412" s="177"/>
      <c r="DC412" s="177"/>
      <c r="DD412" s="177"/>
      <c r="DE412" s="177"/>
      <c r="DF412" s="177"/>
      <c r="DG412" s="177"/>
      <c r="DH412" s="177"/>
      <c r="DI412" s="177"/>
      <c r="DJ412" s="177"/>
      <c r="DK412" s="177"/>
      <c r="DL412" s="177"/>
      <c r="DM412" s="177"/>
      <c r="DN412" s="177"/>
      <c r="DO412" s="177"/>
      <c r="DP412" s="177"/>
      <c r="DQ412" s="177"/>
      <c r="DR412" s="177"/>
      <c r="DS412" s="177"/>
      <c r="DT412" s="177"/>
      <c r="DU412" s="177"/>
      <c r="DV412" s="177"/>
      <c r="DW412" s="177"/>
      <c r="DX412" s="177"/>
      <c r="DY412" s="177"/>
      <c r="DZ412" s="177"/>
      <c r="EA412" s="177"/>
      <c r="EB412" s="177"/>
      <c r="EC412" s="177"/>
      <c r="ED412" s="177"/>
      <c r="EE412" s="177"/>
      <c r="EF412" s="177"/>
      <c r="EG412" s="177"/>
      <c r="EH412" s="177"/>
      <c r="EI412" s="177"/>
      <c r="EJ412" s="177"/>
      <c r="EK412" s="177"/>
      <c r="EL412" s="177"/>
      <c r="EM412" s="177"/>
      <c r="EN412" s="177"/>
    </row>
    <row r="413" spans="3:144" x14ac:dyDescent="0.2"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  <c r="CF413" s="177"/>
      <c r="CG413" s="177"/>
      <c r="CH413" s="177"/>
      <c r="CI413" s="177"/>
      <c r="CJ413" s="177"/>
      <c r="CK413" s="177"/>
      <c r="CL413" s="177"/>
      <c r="CM413" s="177"/>
      <c r="CN413" s="177"/>
      <c r="CO413" s="177"/>
      <c r="CP413" s="177"/>
      <c r="CQ413" s="177"/>
      <c r="CR413" s="177"/>
      <c r="CS413" s="177"/>
      <c r="CT413" s="177"/>
      <c r="CU413" s="177"/>
      <c r="CV413" s="177"/>
      <c r="CW413" s="177"/>
      <c r="CX413" s="177"/>
      <c r="CY413" s="177"/>
      <c r="CZ413" s="177"/>
      <c r="DA413" s="177"/>
      <c r="DB413" s="177"/>
      <c r="DC413" s="177"/>
      <c r="DD413" s="177"/>
      <c r="DE413" s="177"/>
      <c r="DF413" s="177"/>
      <c r="DG413" s="177"/>
      <c r="DH413" s="177"/>
      <c r="DI413" s="177"/>
      <c r="DJ413" s="177"/>
      <c r="DK413" s="177"/>
      <c r="DL413" s="177"/>
      <c r="DM413" s="177"/>
      <c r="DN413" s="177"/>
      <c r="DO413" s="177"/>
      <c r="DP413" s="177"/>
      <c r="DQ413" s="177"/>
      <c r="DR413" s="177"/>
      <c r="DS413" s="177"/>
      <c r="DT413" s="177"/>
      <c r="DU413" s="177"/>
      <c r="DV413" s="177"/>
      <c r="DW413" s="177"/>
      <c r="DX413" s="177"/>
      <c r="DY413" s="177"/>
      <c r="DZ413" s="177"/>
      <c r="EA413" s="177"/>
      <c r="EB413" s="177"/>
      <c r="EC413" s="177"/>
      <c r="ED413" s="177"/>
      <c r="EE413" s="177"/>
      <c r="EF413" s="177"/>
      <c r="EG413" s="177"/>
      <c r="EH413" s="177"/>
      <c r="EI413" s="177"/>
      <c r="EJ413" s="177"/>
      <c r="EK413" s="177"/>
      <c r="EL413" s="177"/>
      <c r="EM413" s="177"/>
      <c r="EN413" s="177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P22" sqref="P22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226" t="s">
        <v>142</v>
      </c>
      <c r="B1" s="226" t="s">
        <v>143</v>
      </c>
      <c r="C1" s="226"/>
      <c r="D1" s="226"/>
      <c r="E1" s="226"/>
      <c r="M1" s="226"/>
      <c r="N1" s="226"/>
      <c r="O1" s="226"/>
      <c r="P1" s="226"/>
      <c r="Q1" s="398" t="s">
        <v>226</v>
      </c>
      <c r="R1" s="398"/>
      <c r="S1" s="398"/>
    </row>
    <row r="2" spans="1:19" x14ac:dyDescent="0.25">
      <c r="A2" s="226"/>
      <c r="B2" s="226" t="s">
        <v>144</v>
      </c>
      <c r="C2" s="226" t="s">
        <v>144</v>
      </c>
      <c r="D2" s="226" t="s">
        <v>144</v>
      </c>
      <c r="E2" s="226" t="s">
        <v>144</v>
      </c>
      <c r="F2" t="s">
        <v>144</v>
      </c>
      <c r="G2" t="s">
        <v>144</v>
      </c>
      <c r="H2" t="s">
        <v>144</v>
      </c>
      <c r="I2" t="s">
        <v>144</v>
      </c>
      <c r="J2" t="s">
        <v>144</v>
      </c>
      <c r="K2" t="s">
        <v>144</v>
      </c>
      <c r="L2" t="s">
        <v>144</v>
      </c>
      <c r="M2" s="226" t="s">
        <v>144</v>
      </c>
      <c r="N2" s="226" t="s">
        <v>145</v>
      </c>
      <c r="O2" s="226" t="s">
        <v>145</v>
      </c>
      <c r="P2" s="226" t="s">
        <v>145</v>
      </c>
      <c r="Q2" s="398"/>
      <c r="R2" s="398"/>
      <c r="S2" s="398"/>
    </row>
    <row r="3" spans="1:19" x14ac:dyDescent="0.25">
      <c r="A3" s="227" t="s">
        <v>147</v>
      </c>
      <c r="B3" s="227" t="s">
        <v>148</v>
      </c>
      <c r="C3" s="227" t="s">
        <v>149</v>
      </c>
      <c r="D3" s="227" t="s">
        <v>150</v>
      </c>
      <c r="E3" s="227" t="s">
        <v>151</v>
      </c>
      <c r="F3" t="s">
        <v>152</v>
      </c>
      <c r="G3" t="s">
        <v>153</v>
      </c>
      <c r="H3" t="s">
        <v>154</v>
      </c>
      <c r="I3" t="s">
        <v>155</v>
      </c>
      <c r="J3" t="s">
        <v>156</v>
      </c>
      <c r="K3" t="s">
        <v>157</v>
      </c>
      <c r="L3" t="s">
        <v>158</v>
      </c>
      <c r="M3" s="227" t="s">
        <v>159</v>
      </c>
      <c r="N3" s="227" t="s">
        <v>148</v>
      </c>
      <c r="O3" s="227" t="s">
        <v>149</v>
      </c>
      <c r="P3" s="227" t="s">
        <v>150</v>
      </c>
      <c r="Q3" s="399">
        <v>43556</v>
      </c>
      <c r="R3" s="399">
        <v>43586</v>
      </c>
      <c r="S3" s="399">
        <v>43617</v>
      </c>
    </row>
    <row r="4" spans="1:19" x14ac:dyDescent="0.25">
      <c r="A4" s="163" t="s">
        <v>160</v>
      </c>
      <c r="B4" s="186">
        <v>3992945.72</v>
      </c>
      <c r="C4" s="186">
        <v>4812479.6900000004</v>
      </c>
      <c r="D4" s="186">
        <v>4803941.09</v>
      </c>
      <c r="E4" s="186">
        <v>4803941.09</v>
      </c>
      <c r="F4" s="186">
        <v>4803941.09</v>
      </c>
      <c r="G4" s="186">
        <v>4803941.09</v>
      </c>
      <c r="H4" s="186">
        <v>4803941.09</v>
      </c>
      <c r="I4" s="186">
        <v>11872524.41</v>
      </c>
      <c r="J4" s="186">
        <v>11872524.41</v>
      </c>
      <c r="K4" s="186">
        <v>11872524.41</v>
      </c>
      <c r="L4" s="186">
        <v>11872524.41</v>
      </c>
      <c r="M4" s="186">
        <v>11872524.41</v>
      </c>
      <c r="N4" s="186">
        <v>11872524.41</v>
      </c>
      <c r="O4" s="186">
        <v>11872524.41</v>
      </c>
      <c r="P4" s="186"/>
    </row>
    <row r="5" spans="1:19" x14ac:dyDescent="0.25">
      <c r="A5" s="163" t="s">
        <v>161</v>
      </c>
      <c r="B5" s="186">
        <v>37510</v>
      </c>
      <c r="C5" s="186">
        <v>37510</v>
      </c>
      <c r="D5" s="186">
        <v>15653321.199999999</v>
      </c>
      <c r="E5" s="186">
        <v>15653321.199999999</v>
      </c>
      <c r="F5" s="186">
        <v>15653321.199999999</v>
      </c>
      <c r="G5" s="186">
        <v>15650769.859999999</v>
      </c>
      <c r="H5" s="186">
        <v>19541797.66</v>
      </c>
      <c r="I5" s="186">
        <v>20137575.960000001</v>
      </c>
      <c r="J5" s="186">
        <v>23398277.969999999</v>
      </c>
      <c r="K5" s="186">
        <v>31070902.289999999</v>
      </c>
      <c r="L5" s="186">
        <v>31198867.539999999</v>
      </c>
      <c r="M5" s="186">
        <v>32499745.170000002</v>
      </c>
      <c r="N5" s="186">
        <v>35709589.280000001</v>
      </c>
      <c r="O5" s="186">
        <v>39776949.009999998</v>
      </c>
      <c r="P5" s="186">
        <v>44835334.859999999</v>
      </c>
    </row>
    <row r="6" spans="1:19" x14ac:dyDescent="0.25">
      <c r="A6" s="163" t="s">
        <v>121</v>
      </c>
      <c r="B6" s="186">
        <v>0</v>
      </c>
      <c r="C6" s="186">
        <v>0</v>
      </c>
      <c r="D6" s="186">
        <v>0</v>
      </c>
      <c r="E6" s="186">
        <v>0</v>
      </c>
      <c r="F6" s="186">
        <v>0</v>
      </c>
      <c r="G6" s="186">
        <v>0</v>
      </c>
      <c r="H6" s="186">
        <v>4295953.8600000003</v>
      </c>
      <c r="I6" s="186">
        <v>4625543.1100000003</v>
      </c>
      <c r="J6" s="186">
        <v>4969233.07</v>
      </c>
      <c r="K6" s="186">
        <v>5563651.21</v>
      </c>
      <c r="L6" s="186">
        <v>5610621.21</v>
      </c>
      <c r="M6" s="186">
        <v>5610621.21</v>
      </c>
      <c r="N6" s="186">
        <v>7446460.8700000001</v>
      </c>
      <c r="O6" s="186">
        <v>7930466.8600000003</v>
      </c>
      <c r="P6" s="186">
        <v>11740576.52</v>
      </c>
    </row>
    <row r="7" spans="1:19" x14ac:dyDescent="0.25">
      <c r="A7" s="163" t="s">
        <v>122</v>
      </c>
      <c r="B7" s="186">
        <v>0</v>
      </c>
      <c r="C7" s="186">
        <v>0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1785237.96</v>
      </c>
      <c r="N7" s="186">
        <v>1478319.72</v>
      </c>
      <c r="O7" s="186">
        <v>1496803.07</v>
      </c>
      <c r="P7" s="186">
        <v>1490193.86</v>
      </c>
    </row>
    <row r="8" spans="1:19" x14ac:dyDescent="0.25">
      <c r="A8" s="163" t="s">
        <v>132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>
        <v>11872524.41</v>
      </c>
    </row>
    <row r="9" spans="1:19" x14ac:dyDescent="0.25">
      <c r="A9" s="163" t="s">
        <v>146</v>
      </c>
      <c r="B9" s="186">
        <v>4030455.72</v>
      </c>
      <c r="C9" s="186">
        <v>4849989.6900000004</v>
      </c>
      <c r="D9" s="186">
        <v>20457262.289999999</v>
      </c>
      <c r="E9" s="186">
        <v>20457262.289999999</v>
      </c>
      <c r="F9" s="186">
        <v>20457262.289999999</v>
      </c>
      <c r="G9" s="186">
        <v>20454710.949999999</v>
      </c>
      <c r="H9" s="186">
        <v>28641692.609999999</v>
      </c>
      <c r="I9" s="186">
        <v>36635643.480000004</v>
      </c>
      <c r="J9" s="186">
        <v>40240035.449999996</v>
      </c>
      <c r="K9" s="186">
        <v>48507077.910000004</v>
      </c>
      <c r="L9" s="186">
        <v>48682013.160000004</v>
      </c>
      <c r="M9" s="186">
        <v>51768128.75</v>
      </c>
      <c r="N9" s="186">
        <v>56506894.279999994</v>
      </c>
      <c r="O9" s="186">
        <v>61076743.350000001</v>
      </c>
      <c r="P9" s="186">
        <v>69938629.649999991</v>
      </c>
    </row>
    <row r="10" spans="1:19" x14ac:dyDescent="0.25">
      <c r="A10" s="163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1" spans="1:19" x14ac:dyDescent="0.25">
      <c r="A11" s="239" t="s">
        <v>227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240"/>
      <c r="O11" s="192"/>
      <c r="P11" s="192"/>
    </row>
    <row r="12" spans="1:19" x14ac:dyDescent="0.25">
      <c r="A12" s="189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87"/>
      <c r="N12" s="190">
        <v>0</v>
      </c>
      <c r="O12" s="190">
        <v>0</v>
      </c>
      <c r="P12" s="190">
        <v>-11872524.41</v>
      </c>
    </row>
    <row r="13" spans="1:19" x14ac:dyDescent="0.25">
      <c r="A13" s="191" t="s">
        <v>161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94">
        <f>+N5-M5</f>
        <v>3209844.1099999994</v>
      </c>
      <c r="O13" s="194">
        <f>+O5-N5</f>
        <v>4067359.7299999967</v>
      </c>
      <c r="P13" s="194">
        <f>+P5-O5</f>
        <v>5058385.8500000015</v>
      </c>
    </row>
    <row r="14" spans="1:19" x14ac:dyDescent="0.25">
      <c r="A14" s="191" t="s">
        <v>121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94">
        <f t="shared" ref="N14:P15" si="0">+N6-M6</f>
        <v>1835839.6600000001</v>
      </c>
      <c r="O14" s="194">
        <f t="shared" si="0"/>
        <v>484005.99000000022</v>
      </c>
      <c r="P14" s="194">
        <f t="shared" si="0"/>
        <v>3810109.6599999992</v>
      </c>
      <c r="Q14" s="377">
        <f>+'AMI Forecasted Additions'!K9</f>
        <v>0</v>
      </c>
      <c r="R14" s="377">
        <f>+'AMI Forecasted Additions'!L9</f>
        <v>0</v>
      </c>
      <c r="S14" s="377">
        <f>+'AMI Forecasted Additions'!M9</f>
        <v>6630922.0800000001</v>
      </c>
    </row>
    <row r="15" spans="1:19" x14ac:dyDescent="0.25">
      <c r="A15" s="191" t="s">
        <v>122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  <c r="N15" s="194">
        <f t="shared" si="0"/>
        <v>-306918.24</v>
      </c>
      <c r="O15" s="194">
        <f t="shared" si="0"/>
        <v>18483.350000000093</v>
      </c>
      <c r="P15" s="194">
        <f t="shared" si="0"/>
        <v>-6609.2099999999627</v>
      </c>
    </row>
    <row r="16" spans="1:19" x14ac:dyDescent="0.25">
      <c r="A16" s="189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90">
        <v>0</v>
      </c>
      <c r="O16" s="190">
        <v>0</v>
      </c>
      <c r="P16" s="190">
        <v>11872524.41</v>
      </c>
    </row>
    <row r="17" spans="1:19" ht="15.75" thickBot="1" x14ac:dyDescent="0.3">
      <c r="A17" s="195" t="s">
        <v>146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96">
        <v>4738765.5299999937</v>
      </c>
      <c r="O17" s="196">
        <v>4569849.0700000077</v>
      </c>
      <c r="P17" s="196">
        <v>8861886.2999999896</v>
      </c>
      <c r="S17" s="405">
        <f>SUM(N14:S15)</f>
        <v>12465833.289999999</v>
      </c>
    </row>
    <row r="18" spans="1:19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H42" sqref="H42"/>
    </sheetView>
  </sheetViews>
  <sheetFormatPr defaultRowHeight="15" x14ac:dyDescent="0.25"/>
  <cols>
    <col min="1" max="1" width="13.42578125" customWidth="1"/>
    <col min="2" max="2" width="12.85546875" customWidth="1"/>
    <col min="3" max="3" width="21.42578125" style="253" customWidth="1"/>
    <col min="4" max="53" width="12" customWidth="1"/>
  </cols>
  <sheetData>
    <row r="1" spans="1:16" x14ac:dyDescent="0.25">
      <c r="A1" s="252" t="s">
        <v>360</v>
      </c>
    </row>
    <row r="3" spans="1:16" ht="47.25" x14ac:dyDescent="0.25">
      <c r="A3" s="254" t="s">
        <v>232</v>
      </c>
      <c r="B3" s="254" t="s">
        <v>233</v>
      </c>
      <c r="C3" s="255"/>
      <c r="F3" s="276" t="s">
        <v>229</v>
      </c>
      <c r="G3" s="276" t="s">
        <v>152</v>
      </c>
      <c r="H3" s="276" t="s">
        <v>230</v>
      </c>
      <c r="I3" s="276" t="s">
        <v>247</v>
      </c>
      <c r="K3" s="276" t="s">
        <v>229</v>
      </c>
      <c r="L3" s="276" t="s">
        <v>152</v>
      </c>
      <c r="M3" s="276" t="s">
        <v>230</v>
      </c>
      <c r="N3" s="276" t="s">
        <v>248</v>
      </c>
    </row>
    <row r="4" spans="1:16" x14ac:dyDescent="0.25">
      <c r="A4" s="256">
        <v>9999823</v>
      </c>
      <c r="B4" s="257">
        <v>70.150000000000006</v>
      </c>
      <c r="C4" s="258">
        <f>C15*B4</f>
        <v>0</v>
      </c>
      <c r="F4">
        <v>0</v>
      </c>
      <c r="G4">
        <v>0</v>
      </c>
      <c r="H4">
        <v>0</v>
      </c>
      <c r="I4">
        <f>SUM(F4:H4)</f>
        <v>0</v>
      </c>
      <c r="K4" s="277">
        <v>0</v>
      </c>
      <c r="L4" s="277">
        <v>0</v>
      </c>
      <c r="M4" s="277">
        <v>0</v>
      </c>
      <c r="N4" s="277">
        <f>SUM(K4:M4)</f>
        <v>0</v>
      </c>
    </row>
    <row r="5" spans="1:16" x14ac:dyDescent="0.25">
      <c r="A5" s="256">
        <v>9999824</v>
      </c>
      <c r="B5" s="257">
        <v>69.87</v>
      </c>
      <c r="C5" s="258">
        <f>C16*B5</f>
        <v>26830.080000000002</v>
      </c>
      <c r="F5">
        <v>0</v>
      </c>
      <c r="G5">
        <v>0</v>
      </c>
      <c r="H5" s="206">
        <f>+M16</f>
        <v>384</v>
      </c>
      <c r="I5">
        <f t="shared" ref="I5:I8" si="0">SUM(F5:H5)</f>
        <v>384</v>
      </c>
      <c r="K5" s="277">
        <v>0</v>
      </c>
      <c r="L5" s="277">
        <v>0</v>
      </c>
      <c r="M5" s="277">
        <f>+H5*B5</f>
        <v>26830.080000000002</v>
      </c>
      <c r="N5" s="277">
        <f t="shared" ref="N5:N8" si="1">SUM(K5:M5)</f>
        <v>26830.080000000002</v>
      </c>
    </row>
    <row r="6" spans="1:16" x14ac:dyDescent="0.25">
      <c r="A6" s="256">
        <v>9999825</v>
      </c>
      <c r="B6" s="257">
        <v>70.19</v>
      </c>
      <c r="C6" s="258">
        <f>C17*B6</f>
        <v>0</v>
      </c>
      <c r="F6">
        <v>0</v>
      </c>
      <c r="G6">
        <v>0</v>
      </c>
      <c r="H6">
        <v>0</v>
      </c>
      <c r="I6">
        <f t="shared" si="0"/>
        <v>0</v>
      </c>
      <c r="K6" s="277">
        <v>0</v>
      </c>
      <c r="L6" s="277">
        <v>0</v>
      </c>
      <c r="M6" s="277">
        <v>0</v>
      </c>
      <c r="N6" s="277">
        <f t="shared" si="1"/>
        <v>0</v>
      </c>
    </row>
    <row r="7" spans="1:16" x14ac:dyDescent="0.25">
      <c r="A7" s="256">
        <v>9999953</v>
      </c>
      <c r="B7" s="257">
        <v>203.83</v>
      </c>
      <c r="C7" s="258">
        <f>C18*B7</f>
        <v>6604092</v>
      </c>
      <c r="F7">
        <v>0</v>
      </c>
      <c r="G7">
        <v>0</v>
      </c>
      <c r="H7" s="206">
        <f>+M18</f>
        <v>32400</v>
      </c>
      <c r="I7">
        <f t="shared" si="0"/>
        <v>32400</v>
      </c>
      <c r="K7" s="277">
        <v>0</v>
      </c>
      <c r="L7" s="277">
        <v>0</v>
      </c>
      <c r="M7" s="277">
        <f>+H7*B7</f>
        <v>6604092</v>
      </c>
      <c r="N7" s="277">
        <f t="shared" si="1"/>
        <v>6604092</v>
      </c>
    </row>
    <row r="8" spans="1:16" x14ac:dyDescent="0.25">
      <c r="A8" s="256">
        <v>9999826</v>
      </c>
      <c r="B8" s="257">
        <v>201.45</v>
      </c>
      <c r="C8" s="258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77">
        <v>0</v>
      </c>
      <c r="L8" s="277">
        <v>0</v>
      </c>
      <c r="M8" s="277">
        <v>0</v>
      </c>
      <c r="N8" s="277">
        <f t="shared" si="1"/>
        <v>0</v>
      </c>
    </row>
    <row r="9" spans="1:16" ht="15.75" thickBot="1" x14ac:dyDescent="0.3">
      <c r="A9" s="259"/>
      <c r="B9" s="260"/>
      <c r="C9" s="261">
        <f>SUM(C4:C8)</f>
        <v>6630922.0800000001</v>
      </c>
      <c r="D9" s="237" t="s">
        <v>234</v>
      </c>
      <c r="F9" s="275">
        <f>SUM(F4:F8)</f>
        <v>0</v>
      </c>
      <c r="G9" s="275">
        <f t="shared" ref="G9:I9" si="2">SUM(G4:G8)</f>
        <v>0</v>
      </c>
      <c r="H9" s="275">
        <f t="shared" si="2"/>
        <v>32784</v>
      </c>
      <c r="I9" s="275">
        <f t="shared" si="2"/>
        <v>32784</v>
      </c>
      <c r="K9" s="278">
        <f>SUM(K4:K8)</f>
        <v>0</v>
      </c>
      <c r="L9" s="278">
        <f t="shared" ref="L9" si="3">SUM(L4:L8)</f>
        <v>0</v>
      </c>
      <c r="M9" s="278">
        <f t="shared" ref="M9" si="4">SUM(M4:M8)</f>
        <v>6630922.0800000001</v>
      </c>
      <c r="N9" s="278">
        <f t="shared" ref="N9" si="5">SUM(N4:N8)</f>
        <v>6630922.0800000001</v>
      </c>
    </row>
    <row r="10" spans="1:16" ht="16.5" thickTop="1" x14ac:dyDescent="0.25">
      <c r="A10" s="259"/>
      <c r="B10" s="260"/>
      <c r="C10" s="262"/>
      <c r="E10" s="279" t="s">
        <v>249</v>
      </c>
      <c r="F10" s="280">
        <f>+'AMR Retirements'!K8</f>
        <v>0.44038691744340874</v>
      </c>
      <c r="G10" s="281">
        <f>+F10</f>
        <v>0.44038691744340874</v>
      </c>
      <c r="H10" s="281">
        <f>+G10</f>
        <v>0.44038691744340874</v>
      </c>
      <c r="I10" s="281">
        <f>+H10</f>
        <v>0.44038691744340874</v>
      </c>
    </row>
    <row r="11" spans="1:16" ht="15.75" x14ac:dyDescent="0.25">
      <c r="A11" s="259"/>
      <c r="B11" s="260"/>
      <c r="C11" s="262"/>
      <c r="E11" s="279" t="s">
        <v>250</v>
      </c>
      <c r="F11" s="282">
        <f>-F10*F9</f>
        <v>0</v>
      </c>
      <c r="G11" s="282">
        <f>-G10*G9</f>
        <v>0</v>
      </c>
      <c r="H11" s="282">
        <f>-H10*H9</f>
        <v>-14437.644701464713</v>
      </c>
    </row>
    <row r="13" spans="1:16" x14ac:dyDescent="0.25">
      <c r="A13" t="s">
        <v>235</v>
      </c>
      <c r="C13" s="263"/>
      <c r="D13" s="272">
        <v>43560</v>
      </c>
      <c r="E13" s="272">
        <v>43567</v>
      </c>
      <c r="F13" s="272">
        <v>43574</v>
      </c>
      <c r="G13" s="272">
        <v>43581</v>
      </c>
      <c r="H13" s="272">
        <v>43588</v>
      </c>
      <c r="I13" s="272">
        <v>43595</v>
      </c>
      <c r="J13" s="272">
        <v>43602</v>
      </c>
      <c r="K13" s="272">
        <v>43609</v>
      </c>
      <c r="L13" s="272">
        <v>43616</v>
      </c>
      <c r="M13" s="272">
        <v>43623</v>
      </c>
      <c r="N13" s="272">
        <v>43630</v>
      </c>
      <c r="O13" s="272">
        <v>43637</v>
      </c>
      <c r="P13" s="272">
        <v>43644</v>
      </c>
    </row>
    <row r="14" spans="1:16" x14ac:dyDescent="0.25">
      <c r="A14" s="264" t="s">
        <v>236</v>
      </c>
      <c r="B14" s="265" t="s">
        <v>237</v>
      </c>
      <c r="C14" s="255" t="s">
        <v>238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 x14ac:dyDescent="0.25">
      <c r="A15" s="266" t="s">
        <v>239</v>
      </c>
      <c r="B15" s="267" t="s">
        <v>240</v>
      </c>
      <c r="C15" s="268">
        <f>SUM(D15:P15)</f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</row>
    <row r="16" spans="1:16" x14ac:dyDescent="0.25">
      <c r="A16" s="266" t="s">
        <v>241</v>
      </c>
      <c r="B16" s="267" t="s">
        <v>242</v>
      </c>
      <c r="C16" s="268">
        <f>SUM(D16:P16)</f>
        <v>384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384</v>
      </c>
      <c r="N16" s="273">
        <v>0</v>
      </c>
      <c r="O16" s="273">
        <v>0</v>
      </c>
      <c r="P16" s="273">
        <v>0</v>
      </c>
    </row>
    <row r="17" spans="1:16" x14ac:dyDescent="0.25">
      <c r="A17" s="266" t="s">
        <v>243</v>
      </c>
      <c r="B17" s="267" t="s">
        <v>244</v>
      </c>
      <c r="C17" s="268">
        <f>SUM(D17:P17)</f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</row>
    <row r="18" spans="1:16" x14ac:dyDescent="0.25">
      <c r="A18" s="266" t="s">
        <v>245</v>
      </c>
      <c r="B18" s="267" t="s">
        <v>246</v>
      </c>
      <c r="C18" s="268">
        <f>SUM(D18:P18)</f>
        <v>32400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32400</v>
      </c>
      <c r="N18" s="273">
        <v>0</v>
      </c>
      <c r="O18" s="273">
        <v>0</v>
      </c>
      <c r="P18" s="273">
        <v>0</v>
      </c>
    </row>
    <row r="19" spans="1:16" x14ac:dyDescent="0.25">
      <c r="C19" s="268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s="270" customFormat="1" x14ac:dyDescent="0.25">
      <c r="A20" s="269"/>
      <c r="B20" s="269"/>
    </row>
    <row r="21" spans="1:16" s="270" customFormat="1" x14ac:dyDescent="0.25">
      <c r="A21" s="271"/>
      <c r="B21" s="271"/>
    </row>
    <row r="22" spans="1:16" s="270" customFormat="1" x14ac:dyDescent="0.25">
      <c r="A22" s="271"/>
      <c r="B22" s="271"/>
    </row>
    <row r="23" spans="1:16" s="270" customFormat="1" x14ac:dyDescent="0.25">
      <c r="A23" s="271"/>
      <c r="B23" s="271"/>
    </row>
    <row r="24" spans="1:16" s="270" customFormat="1" x14ac:dyDescent="0.25">
      <c r="A24" s="271"/>
      <c r="B24" s="271"/>
    </row>
    <row r="25" spans="1:16" s="270" customFormat="1" x14ac:dyDescent="0.25"/>
    <row r="26" spans="1:16" s="270" customFormat="1" x14ac:dyDescent="0.25"/>
    <row r="27" spans="1:16" s="270" customFormat="1" x14ac:dyDescent="0.25">
      <c r="A27" s="271"/>
      <c r="B27" s="271"/>
    </row>
    <row r="28" spans="1:16" s="270" customFormat="1" x14ac:dyDescent="0.25">
      <c r="A28" s="271"/>
      <c r="B28" s="271"/>
    </row>
    <row r="29" spans="1:16" s="270" customFormat="1" x14ac:dyDescent="0.25">
      <c r="A29" s="271"/>
      <c r="B29" s="271"/>
    </row>
    <row r="30" spans="1:16" s="270" customFormat="1" x14ac:dyDescent="0.25">
      <c r="A30" s="271"/>
      <c r="B30" s="271"/>
    </row>
    <row r="31" spans="1:16" s="270" customFormat="1" x14ac:dyDescent="0.25">
      <c r="A31" s="271"/>
      <c r="B31" s="271"/>
    </row>
    <row r="32" spans="1:16" s="270" customFormat="1" x14ac:dyDescent="0.25">
      <c r="A32" s="271"/>
      <c r="B32" s="271"/>
    </row>
    <row r="33" spans="1:2" s="270" customFormat="1" x14ac:dyDescent="0.25">
      <c r="A33" s="271"/>
      <c r="B33" s="271"/>
    </row>
    <row r="34" spans="1:2" s="270" customFormat="1" x14ac:dyDescent="0.25">
      <c r="A34" s="271"/>
      <c r="B34" s="271"/>
    </row>
    <row r="35" spans="1:2" s="270" customFormat="1" x14ac:dyDescent="0.25">
      <c r="A35" s="271"/>
      <c r="B35" s="271"/>
    </row>
    <row r="36" spans="1:2" s="270" customFormat="1" x14ac:dyDescent="0.25">
      <c r="A36" s="271"/>
      <c r="B36" s="271"/>
    </row>
    <row r="37" spans="1:2" s="270" customFormat="1" x14ac:dyDescent="0.25">
      <c r="A37" s="271"/>
      <c r="B37" s="271"/>
    </row>
    <row r="38" spans="1:2" s="270" customFormat="1" x14ac:dyDescent="0.25">
      <c r="A38" s="271"/>
      <c r="B38" s="271"/>
    </row>
    <row r="39" spans="1:2" s="270" customFormat="1" x14ac:dyDescent="0.25">
      <c r="A39" s="271"/>
      <c r="B39" s="271"/>
    </row>
    <row r="40" spans="1:2" s="270" customFormat="1" x14ac:dyDescent="0.25">
      <c r="A40" s="271"/>
      <c r="B40" s="271"/>
    </row>
    <row r="41" spans="1:2" s="270" customFormat="1" x14ac:dyDescent="0.25">
      <c r="A41" s="271"/>
      <c r="B41" s="271"/>
    </row>
    <row r="42" spans="1:2" s="270" customFormat="1" x14ac:dyDescent="0.25">
      <c r="A42" s="271"/>
      <c r="B42" s="271"/>
    </row>
    <row r="43" spans="1:2" s="270" customFormat="1" x14ac:dyDescent="0.25">
      <c r="A43" s="271"/>
      <c r="B43" s="271"/>
    </row>
    <row r="44" spans="1:2" s="270" customFormat="1" x14ac:dyDescent="0.25">
      <c r="A44" s="271"/>
      <c r="B44" s="271"/>
    </row>
    <row r="45" spans="1:2" s="270" customFormat="1" x14ac:dyDescent="0.25">
      <c r="A45" s="271"/>
      <c r="B45" s="271"/>
    </row>
    <row r="46" spans="1:2" s="270" customFormat="1" x14ac:dyDescent="0.25">
      <c r="A46" s="271"/>
      <c r="B46" s="271"/>
    </row>
    <row r="47" spans="1:2" s="270" customFormat="1" x14ac:dyDescent="0.25">
      <c r="A47" s="271"/>
      <c r="B47" s="271"/>
    </row>
    <row r="48" spans="1:2" s="270" customFormat="1" x14ac:dyDescent="0.25">
      <c r="A48" s="271"/>
      <c r="B48" s="271"/>
    </row>
    <row r="49" spans="1:2" s="270" customFormat="1" x14ac:dyDescent="0.25">
      <c r="A49" s="271"/>
      <c r="B49" s="271"/>
    </row>
    <row r="50" spans="1:2" s="270" customFormat="1" x14ac:dyDescent="0.25">
      <c r="A50" s="271"/>
      <c r="B50" s="271"/>
    </row>
  </sheetData>
  <conditionalFormatting sqref="C15:C19 D14:P18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N33" sqref="N33"/>
    </sheetView>
  </sheetViews>
  <sheetFormatPr defaultRowHeight="15" x14ac:dyDescent="0.2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2" x14ac:dyDescent="0.25">
      <c r="A1" s="152" t="s">
        <v>165</v>
      </c>
      <c r="B1" s="241"/>
      <c r="C1" s="241"/>
      <c r="D1" s="241"/>
      <c r="E1" s="241"/>
      <c r="F1" s="1"/>
    </row>
    <row r="2" spans="1:12" x14ac:dyDescent="0.25">
      <c r="A2" s="152"/>
      <c r="G2" s="228">
        <v>43525</v>
      </c>
      <c r="H2" s="229"/>
      <c r="I2" s="229"/>
      <c r="J2" s="229"/>
      <c r="K2" s="229"/>
    </row>
    <row r="3" spans="1:12" x14ac:dyDescent="0.25">
      <c r="A3" s="226" t="s">
        <v>166</v>
      </c>
      <c r="B3" s="226" t="s">
        <v>143</v>
      </c>
      <c r="C3" s="226"/>
      <c r="D3" s="226"/>
      <c r="G3" s="230" t="s">
        <v>213</v>
      </c>
      <c r="H3" s="230" t="s">
        <v>214</v>
      </c>
      <c r="I3" s="230" t="s">
        <v>215</v>
      </c>
      <c r="J3" s="231" t="s">
        <v>216</v>
      </c>
      <c r="K3" s="231" t="s">
        <v>217</v>
      </c>
    </row>
    <row r="4" spans="1:12" x14ac:dyDescent="0.25">
      <c r="A4" s="226" t="s">
        <v>147</v>
      </c>
      <c r="B4" s="226" t="s">
        <v>167</v>
      </c>
      <c r="C4" s="226" t="s">
        <v>168</v>
      </c>
      <c r="D4" s="226" t="s">
        <v>169</v>
      </c>
      <c r="E4" s="202"/>
      <c r="H4" t="s">
        <v>218</v>
      </c>
      <c r="I4" t="s">
        <v>219</v>
      </c>
      <c r="J4" s="230" t="s">
        <v>220</v>
      </c>
      <c r="K4" s="230" t="s">
        <v>221</v>
      </c>
    </row>
    <row r="5" spans="1:12" x14ac:dyDescent="0.25">
      <c r="A5" s="163" t="s">
        <v>137</v>
      </c>
      <c r="B5" s="186">
        <v>0</v>
      </c>
      <c r="C5" s="203">
        <v>-2250885.27</v>
      </c>
      <c r="D5" s="203">
        <v>-912850.85</v>
      </c>
      <c r="E5" s="203"/>
      <c r="G5" t="s">
        <v>222</v>
      </c>
      <c r="H5" t="s">
        <v>223</v>
      </c>
      <c r="I5" t="s">
        <v>224</v>
      </c>
      <c r="J5" s="230" t="s">
        <v>225</v>
      </c>
      <c r="K5" s="230" t="s">
        <v>225</v>
      </c>
    </row>
    <row r="6" spans="1:12" x14ac:dyDescent="0.25">
      <c r="A6" s="163" t="s">
        <v>138</v>
      </c>
      <c r="B6" s="186">
        <v>0</v>
      </c>
      <c r="C6" s="203">
        <v>-74602.710000000006</v>
      </c>
      <c r="D6" s="203">
        <v>-17993.23</v>
      </c>
      <c r="E6" s="413"/>
      <c r="F6" s="407" t="s">
        <v>137</v>
      </c>
      <c r="G6" s="408">
        <f>+D5</f>
        <v>-912850.85</v>
      </c>
      <c r="H6" s="409">
        <f>+E44</f>
        <v>8.3400000000000002E-2</v>
      </c>
      <c r="I6" s="408">
        <f>+G6*H6/12</f>
        <v>-6344.3134075000007</v>
      </c>
      <c r="J6" s="410">
        <f>+C27</f>
        <v>-17403</v>
      </c>
      <c r="K6" s="411">
        <f>+I6/J6</f>
        <v>0.36455285913348279</v>
      </c>
      <c r="L6" s="412">
        <f>G6/J6</f>
        <v>52.453648796184567</v>
      </c>
    </row>
    <row r="7" spans="1:12" x14ac:dyDescent="0.25">
      <c r="A7" s="163" t="s">
        <v>139</v>
      </c>
      <c r="B7" s="186">
        <v>0</v>
      </c>
      <c r="C7" s="203">
        <v>-478562.17</v>
      </c>
      <c r="D7" s="203">
        <v>-283483.34999999998</v>
      </c>
      <c r="E7" s="203"/>
      <c r="F7" s="232" t="s">
        <v>138</v>
      </c>
      <c r="G7" s="233">
        <f>+D6</f>
        <v>-17993.23</v>
      </c>
      <c r="H7" s="234">
        <f>+E45</f>
        <v>4.07E-2</v>
      </c>
      <c r="I7" s="233">
        <f>+G7*H7/12</f>
        <v>-61.027038416666663</v>
      </c>
      <c r="J7" s="205">
        <f>+H27</f>
        <v>-380</v>
      </c>
      <c r="K7" s="235">
        <f>+I7/J7</f>
        <v>0.16059746951754386</v>
      </c>
    </row>
    <row r="8" spans="1:12" x14ac:dyDescent="0.25">
      <c r="A8" s="163" t="s">
        <v>140</v>
      </c>
      <c r="B8" s="186">
        <v>0</v>
      </c>
      <c r="C8" s="203">
        <v>-34106.74</v>
      </c>
      <c r="D8" s="203">
        <v>-11758.65</v>
      </c>
      <c r="E8" s="406"/>
      <c r="F8" s="407" t="s">
        <v>139</v>
      </c>
      <c r="G8" s="408">
        <f>+D7</f>
        <v>-283483.34999999998</v>
      </c>
      <c r="H8" s="409">
        <f>+E46</f>
        <v>6.9999999999999993E-2</v>
      </c>
      <c r="I8" s="408">
        <f>+G8*H8/12</f>
        <v>-1653.6528749999998</v>
      </c>
      <c r="J8" s="410">
        <f>+H36</f>
        <v>-3755</v>
      </c>
      <c r="K8" s="411">
        <f>+I8/J8</f>
        <v>0.44038691744340874</v>
      </c>
      <c r="L8" s="412">
        <f>G8/J8</f>
        <v>75.494900133155781</v>
      </c>
    </row>
    <row r="9" spans="1:12" x14ac:dyDescent="0.25">
      <c r="A9" s="163" t="s">
        <v>141</v>
      </c>
      <c r="B9" s="186">
        <v>0</v>
      </c>
      <c r="C9" s="203">
        <v>0</v>
      </c>
      <c r="D9" s="203">
        <v>0</v>
      </c>
      <c r="E9" s="203"/>
      <c r="F9" s="232" t="s">
        <v>140</v>
      </c>
      <c r="G9" s="233">
        <f>+D8</f>
        <v>-11758.65</v>
      </c>
      <c r="H9" s="233"/>
      <c r="I9" s="233"/>
      <c r="J9" s="205"/>
      <c r="K9" s="235"/>
    </row>
    <row r="10" spans="1:12" ht="15.75" thickBot="1" x14ac:dyDescent="0.3">
      <c r="A10" s="242" t="s">
        <v>146</v>
      </c>
      <c r="B10" s="242">
        <v>0</v>
      </c>
      <c r="C10" s="242">
        <v>-2838156.89</v>
      </c>
      <c r="D10" s="242">
        <v>-1226086.0799999998</v>
      </c>
      <c r="E10" s="243"/>
      <c r="F10" s="163"/>
      <c r="G10" s="244">
        <f>SUM(G6:G9)</f>
        <v>-1226086.0799999998</v>
      </c>
      <c r="H10" s="245"/>
      <c r="I10" s="244">
        <f>SUM(I6:I9)</f>
        <v>-8058.9933209166675</v>
      </c>
      <c r="J10" s="246">
        <f>SUM(J6:J9)</f>
        <v>-21538</v>
      </c>
    </row>
    <row r="11" spans="1:12" ht="15.75" thickTop="1" x14ac:dyDescent="0.25">
      <c r="C11" s="204"/>
      <c r="E11" s="247"/>
    </row>
    <row r="12" spans="1:12" x14ac:dyDescent="0.25">
      <c r="A12" s="192" t="s">
        <v>170</v>
      </c>
      <c r="B12" s="192"/>
      <c r="C12" s="192"/>
      <c r="D12" s="192"/>
      <c r="E12" s="248" t="s">
        <v>228</v>
      </c>
      <c r="F12" s="248" t="s">
        <v>228</v>
      </c>
      <c r="G12" s="248" t="s">
        <v>228</v>
      </c>
      <c r="H12" s="249" t="s">
        <v>370</v>
      </c>
    </row>
    <row r="13" spans="1:12" x14ac:dyDescent="0.25">
      <c r="A13" s="192" t="s">
        <v>147</v>
      </c>
      <c r="B13" s="192"/>
      <c r="C13" s="192"/>
      <c r="D13" s="192" t="s">
        <v>169</v>
      </c>
      <c r="E13" s="248" t="s">
        <v>229</v>
      </c>
      <c r="F13" s="248" t="s">
        <v>152</v>
      </c>
      <c r="G13" s="248" t="s">
        <v>230</v>
      </c>
      <c r="H13" s="250" t="s">
        <v>231</v>
      </c>
    </row>
    <row r="14" spans="1:12" x14ac:dyDescent="0.25">
      <c r="A14" t="s">
        <v>137</v>
      </c>
      <c r="C14" s="205"/>
      <c r="D14" s="205">
        <f>D5*$E44/12/2</f>
        <v>-3172.1567037500004</v>
      </c>
      <c r="E14" s="251">
        <f>+'[1]AMR Retirements'!E14</f>
        <v>-349.9707447681435</v>
      </c>
      <c r="F14" s="251">
        <f>+'[1]AMR Retirements'!F14</f>
        <v>0</v>
      </c>
      <c r="G14" s="251">
        <f>+'[1]AMR Retirements'!G14</f>
        <v>-18635.942158903639</v>
      </c>
      <c r="H14" s="205">
        <f>SUM(D14:G14)</f>
        <v>-22158.069607421785</v>
      </c>
    </row>
    <row r="15" spans="1:12" x14ac:dyDescent="0.25">
      <c r="A15" t="s">
        <v>138</v>
      </c>
      <c r="C15" s="205"/>
      <c r="D15" s="205"/>
      <c r="E15" s="251"/>
    </row>
    <row r="16" spans="1:12" x14ac:dyDescent="0.25">
      <c r="A16" t="s">
        <v>139</v>
      </c>
      <c r="C16" s="205"/>
      <c r="D16" s="205">
        <f>D7*$E46/12/2</f>
        <v>-826.82643749999988</v>
      </c>
      <c r="E16" s="251">
        <f>+'AMI Forecasted Additions'!F11</f>
        <v>0</v>
      </c>
      <c r="F16" s="251">
        <f>+'AMI Forecasted Additions'!G11</f>
        <v>0</v>
      </c>
      <c r="G16" s="251">
        <f>+'AMI Forecasted Additions'!H11</f>
        <v>-14437.644701464713</v>
      </c>
      <c r="H16" s="251">
        <f>SUM(B16:G16)</f>
        <v>-15264.471138964713</v>
      </c>
    </row>
    <row r="17" spans="1:9" x14ac:dyDescent="0.25">
      <c r="A17" t="s">
        <v>140</v>
      </c>
      <c r="C17" s="205"/>
      <c r="D17" s="205"/>
      <c r="E17" s="251"/>
    </row>
    <row r="18" spans="1:9" x14ac:dyDescent="0.25">
      <c r="A18" t="s">
        <v>141</v>
      </c>
      <c r="C18" s="205"/>
      <c r="D18" s="205">
        <v>0</v>
      </c>
      <c r="E18" s="251"/>
    </row>
    <row r="19" spans="1:9" x14ac:dyDescent="0.25">
      <c r="A19" s="192" t="s">
        <v>146</v>
      </c>
      <c r="B19" s="192"/>
      <c r="C19" s="207"/>
      <c r="D19" s="207">
        <v>-8081.0407896666675</v>
      </c>
      <c r="E19" s="251"/>
    </row>
    <row r="20" spans="1:9" x14ac:dyDescent="0.25">
      <c r="E20" s="1"/>
    </row>
    <row r="21" spans="1:9" x14ac:dyDescent="0.25">
      <c r="A21" s="152" t="s">
        <v>171</v>
      </c>
      <c r="E21" s="1"/>
      <c r="F21" s="152" t="s">
        <v>172</v>
      </c>
    </row>
    <row r="22" spans="1:9" x14ac:dyDescent="0.25">
      <c r="A22" s="152"/>
    </row>
    <row r="23" spans="1:9" x14ac:dyDescent="0.25">
      <c r="A23" s="242" t="s">
        <v>173</v>
      </c>
      <c r="B23" s="242" t="s">
        <v>174</v>
      </c>
      <c r="C23" s="242"/>
      <c r="D23" s="242"/>
      <c r="F23" s="242" t="s">
        <v>173</v>
      </c>
      <c r="G23" s="242" t="s">
        <v>175</v>
      </c>
      <c r="H23" s="242"/>
      <c r="I23" s="242"/>
    </row>
    <row r="25" spans="1:9" x14ac:dyDescent="0.25">
      <c r="A25" s="242" t="s">
        <v>176</v>
      </c>
      <c r="B25" s="242" t="s">
        <v>143</v>
      </c>
      <c r="C25" s="242"/>
      <c r="D25" s="242"/>
      <c r="F25" s="242" t="s">
        <v>176</v>
      </c>
      <c r="G25" s="242" t="s">
        <v>143</v>
      </c>
      <c r="H25" s="242"/>
      <c r="I25" s="242"/>
    </row>
    <row r="26" spans="1:9" x14ac:dyDescent="0.25">
      <c r="A26" s="242" t="s">
        <v>147</v>
      </c>
      <c r="B26" s="242" t="s">
        <v>168</v>
      </c>
      <c r="C26" s="242" t="s">
        <v>169</v>
      </c>
      <c r="D26" s="242" t="s">
        <v>146</v>
      </c>
      <c r="F26" s="242" t="s">
        <v>147</v>
      </c>
      <c r="G26" s="242" t="s">
        <v>168</v>
      </c>
      <c r="H26" s="242" t="s">
        <v>169</v>
      </c>
      <c r="I26" s="242" t="s">
        <v>146</v>
      </c>
    </row>
    <row r="27" spans="1:9" x14ac:dyDescent="0.25">
      <c r="A27" s="163" t="s">
        <v>177</v>
      </c>
      <c r="B27" s="186">
        <v>-42805</v>
      </c>
      <c r="C27" s="186">
        <v>-17403</v>
      </c>
      <c r="D27" s="186">
        <v>-60208</v>
      </c>
      <c r="F27" s="163" t="s">
        <v>138</v>
      </c>
      <c r="G27" s="186">
        <v>-848</v>
      </c>
      <c r="H27" s="186">
        <v>-380</v>
      </c>
      <c r="I27" s="186">
        <v>-1228</v>
      </c>
    </row>
    <row r="28" spans="1:9" x14ac:dyDescent="0.25">
      <c r="A28" s="242" t="s">
        <v>146</v>
      </c>
      <c r="B28" s="242">
        <v>-42805</v>
      </c>
      <c r="C28" s="242">
        <v>-17403</v>
      </c>
      <c r="D28" s="242">
        <v>-60208</v>
      </c>
      <c r="F28" s="242" t="s">
        <v>146</v>
      </c>
      <c r="G28" s="242">
        <v>-848</v>
      </c>
      <c r="H28" s="242">
        <v>-380</v>
      </c>
      <c r="I28" s="242">
        <v>-1228</v>
      </c>
    </row>
    <row r="30" spans="1:9" x14ac:dyDescent="0.25">
      <c r="F30" s="152" t="s">
        <v>178</v>
      </c>
    </row>
    <row r="32" spans="1:9" x14ac:dyDescent="0.25">
      <c r="F32" s="242" t="s">
        <v>173</v>
      </c>
      <c r="G32" s="242" t="s">
        <v>179</v>
      </c>
      <c r="H32" s="242"/>
      <c r="I32" s="242"/>
    </row>
    <row r="34" spans="1:9" x14ac:dyDescent="0.25">
      <c r="F34" s="242" t="s">
        <v>176</v>
      </c>
      <c r="G34" s="242" t="s">
        <v>143</v>
      </c>
      <c r="H34" s="242"/>
      <c r="I34" s="242"/>
    </row>
    <row r="35" spans="1:9" x14ac:dyDescent="0.25">
      <c r="F35" s="242" t="s">
        <v>147</v>
      </c>
      <c r="G35" s="242" t="s">
        <v>168</v>
      </c>
      <c r="H35" s="242" t="s">
        <v>169</v>
      </c>
      <c r="I35" s="242" t="s">
        <v>146</v>
      </c>
    </row>
    <row r="36" spans="1:9" x14ac:dyDescent="0.25">
      <c r="F36" s="163" t="s">
        <v>180</v>
      </c>
      <c r="G36" s="186">
        <v>-6339</v>
      </c>
      <c r="H36" s="186">
        <v>-3755</v>
      </c>
      <c r="I36" s="186">
        <v>-10094</v>
      </c>
    </row>
    <row r="37" spans="1:9" x14ac:dyDescent="0.25">
      <c r="F37" s="242" t="s">
        <v>146</v>
      </c>
      <c r="G37" s="242">
        <v>-6339</v>
      </c>
      <c r="H37" s="242">
        <v>-3755</v>
      </c>
      <c r="I37" s="242">
        <v>-10094</v>
      </c>
    </row>
    <row r="40" spans="1:9" x14ac:dyDescent="0.25">
      <c r="A40" t="s">
        <v>181</v>
      </c>
    </row>
    <row r="43" spans="1:9" x14ac:dyDescent="0.25">
      <c r="A43" s="208" t="s">
        <v>182</v>
      </c>
      <c r="B43" s="209" t="s">
        <v>183</v>
      </c>
      <c r="C43" s="209" t="s">
        <v>184</v>
      </c>
      <c r="D43" s="209" t="s">
        <v>185</v>
      </c>
      <c r="E43" s="209" t="s">
        <v>186</v>
      </c>
    </row>
    <row r="44" spans="1:9" x14ac:dyDescent="0.25">
      <c r="A44" s="210" t="s">
        <v>137</v>
      </c>
      <c r="B44" s="211">
        <v>43525</v>
      </c>
      <c r="C44" s="212">
        <v>7.5800000000000006E-2</v>
      </c>
      <c r="D44" s="212">
        <v>7.6E-3</v>
      </c>
      <c r="E44" s="212">
        <v>8.3400000000000002E-2</v>
      </c>
    </row>
    <row r="45" spans="1:9" x14ac:dyDescent="0.25">
      <c r="A45" s="210" t="s">
        <v>138</v>
      </c>
      <c r="B45" s="211">
        <v>43525</v>
      </c>
      <c r="C45" s="212">
        <v>3.2599999999999997E-2</v>
      </c>
      <c r="D45" s="212">
        <v>8.0999999999999996E-3</v>
      </c>
      <c r="E45" s="212">
        <v>4.07E-2</v>
      </c>
    </row>
    <row r="46" spans="1:9" x14ac:dyDescent="0.25">
      <c r="A46" s="210" t="s">
        <v>139</v>
      </c>
      <c r="B46" s="211">
        <v>43525</v>
      </c>
      <c r="C46" s="212">
        <v>6.6699999999999995E-2</v>
      </c>
      <c r="D46" s="212">
        <v>3.3E-3</v>
      </c>
      <c r="E46" s="212">
        <v>6.9999999999999993E-2</v>
      </c>
    </row>
    <row r="47" spans="1:9" x14ac:dyDescent="0.25">
      <c r="A47" s="210" t="s">
        <v>140</v>
      </c>
      <c r="B47" s="211">
        <v>43525</v>
      </c>
      <c r="C47" s="212">
        <v>2.0500000000000001E-2</v>
      </c>
      <c r="D47" s="212">
        <v>2E-3</v>
      </c>
      <c r="E47" s="212">
        <v>2.2499999999999999E-2</v>
      </c>
    </row>
    <row r="48" spans="1:9" x14ac:dyDescent="0.25">
      <c r="A48" s="210" t="s">
        <v>141</v>
      </c>
      <c r="B48" s="211">
        <v>43525</v>
      </c>
      <c r="C48" s="212">
        <v>2.0500000000000001E-2</v>
      </c>
      <c r="D48" s="212">
        <v>2E-3</v>
      </c>
      <c r="E48" s="212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J43" sqref="J43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78" t="s">
        <v>85</v>
      </c>
      <c r="B3" s="178" t="s">
        <v>104</v>
      </c>
      <c r="C3" s="178" t="s">
        <v>105</v>
      </c>
      <c r="D3" s="178" t="s">
        <v>106</v>
      </c>
      <c r="E3" s="178" t="s">
        <v>107</v>
      </c>
      <c r="G3" s="179"/>
    </row>
    <row r="4" spans="1:7" x14ac:dyDescent="0.25">
      <c r="A4" s="180">
        <v>364</v>
      </c>
      <c r="B4" s="180" t="s">
        <v>108</v>
      </c>
      <c r="C4" t="s">
        <v>109</v>
      </c>
      <c r="D4" s="153">
        <v>3.1099999999999999E-2</v>
      </c>
      <c r="E4" t="s">
        <v>110</v>
      </c>
    </row>
    <row r="5" spans="1:7" x14ac:dyDescent="0.25">
      <c r="A5" s="180">
        <v>365</v>
      </c>
      <c r="B5" s="180" t="s">
        <v>111</v>
      </c>
      <c r="C5" t="s">
        <v>109</v>
      </c>
      <c r="D5" s="153">
        <v>2.8299999999999999E-2</v>
      </c>
      <c r="E5" t="s">
        <v>110</v>
      </c>
    </row>
    <row r="6" spans="1:7" x14ac:dyDescent="0.25">
      <c r="A6" s="180">
        <v>366</v>
      </c>
      <c r="B6" s="180" t="s">
        <v>112</v>
      </c>
      <c r="C6" t="s">
        <v>109</v>
      </c>
      <c r="D6" s="153">
        <v>1.77E-2</v>
      </c>
      <c r="E6" t="s">
        <v>110</v>
      </c>
    </row>
    <row r="7" spans="1:7" x14ac:dyDescent="0.25">
      <c r="A7" s="180">
        <v>367</v>
      </c>
      <c r="B7" s="180" t="s">
        <v>113</v>
      </c>
      <c r="C7" t="s">
        <v>109</v>
      </c>
      <c r="D7" s="153">
        <v>3.9300000000000002E-2</v>
      </c>
      <c r="E7" t="s">
        <v>110</v>
      </c>
    </row>
    <row r="8" spans="1:7" x14ac:dyDescent="0.25">
      <c r="A8" s="180">
        <v>368</v>
      </c>
      <c r="B8" t="s">
        <v>114</v>
      </c>
      <c r="C8" t="s">
        <v>109</v>
      </c>
      <c r="D8" s="153">
        <v>3.2599999999999997E-2</v>
      </c>
      <c r="E8" t="s">
        <v>110</v>
      </c>
    </row>
    <row r="9" spans="1:7" x14ac:dyDescent="0.25">
      <c r="A9" s="183">
        <v>370.1</v>
      </c>
      <c r="B9" s="183" t="s">
        <v>115</v>
      </c>
      <c r="C9" s="184" t="s">
        <v>109</v>
      </c>
      <c r="D9" s="185">
        <v>5.5E-2</v>
      </c>
      <c r="E9" s="184" t="s">
        <v>116</v>
      </c>
    </row>
    <row r="10" spans="1:7" x14ac:dyDescent="0.25">
      <c r="A10" s="180">
        <v>373</v>
      </c>
      <c r="B10" s="180" t="s">
        <v>117</v>
      </c>
      <c r="C10" t="s">
        <v>109</v>
      </c>
      <c r="D10" s="153">
        <v>3.3399999999999999E-2</v>
      </c>
      <c r="E10" t="s">
        <v>110</v>
      </c>
    </row>
    <row r="11" spans="1:7" x14ac:dyDescent="0.25">
      <c r="A11" s="180">
        <v>375</v>
      </c>
      <c r="B11" s="180" t="s">
        <v>118</v>
      </c>
      <c r="C11" t="s">
        <v>119</v>
      </c>
      <c r="D11" s="153">
        <v>2.53E-2</v>
      </c>
      <c r="E11" t="s">
        <v>110</v>
      </c>
    </row>
    <row r="12" spans="1:7" x14ac:dyDescent="0.25">
      <c r="A12" s="180">
        <v>381</v>
      </c>
      <c r="B12" s="180" t="s">
        <v>120</v>
      </c>
      <c r="C12" t="s">
        <v>119</v>
      </c>
      <c r="D12" s="153">
        <v>4.07E-2</v>
      </c>
      <c r="E12" t="s">
        <v>110</v>
      </c>
    </row>
    <row r="13" spans="1:7" x14ac:dyDescent="0.25">
      <c r="A13" s="183">
        <v>381.2</v>
      </c>
      <c r="B13" s="215" t="s">
        <v>121</v>
      </c>
      <c r="C13" s="184" t="s">
        <v>119</v>
      </c>
      <c r="D13" s="185">
        <v>5.2499999999999998E-2</v>
      </c>
      <c r="E13" s="184" t="s">
        <v>116</v>
      </c>
    </row>
    <row r="14" spans="1:7" x14ac:dyDescent="0.25">
      <c r="A14" s="180">
        <v>382.2</v>
      </c>
      <c r="B14" s="163" t="s">
        <v>122</v>
      </c>
      <c r="C14" t="s">
        <v>119</v>
      </c>
      <c r="D14" s="153">
        <v>2.2499999999999999E-2</v>
      </c>
      <c r="E14" t="s">
        <v>116</v>
      </c>
    </row>
    <row r="15" spans="1:7" x14ac:dyDescent="0.25">
      <c r="A15" s="180">
        <v>391.1</v>
      </c>
      <c r="B15" s="180" t="s">
        <v>123</v>
      </c>
      <c r="C15" t="s">
        <v>119</v>
      </c>
      <c r="D15" s="153">
        <v>0.05</v>
      </c>
      <c r="E15" t="s">
        <v>124</v>
      </c>
    </row>
    <row r="16" spans="1:7" x14ac:dyDescent="0.25">
      <c r="A16" s="180">
        <v>391.2</v>
      </c>
      <c r="B16" s="180" t="s">
        <v>125</v>
      </c>
      <c r="C16" t="s">
        <v>119</v>
      </c>
      <c r="D16" s="153">
        <v>0.2</v>
      </c>
      <c r="E16" t="s">
        <v>124</v>
      </c>
    </row>
    <row r="17" spans="1:7" x14ac:dyDescent="0.25">
      <c r="A17" s="180">
        <v>397</v>
      </c>
      <c r="B17" s="180" t="s">
        <v>126</v>
      </c>
      <c r="C17" t="s">
        <v>119</v>
      </c>
      <c r="D17" s="153">
        <v>6.6699999999999995E-2</v>
      </c>
      <c r="E17" t="s">
        <v>124</v>
      </c>
    </row>
    <row r="18" spans="1:7" x14ac:dyDescent="0.25">
      <c r="A18" s="180">
        <v>303</v>
      </c>
      <c r="B18" s="180" t="s">
        <v>127</v>
      </c>
      <c r="C18" t="s">
        <v>128</v>
      </c>
      <c r="D18" s="153">
        <v>0.2</v>
      </c>
      <c r="E18" t="s">
        <v>129</v>
      </c>
    </row>
    <row r="19" spans="1:7" x14ac:dyDescent="0.25">
      <c r="A19" s="180">
        <v>391.2</v>
      </c>
      <c r="B19" s="180" t="s">
        <v>130</v>
      </c>
      <c r="C19" t="s">
        <v>128</v>
      </c>
      <c r="D19" s="153">
        <v>0.2</v>
      </c>
      <c r="E19" t="s">
        <v>124</v>
      </c>
    </row>
    <row r="20" spans="1:7" x14ac:dyDescent="0.25">
      <c r="A20" s="180">
        <v>397</v>
      </c>
      <c r="B20" s="180" t="s">
        <v>131</v>
      </c>
      <c r="C20" t="s">
        <v>128</v>
      </c>
      <c r="D20" s="153">
        <v>6.6699999999999995E-2</v>
      </c>
      <c r="E20" t="s">
        <v>124</v>
      </c>
    </row>
    <row r="21" spans="1:7" x14ac:dyDescent="0.25">
      <c r="A21" s="180">
        <v>397.4</v>
      </c>
      <c r="B21" s="163" t="s">
        <v>132</v>
      </c>
      <c r="C21" t="s">
        <v>128</v>
      </c>
      <c r="D21" s="153"/>
      <c r="E21" t="s">
        <v>124</v>
      </c>
    </row>
    <row r="22" spans="1:7" x14ac:dyDescent="0.25">
      <c r="A22" s="181"/>
      <c r="B22" s="181"/>
      <c r="D22" s="153"/>
    </row>
    <row r="23" spans="1:7" x14ac:dyDescent="0.25">
      <c r="A23" s="178" t="s">
        <v>85</v>
      </c>
      <c r="B23" s="178"/>
      <c r="C23" s="178" t="s">
        <v>105</v>
      </c>
      <c r="D23" s="178" t="s">
        <v>133</v>
      </c>
      <c r="E23" s="178" t="s">
        <v>134</v>
      </c>
    </row>
    <row r="24" spans="1:7" x14ac:dyDescent="0.25">
      <c r="A24" s="180">
        <v>303</v>
      </c>
      <c r="B24" s="180" t="s">
        <v>127</v>
      </c>
      <c r="C24" t="s">
        <v>128</v>
      </c>
      <c r="D24" s="163">
        <v>143002516</v>
      </c>
      <c r="E24" s="163">
        <v>36029567</v>
      </c>
      <c r="G24" t="s">
        <v>135</v>
      </c>
    </row>
    <row r="25" spans="1:7" x14ac:dyDescent="0.25">
      <c r="A25" s="180">
        <v>303</v>
      </c>
      <c r="B25" s="180" t="s">
        <v>127</v>
      </c>
      <c r="C25" t="s">
        <v>128</v>
      </c>
      <c r="D25" s="163">
        <v>143002450</v>
      </c>
      <c r="E25" s="163">
        <v>33532261</v>
      </c>
      <c r="G25" t="s">
        <v>135</v>
      </c>
    </row>
    <row r="26" spans="1:7" x14ac:dyDescent="0.25">
      <c r="A26" s="180">
        <v>303</v>
      </c>
      <c r="B26" s="180" t="s">
        <v>127</v>
      </c>
      <c r="C26" t="s">
        <v>128</v>
      </c>
      <c r="D26" s="163">
        <v>143003176</v>
      </c>
      <c r="E26" s="163">
        <v>33558963</v>
      </c>
      <c r="G26" t="s">
        <v>135</v>
      </c>
    </row>
    <row r="27" spans="1:7" x14ac:dyDescent="0.25">
      <c r="A27" s="180">
        <v>303</v>
      </c>
      <c r="B27" s="180" t="s">
        <v>127</v>
      </c>
      <c r="C27" t="s">
        <v>128</v>
      </c>
      <c r="D27" s="163">
        <v>143003226</v>
      </c>
      <c r="E27" s="163">
        <v>36029570</v>
      </c>
      <c r="G27" t="s">
        <v>135</v>
      </c>
    </row>
    <row r="28" spans="1:7" x14ac:dyDescent="0.25">
      <c r="A28" s="180">
        <v>303</v>
      </c>
      <c r="B28" s="180" t="s">
        <v>127</v>
      </c>
      <c r="C28" t="s">
        <v>128</v>
      </c>
      <c r="D28" s="163">
        <v>143002517</v>
      </c>
      <c r="E28" s="163">
        <v>33561446</v>
      </c>
      <c r="G28" t="s">
        <v>135</v>
      </c>
    </row>
    <row r="29" spans="1:7" x14ac:dyDescent="0.25">
      <c r="A29" s="180">
        <v>303</v>
      </c>
      <c r="B29" s="180" t="s">
        <v>127</v>
      </c>
      <c r="C29" t="s">
        <v>128</v>
      </c>
      <c r="D29" s="163">
        <v>143003881</v>
      </c>
      <c r="E29" s="163" t="s">
        <v>136</v>
      </c>
      <c r="G29" t="s">
        <v>135</v>
      </c>
    </row>
    <row r="30" spans="1:7" x14ac:dyDescent="0.25">
      <c r="A30" s="180">
        <v>303</v>
      </c>
      <c r="B30" s="180" t="s">
        <v>127</v>
      </c>
      <c r="C30" t="s">
        <v>128</v>
      </c>
      <c r="D30" s="163">
        <v>143003178</v>
      </c>
      <c r="E30" s="163">
        <v>33532270</v>
      </c>
      <c r="G30" t="s">
        <v>135</v>
      </c>
    </row>
    <row r="34" spans="1:5" x14ac:dyDescent="0.25">
      <c r="A34" s="180">
        <v>370</v>
      </c>
      <c r="B34" s="163" t="s">
        <v>137</v>
      </c>
      <c r="C34" t="s">
        <v>109</v>
      </c>
      <c r="D34" s="182">
        <v>8.3400000000000002E-2</v>
      </c>
    </row>
    <row r="35" spans="1:5" x14ac:dyDescent="0.25">
      <c r="A35" s="180">
        <v>381</v>
      </c>
      <c r="B35" s="163" t="s">
        <v>138</v>
      </c>
      <c r="C35" t="s">
        <v>119</v>
      </c>
      <c r="D35" s="182">
        <v>4.07E-2</v>
      </c>
      <c r="E35" t="str">
        <f>+E12</f>
        <v>20 Year MACRS</v>
      </c>
    </row>
    <row r="36" spans="1:5" x14ac:dyDescent="0.25">
      <c r="A36" s="180">
        <v>381.3</v>
      </c>
      <c r="B36" s="163" t="s">
        <v>139</v>
      </c>
      <c r="C36" t="s">
        <v>119</v>
      </c>
      <c r="D36" s="182">
        <v>6.9999999999999993E-2</v>
      </c>
    </row>
    <row r="37" spans="1:5" x14ac:dyDescent="0.25">
      <c r="A37" s="180">
        <v>382</v>
      </c>
      <c r="B37" s="163" t="s">
        <v>140</v>
      </c>
      <c r="C37" t="s">
        <v>119</v>
      </c>
      <c r="D37" s="182">
        <v>2.2499999999999999E-2</v>
      </c>
    </row>
    <row r="38" spans="1:5" x14ac:dyDescent="0.25">
      <c r="A38" s="180">
        <v>382.3</v>
      </c>
      <c r="B38" s="163" t="s">
        <v>141</v>
      </c>
      <c r="C38" t="s">
        <v>119</v>
      </c>
      <c r="D38" s="182">
        <v>2.2499999999999999E-2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54"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Normal="100" workbookViewId="0">
      <pane xSplit="2" ySplit="9" topLeftCell="F46" activePane="bottomRight" state="frozen"/>
      <selection activeCell="C20" sqref="C20"/>
      <selection pane="topRight" activeCell="C20" sqref="C20"/>
      <selection pane="bottomLeft" activeCell="C20" sqref="C20"/>
      <selection pane="bottomRight" activeCell="J55" sqref="J55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TRANSPOSE('Return Def''d Mar19-Apr20'!C21:P21)</f>
        <v>93174.913747162573</v>
      </c>
      <c r="D12" s="299">
        <f t="shared" si="0"/>
        <v>93174.913747162573</v>
      </c>
      <c r="E12" s="297">
        <f>($D$12+D12+SUM($D11:D$13)*2)/24</f>
        <v>30936.025217843824</v>
      </c>
      <c r="F12" s="310"/>
      <c r="G12" s="310"/>
      <c r="H12" s="310"/>
      <c r="I12" s="297">
        <f>($D$12+H12+SUM($D11:H$13)*2)/24</f>
        <v>32528.170380563239</v>
      </c>
      <c r="J12" s="297">
        <f t="shared" si="1"/>
        <v>-19566.731886904141</v>
      </c>
      <c r="K12" s="297">
        <f t="shared" si="2"/>
        <v>-19566.731886904141</v>
      </c>
      <c r="L12" s="297">
        <f>($D$12+K12+SUM($D11:K$13)*2)/24</f>
        <v>29032.803995601073</v>
      </c>
      <c r="M12" s="296">
        <f t="shared" ref="M12:M43" si="4">L12+I12</f>
        <v>61560.974376164311</v>
      </c>
      <c r="N12" s="295">
        <f t="shared" si="3"/>
        <v>73608.181860258424</v>
      </c>
    </row>
    <row r="13" spans="1:14" s="283" customFormat="1" outlineLevel="1" x14ac:dyDescent="0.25">
      <c r="A13" s="301">
        <v>43585</v>
      </c>
      <c r="B13" s="301"/>
      <c r="C13" s="299">
        <v>91707.561372638214</v>
      </c>
      <c r="D13" s="299">
        <f t="shared" si="0"/>
        <v>184882.47511980077</v>
      </c>
      <c r="E13" s="297">
        <f>($D$12+D13+SUM($D12:D$13)*2)/24</f>
        <v>34757.173608370416</v>
      </c>
      <c r="F13" s="310"/>
      <c r="G13" s="310"/>
      <c r="H13" s="310"/>
      <c r="I13" s="297">
        <f>($D$12+H13+SUM($D12:H$13)*2)/24</f>
        <v>32528.170380563239</v>
      </c>
      <c r="J13" s="297">
        <f t="shared" si="1"/>
        <v>-19258.587888254024</v>
      </c>
      <c r="K13" s="297">
        <f t="shared" si="2"/>
        <v>-38825.319775158161</v>
      </c>
      <c r="L13" s="297">
        <f>($D$12+K13+SUM($D12:K$13)*2)/24</f>
        <v>28230.362833590483</v>
      </c>
      <c r="M13" s="296">
        <f t="shared" si="4"/>
        <v>60758.533214153722</v>
      </c>
      <c r="N13" s="295">
        <f t="shared" si="3"/>
        <v>146057.15534464261</v>
      </c>
    </row>
    <row r="14" spans="1:14" s="283" customFormat="1" outlineLevel="1" x14ac:dyDescent="0.25">
      <c r="A14" s="301">
        <v>43616</v>
      </c>
      <c r="B14" s="301"/>
      <c r="C14" s="299">
        <v>90240.208998113856</v>
      </c>
      <c r="D14" s="299">
        <f t="shared" si="0"/>
        <v>275122.68411791464</v>
      </c>
      <c r="E14" s="297">
        <f>($D$12+D14+SUM($D$13:D13)*2)/24</f>
        <v>30752.606171028281</v>
      </c>
      <c r="F14" s="299"/>
      <c r="G14" s="297"/>
      <c r="H14" s="310"/>
      <c r="I14" s="297">
        <f>($D$12+H14+SUM($D$13:H13)*2)/24</f>
        <v>22185.592133479371</v>
      </c>
      <c r="J14" s="297">
        <f t="shared" si="1"/>
        <v>-18950.44388960391</v>
      </c>
      <c r="K14" s="297">
        <f t="shared" si="2"/>
        <v>-57775.763664762067</v>
      </c>
      <c r="L14" s="297">
        <f>($D$12+K14+SUM($D$13:K13)*2)/24</f>
        <v>17648.623873876873</v>
      </c>
      <c r="M14" s="296">
        <f t="shared" si="4"/>
        <v>39834.216007356241</v>
      </c>
      <c r="N14" s="295">
        <f t="shared" si="3"/>
        <v>217346.92045315256</v>
      </c>
    </row>
    <row r="15" spans="1:14" s="283" customFormat="1" outlineLevel="1" x14ac:dyDescent="0.25">
      <c r="A15" s="301">
        <v>43646</v>
      </c>
      <c r="B15" s="311"/>
      <c r="C15" s="299">
        <v>88772.856623589483</v>
      </c>
      <c r="D15" s="299">
        <f t="shared" si="0"/>
        <v>363895.54074150411</v>
      </c>
      <c r="E15" s="297">
        <f>($D$12+D15+SUM($D$13:D14)*2)/24</f>
        <v>57378.365540170729</v>
      </c>
      <c r="F15" s="299"/>
      <c r="G15" s="297"/>
      <c r="H15" s="310"/>
      <c r="I15" s="297">
        <f>($D$12+H15+SUM($D$13:H14)*2)/24</f>
        <v>47675.199657557947</v>
      </c>
      <c r="J15" s="297">
        <f t="shared" si="1"/>
        <v>-18642.299890953789</v>
      </c>
      <c r="K15" s="297">
        <f t="shared" si="2"/>
        <v>-76418.063555715853</v>
      </c>
      <c r="L15" s="297">
        <f>($D$12+K15+SUM($D$13:K14)*2)/24</f>
        <v>37816.417617425155</v>
      </c>
      <c r="M15" s="296">
        <f t="shared" si="4"/>
        <v>85491.617274983102</v>
      </c>
      <c r="N15" s="295">
        <f t="shared" si="3"/>
        <v>287477.47718578827</v>
      </c>
    </row>
    <row r="16" spans="1:14" s="283" customFormat="1" outlineLevel="1" x14ac:dyDescent="0.25">
      <c r="A16" s="301">
        <v>43677</v>
      </c>
      <c r="B16" s="301"/>
      <c r="C16" s="299">
        <v>87305.50424906511</v>
      </c>
      <c r="D16" s="299">
        <f t="shared" si="0"/>
        <v>451201.04499056924</v>
      </c>
      <c r="E16" s="297">
        <f>($D$12+D16+SUM($D$13:D15)*2)/24</f>
        <v>91340.723279007128</v>
      </c>
      <c r="F16" s="299"/>
      <c r="G16" s="297"/>
      <c r="H16" s="297"/>
      <c r="I16" s="297">
        <f>($D$12+H16+SUM($D$13:H15)*2)/24</f>
        <v>82781.358514364183</v>
      </c>
      <c r="J16" s="297">
        <f t="shared" si="1"/>
        <v>-18334.155892303672</v>
      </c>
      <c r="K16" s="297">
        <f t="shared" si="2"/>
        <v>-94752.219448019518</v>
      </c>
      <c r="L16" s="297">
        <f>($D$12+K16+SUM($D$13:K15)*2)/24</f>
        <v>68209.889662959438</v>
      </c>
      <c r="M16" s="296">
        <f t="shared" si="4"/>
        <v>150991.24817732361</v>
      </c>
      <c r="N16" s="295">
        <f t="shared" si="3"/>
        <v>356448.82554254972</v>
      </c>
    </row>
    <row r="17" spans="1:14" s="283" customFormat="1" outlineLevel="1" x14ac:dyDescent="0.25">
      <c r="A17" s="301">
        <v>43708</v>
      </c>
      <c r="B17" s="301"/>
      <c r="C17" s="299">
        <v>85838.151874540737</v>
      </c>
      <c r="D17" s="299">
        <f t="shared" si="0"/>
        <v>537039.19686510996</v>
      </c>
      <c r="E17" s="297">
        <f>($D$12+D17+SUM($D$13:D16)*2)/24</f>
        <v>132517.40002299377</v>
      </c>
      <c r="F17" s="299"/>
      <c r="G17" s="297"/>
      <c r="H17" s="297"/>
      <c r="I17" s="297">
        <f>($D$12+H17+SUM($D$13:H16)*2)/24</f>
        <v>127993.17253682886</v>
      </c>
      <c r="J17" s="297">
        <f t="shared" si="1"/>
        <v>-18026.011893653555</v>
      </c>
      <c r="K17" s="297">
        <f t="shared" si="2"/>
        <v>-112778.23134167308</v>
      </c>
      <c r="L17" s="297">
        <f>($D$12+K17+SUM($D$13:K16)*2)/24</f>
        <v>110145.20178769199</v>
      </c>
      <c r="M17" s="296">
        <f t="shared" si="4"/>
        <v>238138.37432452085</v>
      </c>
      <c r="N17" s="295">
        <f t="shared" si="3"/>
        <v>424260.9655234369</v>
      </c>
    </row>
    <row r="18" spans="1:14" s="283" customFormat="1" outlineLevel="1" x14ac:dyDescent="0.25">
      <c r="A18" s="301">
        <v>43738</v>
      </c>
      <c r="B18" s="301"/>
      <c r="C18" s="299">
        <v>84370.799500016394</v>
      </c>
      <c r="D18" s="299">
        <f t="shared" si="0"/>
        <v>621409.99636512634</v>
      </c>
      <c r="E18" s="297">
        <f>($D$12+D18+SUM($D$13:D17)*2)/24</f>
        <v>180786.11640758696</v>
      </c>
      <c r="F18" s="299"/>
      <c r="G18" s="297"/>
      <c r="H18" s="297"/>
      <c r="I18" s="297">
        <f>($D$12+H18+SUM($D$13:H17)*2)/24</f>
        <v>183789.5556108375</v>
      </c>
      <c r="J18" s="297">
        <f t="shared" si="1"/>
        <v>-17717.867895003441</v>
      </c>
      <c r="K18" s="297">
        <f t="shared" si="2"/>
        <v>-130496.09923667651</v>
      </c>
      <c r="L18" s="297">
        <f>($D$12+K18+SUM($D$13:K17)*2)/24</f>
        <v>164969.084474534</v>
      </c>
      <c r="M18" s="296">
        <f t="shared" si="4"/>
        <v>348758.6400853715</v>
      </c>
      <c r="N18" s="295">
        <f t="shared" si="3"/>
        <v>490913.89712844981</v>
      </c>
    </row>
    <row r="19" spans="1:14" s="283" customFormat="1" outlineLevel="1" x14ac:dyDescent="0.25">
      <c r="A19" s="301">
        <v>43769</v>
      </c>
      <c r="B19" s="301"/>
      <c r="C19" s="299">
        <v>82903.447125492021</v>
      </c>
      <c r="D19" s="299">
        <f t="shared" si="0"/>
        <v>704313.44349061837</v>
      </c>
      <c r="E19" s="297">
        <f>($D$12+D19+SUM($D$13:D18)*2)/24</f>
        <v>236024.593068243</v>
      </c>
      <c r="F19" s="299"/>
      <c r="G19" s="299"/>
      <c r="H19" s="299"/>
      <c r="I19" s="299">
        <f t="shared" ref="I19:I61" si="5">E19+H19</f>
        <v>236024.593068243</v>
      </c>
      <c r="J19" s="299">
        <f t="shared" si="1"/>
        <v>-17409.723896353324</v>
      </c>
      <c r="K19" s="297">
        <f t="shared" si="2"/>
        <v>-147905.82313302983</v>
      </c>
      <c r="L19" s="297">
        <f>(K12+K19+SUM(K13:K18)*2)/24</f>
        <v>-49565.164544331004</v>
      </c>
      <c r="M19" s="296">
        <f t="shared" si="4"/>
        <v>186459.42852391201</v>
      </c>
      <c r="N19" s="295">
        <f t="shared" si="3"/>
        <v>556407.62035758852</v>
      </c>
    </row>
    <row r="20" spans="1:14" s="283" customFormat="1" outlineLevel="1" x14ac:dyDescent="0.25">
      <c r="A20" s="301">
        <v>43799</v>
      </c>
      <c r="B20" s="301"/>
      <c r="C20" s="299">
        <v>81436.094750967648</v>
      </c>
      <c r="D20" s="299">
        <f t="shared" si="0"/>
        <v>785749.53824158607</v>
      </c>
      <c r="E20" s="297">
        <f>(D10+D20+SUM(D11:D19)*2)/24</f>
        <v>301992.8387132166</v>
      </c>
      <c r="F20" s="299"/>
      <c r="G20" s="299"/>
      <c r="H20" s="299"/>
      <c r="I20" s="299">
        <f t="shared" si="5"/>
        <v>301992.8387132166</v>
      </c>
      <c r="J20" s="299">
        <f t="shared" si="1"/>
        <v>-17101.579897703206</v>
      </c>
      <c r="K20" s="297">
        <f t="shared" si="2"/>
        <v>-165007.40303073302</v>
      </c>
      <c r="L20" s="297">
        <f>(K10+K20+SUM(K11:K19)*2)/24</f>
        <v>-63418.496129775478</v>
      </c>
      <c r="M20" s="296">
        <f t="shared" si="4"/>
        <v>238574.34258344112</v>
      </c>
      <c r="N20" s="295">
        <f t="shared" si="3"/>
        <v>620742.13521085307</v>
      </c>
    </row>
    <row r="21" spans="1:14" s="283" customFormat="1" outlineLevel="1" x14ac:dyDescent="0.25">
      <c r="A21" s="301">
        <v>43830</v>
      </c>
      <c r="B21" s="301"/>
      <c r="C21" s="299">
        <v>79968.74237644329</v>
      </c>
      <c r="D21" s="299">
        <f t="shared" si="0"/>
        <v>865718.28061802941</v>
      </c>
      <c r="E21" s="297">
        <f t="shared" ref="E21:E61" si="6">(D9+D21+SUM(D10:D20)*2)/24</f>
        <v>370803.99783236725</v>
      </c>
      <c r="F21" s="299"/>
      <c r="G21" s="299"/>
      <c r="H21" s="299"/>
      <c r="I21" s="299">
        <f t="shared" si="5"/>
        <v>370803.99783236725</v>
      </c>
      <c r="J21" s="299">
        <f t="shared" si="1"/>
        <v>-16793.435899053089</v>
      </c>
      <c r="K21" s="297">
        <f t="shared" si="2"/>
        <v>-181800.83892978611</v>
      </c>
      <c r="L21" s="297">
        <f>(K12+K21+SUM(K13:K20)*2)/24</f>
        <v>-77053.559049509422</v>
      </c>
      <c r="M21" s="296">
        <f t="shared" si="4"/>
        <v>293750.43878285785</v>
      </c>
      <c r="N21" s="295">
        <f t="shared" si="3"/>
        <v>683917.4416882433</v>
      </c>
    </row>
    <row r="22" spans="1:14" s="283" customFormat="1" outlineLevel="1" x14ac:dyDescent="0.25">
      <c r="A22" s="301">
        <v>43861</v>
      </c>
      <c r="B22" s="301"/>
      <c r="C22" s="299">
        <v>78570.962089220862</v>
      </c>
      <c r="D22" s="299">
        <f t="shared" si="0"/>
        <v>944289.24270725029</v>
      </c>
      <c r="E22" s="297">
        <f t="shared" si="6"/>
        <v>446220.97797092056</v>
      </c>
      <c r="F22" s="299"/>
      <c r="G22" s="299"/>
      <c r="H22" s="299"/>
      <c r="I22" s="299">
        <f t="shared" si="5"/>
        <v>446220.97797092056</v>
      </c>
      <c r="J22" s="299">
        <f t="shared" si="1"/>
        <v>-16499.902038736382</v>
      </c>
      <c r="K22" s="297">
        <f t="shared" si="2"/>
        <v>-198300.7409685225</v>
      </c>
      <c r="L22" s="297">
        <f t="shared" ref="L22:L61" si="7">(K10+K22+SUM(K11:K21)*2)/24</f>
        <v>-93706.405373893285</v>
      </c>
      <c r="M22" s="296">
        <f t="shared" si="4"/>
        <v>352514.57259702729</v>
      </c>
      <c r="N22" s="295">
        <f t="shared" si="3"/>
        <v>745988.50173872779</v>
      </c>
    </row>
    <row r="23" spans="1:14" s="283" customFormat="1" outlineLevel="1" x14ac:dyDescent="0.25">
      <c r="A23" s="301">
        <v>43890</v>
      </c>
      <c r="B23" s="301"/>
      <c r="C23" s="299">
        <v>77173.18180199842</v>
      </c>
      <c r="D23" s="299">
        <f t="shared" si="0"/>
        <v>1021462.4245092487</v>
      </c>
      <c r="E23" s="297">
        <f t="shared" si="6"/>
        <v>528127.29743827472</v>
      </c>
      <c r="F23" s="299"/>
      <c r="G23" s="299"/>
      <c r="H23" s="299"/>
      <c r="I23" s="299">
        <f t="shared" si="5"/>
        <v>528127.29743827472</v>
      </c>
      <c r="J23" s="299">
        <f t="shared" si="1"/>
        <v>-16206.368178419667</v>
      </c>
      <c r="K23" s="297">
        <f t="shared" si="2"/>
        <v>-214507.10914694215</v>
      </c>
      <c r="L23" s="297">
        <f t="shared" si="7"/>
        <v>-110906.73246203766</v>
      </c>
      <c r="M23" s="296">
        <f t="shared" si="4"/>
        <v>417220.56497623707</v>
      </c>
      <c r="N23" s="295">
        <f t="shared" si="3"/>
        <v>806955.31536230654</v>
      </c>
    </row>
    <row r="24" spans="1:14" s="283" customFormat="1" outlineLevel="1" x14ac:dyDescent="0.25">
      <c r="A24" s="301">
        <v>43921</v>
      </c>
      <c r="B24" s="301"/>
      <c r="C24" s="299">
        <v>75775.401514775993</v>
      </c>
      <c r="D24" s="299">
        <f t="shared" si="0"/>
        <v>1097237.8260240247</v>
      </c>
      <c r="E24" s="297">
        <f t="shared" si="6"/>
        <v>612524.1864710293</v>
      </c>
      <c r="F24" s="299"/>
      <c r="G24" s="299"/>
      <c r="H24" s="299"/>
      <c r="I24" s="299">
        <f t="shared" si="5"/>
        <v>612524.1864710293</v>
      </c>
      <c r="J24" s="299">
        <f t="shared" si="1"/>
        <v>-15912.834318102958</v>
      </c>
      <c r="K24" s="297">
        <f t="shared" si="2"/>
        <v>-230419.9434650451</v>
      </c>
      <c r="L24" s="297">
        <f t="shared" si="7"/>
        <v>-128630.07915891612</v>
      </c>
      <c r="M24" s="296">
        <f t="shared" si="4"/>
        <v>483894.10731211316</v>
      </c>
      <c r="N24" s="295">
        <f t="shared" si="3"/>
        <v>866817.88255897968</v>
      </c>
    </row>
    <row r="25" spans="1:14" s="283" customFormat="1" outlineLevel="1" x14ac:dyDescent="0.25">
      <c r="A25" s="301">
        <v>43951</v>
      </c>
      <c r="B25" s="301"/>
      <c r="C25" s="299">
        <v>74377.623736874855</v>
      </c>
      <c r="D25" s="299">
        <f t="shared" si="0"/>
        <v>1171615.4497608996</v>
      </c>
      <c r="E25" s="297">
        <f t="shared" si="6"/>
        <v>695474.01509261108</v>
      </c>
      <c r="F25" s="299"/>
      <c r="G25" s="299"/>
      <c r="H25" s="299"/>
      <c r="I25" s="299">
        <f t="shared" si="5"/>
        <v>695474.01509261108</v>
      </c>
      <c r="J25" s="299">
        <f t="shared" si="1"/>
        <v>-15619.300984743719</v>
      </c>
      <c r="K25" s="297">
        <f t="shared" si="2"/>
        <v>-246039.24444978882</v>
      </c>
      <c r="L25" s="297">
        <f t="shared" si="7"/>
        <v>-146049.54316944827</v>
      </c>
      <c r="M25" s="296">
        <f t="shared" si="4"/>
        <v>549424.47192316281</v>
      </c>
      <c r="N25" s="302">
        <f t="shared" si="3"/>
        <v>925576.20531111083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1171615.4497608996</v>
      </c>
      <c r="E26" s="306">
        <f t="shared" si="6"/>
        <v>773941.75427111459</v>
      </c>
      <c r="F26" s="307">
        <f t="shared" ref="F26:F61" si="8">+$D$25/36</f>
        <v>32544.873604469434</v>
      </c>
      <c r="G26" s="307">
        <f t="shared" ref="G26:G61" si="9">G25-F26</f>
        <v>-32544.873604469434</v>
      </c>
      <c r="H26" s="307">
        <f t="shared" ref="H26:H61" si="10">(G14+G26+SUM(G15:G25)*2)/24</f>
        <v>-1356.0364001862265</v>
      </c>
      <c r="I26" s="307">
        <f t="shared" si="5"/>
        <v>772585.71787092835</v>
      </c>
      <c r="J26" s="307">
        <f t="shared" si="1"/>
        <v>6834.4234569385808</v>
      </c>
      <c r="K26" s="306">
        <f t="shared" si="2"/>
        <v>-239204.82099285023</v>
      </c>
      <c r="L26" s="306">
        <f t="shared" si="7"/>
        <v>-162243.00075289491</v>
      </c>
      <c r="M26" s="304">
        <f t="shared" si="4"/>
        <v>610342.71711803344</v>
      </c>
      <c r="N26" s="303">
        <f t="shared" si="3"/>
        <v>899865.75516357995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1171615.4497608996</v>
      </c>
      <c r="E27" s="306">
        <f t="shared" si="6"/>
        <v>844950.61571538029</v>
      </c>
      <c r="F27" s="307">
        <f t="shared" si="8"/>
        <v>32544.873604469434</v>
      </c>
      <c r="G27" s="307">
        <f t="shared" si="9"/>
        <v>-65089.747208938868</v>
      </c>
      <c r="H27" s="307">
        <f t="shared" si="10"/>
        <v>-5424.145600744906</v>
      </c>
      <c r="I27" s="307">
        <f t="shared" si="5"/>
        <v>839526.47011463542</v>
      </c>
      <c r="J27" s="307">
        <f t="shared" si="1"/>
        <v>6834.4234569385808</v>
      </c>
      <c r="K27" s="306">
        <f t="shared" si="2"/>
        <v>-232370.39753591164</v>
      </c>
      <c r="L27" s="306">
        <f t="shared" si="7"/>
        <v>-176300.55872407337</v>
      </c>
      <c r="M27" s="304">
        <f t="shared" si="4"/>
        <v>663225.91139056208</v>
      </c>
      <c r="N27" s="303">
        <f t="shared" si="3"/>
        <v>874155.30501604907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1171615.4497608996</v>
      </c>
      <c r="E28" s="306">
        <f t="shared" si="6"/>
        <v>908622.87878995214</v>
      </c>
      <c r="F28" s="307">
        <f t="shared" si="8"/>
        <v>32544.873604469434</v>
      </c>
      <c r="G28" s="307">
        <f t="shared" si="9"/>
        <v>-97634.620813408299</v>
      </c>
      <c r="H28" s="307">
        <f t="shared" si="10"/>
        <v>-12204.327601676037</v>
      </c>
      <c r="I28" s="307">
        <f t="shared" si="5"/>
        <v>896418.55118827615</v>
      </c>
      <c r="J28" s="307">
        <f t="shared" si="1"/>
        <v>6834.4234569385808</v>
      </c>
      <c r="K28" s="306">
        <f t="shared" si="2"/>
        <v>-225535.97407897306</v>
      </c>
      <c r="L28" s="306">
        <f t="shared" si="7"/>
        <v>-188247.89574953794</v>
      </c>
      <c r="M28" s="304">
        <f t="shared" si="4"/>
        <v>708170.65543873818</v>
      </c>
      <c r="N28" s="303">
        <f t="shared" si="3"/>
        <v>848444.85486851819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1171615.4497608996</v>
      </c>
      <c r="E29" s="306">
        <f t="shared" si="6"/>
        <v>965080.82285937399</v>
      </c>
      <c r="F29" s="307">
        <f t="shared" si="8"/>
        <v>32544.873604469434</v>
      </c>
      <c r="G29" s="307">
        <f t="shared" si="9"/>
        <v>-130179.49441787774</v>
      </c>
      <c r="H29" s="307">
        <f t="shared" si="10"/>
        <v>-21696.582402979624</v>
      </c>
      <c r="I29" s="307">
        <f t="shared" si="5"/>
        <v>943384.24045639439</v>
      </c>
      <c r="J29" s="307">
        <f t="shared" si="1"/>
        <v>6834.4234569385808</v>
      </c>
      <c r="K29" s="306">
        <f t="shared" si="2"/>
        <v>-218701.55062203447</v>
      </c>
      <c r="L29" s="306">
        <f t="shared" si="7"/>
        <v>-198110.69049584275</v>
      </c>
      <c r="M29" s="304">
        <f t="shared" si="4"/>
        <v>745273.54996055167</v>
      </c>
      <c r="N29" s="303">
        <f t="shared" si="3"/>
        <v>822734.40472098743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1171615.4497608996</v>
      </c>
      <c r="E30" s="306">
        <f t="shared" si="6"/>
        <v>1014446.727288189</v>
      </c>
      <c r="F30" s="307">
        <f t="shared" si="8"/>
        <v>32544.873604469434</v>
      </c>
      <c r="G30" s="307">
        <f t="shared" si="9"/>
        <v>-162724.36802234716</v>
      </c>
      <c r="H30" s="307">
        <f t="shared" si="10"/>
        <v>-33900.910004655656</v>
      </c>
      <c r="I30" s="307">
        <f t="shared" si="5"/>
        <v>980545.81728353328</v>
      </c>
      <c r="J30" s="307">
        <f t="shared" si="1"/>
        <v>6834.4234569385808</v>
      </c>
      <c r="K30" s="306">
        <f t="shared" si="2"/>
        <v>-211867.12716509588</v>
      </c>
      <c r="L30" s="306">
        <f t="shared" si="7"/>
        <v>-205914.62162954194</v>
      </c>
      <c r="M30" s="304">
        <f t="shared" si="4"/>
        <v>774631.19565399131</v>
      </c>
      <c r="N30" s="303">
        <f t="shared" si="3"/>
        <v>797023.95457345666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1171615.4497608996</v>
      </c>
      <c r="E31" s="306">
        <f t="shared" si="6"/>
        <v>1056842.8714409412</v>
      </c>
      <c r="F31" s="307">
        <f t="shared" si="8"/>
        <v>32544.873604469434</v>
      </c>
      <c r="G31" s="306">
        <f t="shared" si="9"/>
        <v>-195269.2416268166</v>
      </c>
      <c r="H31" s="306">
        <f t="shared" si="10"/>
        <v>-48817.31040670415</v>
      </c>
      <c r="I31" s="306">
        <f t="shared" si="5"/>
        <v>1008025.561034237</v>
      </c>
      <c r="J31" s="306">
        <f t="shared" si="1"/>
        <v>6834.4234569385808</v>
      </c>
      <c r="K31" s="306">
        <f t="shared" si="2"/>
        <v>-205032.70370815729</v>
      </c>
      <c r="L31" s="306">
        <f t="shared" si="7"/>
        <v>-211685.36781718969</v>
      </c>
      <c r="M31" s="304">
        <f t="shared" si="4"/>
        <v>796340.19321704737</v>
      </c>
      <c r="N31" s="303">
        <f t="shared" si="3"/>
        <v>771313.50442592578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1171615.4497608996</v>
      </c>
      <c r="E32" s="306">
        <f t="shared" si="6"/>
        <v>1092391.5346821744</v>
      </c>
      <c r="F32" s="307">
        <f t="shared" si="8"/>
        <v>32544.873604469434</v>
      </c>
      <c r="G32" s="306">
        <f t="shared" si="9"/>
        <v>-227814.11523128604</v>
      </c>
      <c r="H32" s="306">
        <f t="shared" si="10"/>
        <v>-66445.783609125094</v>
      </c>
      <c r="I32" s="306">
        <f t="shared" si="5"/>
        <v>1025945.7510730494</v>
      </c>
      <c r="J32" s="306">
        <f t="shared" si="1"/>
        <v>6834.4234569385808</v>
      </c>
      <c r="K32" s="306">
        <f t="shared" si="2"/>
        <v>-198198.2802512187</v>
      </c>
      <c r="L32" s="306">
        <f t="shared" si="7"/>
        <v>-215448.60772534029</v>
      </c>
      <c r="M32" s="304">
        <f t="shared" si="4"/>
        <v>810497.14334770909</v>
      </c>
      <c r="N32" s="303">
        <f t="shared" si="3"/>
        <v>745603.05427839491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1171615.4497608996</v>
      </c>
      <c r="E33" s="306">
        <f t="shared" si="6"/>
        <v>1121214.996376432</v>
      </c>
      <c r="F33" s="307">
        <f t="shared" si="8"/>
        <v>32544.873604469434</v>
      </c>
      <c r="G33" s="306">
        <f t="shared" si="9"/>
        <v>-260358.98883575547</v>
      </c>
      <c r="H33" s="306">
        <f t="shared" si="10"/>
        <v>-86786.329611918496</v>
      </c>
      <c r="I33" s="306">
        <f t="shared" si="5"/>
        <v>1034428.6667645135</v>
      </c>
      <c r="J33" s="306">
        <f t="shared" si="1"/>
        <v>6834.4234569385808</v>
      </c>
      <c r="K33" s="306">
        <f t="shared" si="2"/>
        <v>-191363.85679428012</v>
      </c>
      <c r="L33" s="306">
        <f t="shared" si="7"/>
        <v>-217230.02002054779</v>
      </c>
      <c r="M33" s="304">
        <f t="shared" si="4"/>
        <v>817198.64674396568</v>
      </c>
      <c r="N33" s="303">
        <f t="shared" si="3"/>
        <v>719892.60413086403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1171615.4497608996</v>
      </c>
      <c r="E34" s="306">
        <f t="shared" si="6"/>
        <v>1143432.6370512871</v>
      </c>
      <c r="F34" s="307">
        <f t="shared" si="8"/>
        <v>32544.873604469434</v>
      </c>
      <c r="G34" s="306">
        <f t="shared" si="9"/>
        <v>-292903.86244022491</v>
      </c>
      <c r="H34" s="306">
        <f t="shared" si="10"/>
        <v>-109838.94841508433</v>
      </c>
      <c r="I34" s="306">
        <f t="shared" si="5"/>
        <v>1033593.6886362028</v>
      </c>
      <c r="J34" s="306">
        <f t="shared" si="1"/>
        <v>6834.4234569385808</v>
      </c>
      <c r="K34" s="306">
        <f t="shared" si="2"/>
        <v>-184529.43333734153</v>
      </c>
      <c r="L34" s="306">
        <f t="shared" si="7"/>
        <v>-217054.67461360246</v>
      </c>
      <c r="M34" s="304">
        <f t="shared" si="4"/>
        <v>816539.01402260037</v>
      </c>
      <c r="N34" s="303">
        <f t="shared" si="3"/>
        <v>694182.15398333315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1171615.4497608996</v>
      </c>
      <c r="E35" s="306">
        <f t="shared" si="6"/>
        <v>1159160.9383973412</v>
      </c>
      <c r="F35" s="307">
        <f t="shared" si="8"/>
        <v>32544.873604469434</v>
      </c>
      <c r="G35" s="306">
        <f t="shared" si="9"/>
        <v>-325448.73604469432</v>
      </c>
      <c r="H35" s="306">
        <f t="shared" si="10"/>
        <v>-135603.64001862265</v>
      </c>
      <c r="I35" s="306">
        <f t="shared" si="5"/>
        <v>1023557.2983787186</v>
      </c>
      <c r="J35" s="306">
        <f t="shared" si="1"/>
        <v>6834.4234569385808</v>
      </c>
      <c r="K35" s="306">
        <f t="shared" si="2"/>
        <v>-177695.00988040294</v>
      </c>
      <c r="L35" s="306">
        <f t="shared" si="7"/>
        <v>-214947.03265953079</v>
      </c>
      <c r="M35" s="304">
        <f t="shared" si="4"/>
        <v>808610.2657191878</v>
      </c>
      <c r="N35" s="303">
        <f t="shared" si="3"/>
        <v>668471.70383580239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1171615.4497608996</v>
      </c>
      <c r="E36" s="306">
        <f t="shared" si="6"/>
        <v>1168516.3821051964</v>
      </c>
      <c r="F36" s="307">
        <f t="shared" si="8"/>
        <v>32544.873604469434</v>
      </c>
      <c r="G36" s="306">
        <f t="shared" si="9"/>
        <v>-357993.60964916373</v>
      </c>
      <c r="H36" s="306">
        <f t="shared" si="10"/>
        <v>-164080.40442253338</v>
      </c>
      <c r="I36" s="306">
        <f t="shared" si="5"/>
        <v>1004435.977682663</v>
      </c>
      <c r="J36" s="306">
        <f t="shared" si="1"/>
        <v>6834.4234569385808</v>
      </c>
      <c r="K36" s="306">
        <f t="shared" si="2"/>
        <v>-170860.58642346435</v>
      </c>
      <c r="L36" s="306">
        <f t="shared" si="7"/>
        <v>-210931.55531335916</v>
      </c>
      <c r="M36" s="304">
        <f t="shared" si="4"/>
        <v>793504.42236930388</v>
      </c>
      <c r="N36" s="303">
        <f t="shared" si="3"/>
        <v>642761.25368827162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1171615.4497608996</v>
      </c>
      <c r="E37" s="305">
        <f t="shared" si="6"/>
        <v>1171615.4497608994</v>
      </c>
      <c r="F37" s="307">
        <f t="shared" si="8"/>
        <v>32544.873604469434</v>
      </c>
      <c r="G37" s="306">
        <f t="shared" si="9"/>
        <v>-390538.48325363314</v>
      </c>
      <c r="H37" s="305">
        <f t="shared" si="10"/>
        <v>-195269.24162681657</v>
      </c>
      <c r="I37" s="306">
        <f t="shared" si="5"/>
        <v>976346.20813408284</v>
      </c>
      <c r="J37" s="306">
        <f t="shared" si="1"/>
        <v>6834.4234569385808</v>
      </c>
      <c r="K37" s="306">
        <f t="shared" si="2"/>
        <v>-164026.16296652576</v>
      </c>
      <c r="L37" s="305">
        <f t="shared" si="7"/>
        <v>-205032.70370815729</v>
      </c>
      <c r="M37" s="304">
        <f t="shared" si="4"/>
        <v>771313.50442592555</v>
      </c>
      <c r="N37" s="303">
        <f t="shared" si="3"/>
        <v>617050.80354074074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1171615.4497608996</v>
      </c>
      <c r="E38" s="297">
        <f t="shared" si="6"/>
        <v>1171615.4497608994</v>
      </c>
      <c r="F38" s="299">
        <f t="shared" si="8"/>
        <v>32544.873604469434</v>
      </c>
      <c r="G38" s="297">
        <f t="shared" si="9"/>
        <v>-423083.35685810255</v>
      </c>
      <c r="H38" s="297">
        <f t="shared" si="10"/>
        <v>-227814.11523128601</v>
      </c>
      <c r="I38" s="297">
        <f t="shared" si="5"/>
        <v>943801.33452961338</v>
      </c>
      <c r="J38" s="297">
        <f t="shared" si="1"/>
        <v>6834.4234569385808</v>
      </c>
      <c r="K38" s="297">
        <f t="shared" si="2"/>
        <v>-157191.73950958718</v>
      </c>
      <c r="L38" s="297">
        <f t="shared" si="7"/>
        <v>-198198.2802512187</v>
      </c>
      <c r="M38" s="296">
        <f t="shared" si="4"/>
        <v>745603.05427839467</v>
      </c>
      <c r="N38" s="295">
        <f t="shared" si="3"/>
        <v>591340.35339320987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1171615.4497608996</v>
      </c>
      <c r="E39" s="297">
        <f t="shared" si="6"/>
        <v>1171615.4497608994</v>
      </c>
      <c r="F39" s="299">
        <f t="shared" si="8"/>
        <v>32544.873604469434</v>
      </c>
      <c r="G39" s="297">
        <f t="shared" si="9"/>
        <v>-455628.23046257196</v>
      </c>
      <c r="H39" s="297">
        <f t="shared" si="10"/>
        <v>-260358.98883575542</v>
      </c>
      <c r="I39" s="297">
        <f t="shared" si="5"/>
        <v>911256.46092514403</v>
      </c>
      <c r="J39" s="297">
        <f t="shared" si="1"/>
        <v>6834.4234569385808</v>
      </c>
      <c r="K39" s="297">
        <f t="shared" si="2"/>
        <v>-150357.31605264859</v>
      </c>
      <c r="L39" s="297">
        <f t="shared" si="7"/>
        <v>-191363.85679428012</v>
      </c>
      <c r="M39" s="296">
        <f t="shared" si="4"/>
        <v>719892.60413086391</v>
      </c>
      <c r="N39" s="302">
        <f t="shared" si="3"/>
        <v>565629.9032456791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1171615.4497608996</v>
      </c>
      <c r="E40" s="297">
        <f t="shared" si="6"/>
        <v>1171615.4497608994</v>
      </c>
      <c r="F40" s="299">
        <f t="shared" si="8"/>
        <v>32544.873604469434</v>
      </c>
      <c r="G40" s="297">
        <f t="shared" si="9"/>
        <v>-488173.10406704136</v>
      </c>
      <c r="H40" s="297">
        <f t="shared" si="10"/>
        <v>-292903.86244022491</v>
      </c>
      <c r="I40" s="297">
        <f t="shared" si="5"/>
        <v>878711.58732067444</v>
      </c>
      <c r="J40" s="297">
        <f t="shared" si="1"/>
        <v>6834.4234569385808</v>
      </c>
      <c r="K40" s="298">
        <f t="shared" si="2"/>
        <v>-143522.89259571</v>
      </c>
      <c r="L40" s="297">
        <f t="shared" si="7"/>
        <v>-184529.43333734156</v>
      </c>
      <c r="M40" s="296">
        <f t="shared" si="4"/>
        <v>694182.15398333292</v>
      </c>
      <c r="N40" s="302">
        <f t="shared" si="3"/>
        <v>539919.45309814834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1171615.4497608996</v>
      </c>
      <c r="E41" s="297">
        <f t="shared" si="6"/>
        <v>1171615.4497608994</v>
      </c>
      <c r="F41" s="299">
        <f t="shared" si="8"/>
        <v>32544.873604469434</v>
      </c>
      <c r="G41" s="297">
        <f t="shared" si="9"/>
        <v>-520717.97767151077</v>
      </c>
      <c r="H41" s="297">
        <f t="shared" si="10"/>
        <v>-325448.73604469432</v>
      </c>
      <c r="I41" s="297">
        <f t="shared" si="5"/>
        <v>846166.71371620509</v>
      </c>
      <c r="J41" s="297">
        <f t="shared" si="1"/>
        <v>6834.4234569385808</v>
      </c>
      <c r="K41" s="298">
        <f t="shared" si="2"/>
        <v>-136688.46913877141</v>
      </c>
      <c r="L41" s="297">
        <f t="shared" si="7"/>
        <v>-177695.00988040294</v>
      </c>
      <c r="M41" s="296">
        <f t="shared" si="4"/>
        <v>668471.70383580215</v>
      </c>
      <c r="N41" s="302">
        <f t="shared" si="3"/>
        <v>514209.00295061746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1171615.4497608996</v>
      </c>
      <c r="E42" s="297">
        <f t="shared" si="6"/>
        <v>1171615.4497608994</v>
      </c>
      <c r="F42" s="299">
        <f t="shared" si="8"/>
        <v>32544.873604469434</v>
      </c>
      <c r="G42" s="297">
        <f t="shared" si="9"/>
        <v>-553262.85127598024</v>
      </c>
      <c r="H42" s="297">
        <f t="shared" si="10"/>
        <v>-357993.60964916373</v>
      </c>
      <c r="I42" s="297">
        <f t="shared" si="5"/>
        <v>813621.84011173574</v>
      </c>
      <c r="J42" s="297">
        <f t="shared" si="1"/>
        <v>6834.4234569385808</v>
      </c>
      <c r="K42" s="298">
        <f t="shared" si="2"/>
        <v>-129854.04568183282</v>
      </c>
      <c r="L42" s="297">
        <f t="shared" si="7"/>
        <v>-170860.58642346438</v>
      </c>
      <c r="M42" s="296">
        <f t="shared" si="4"/>
        <v>642761.25368827139</v>
      </c>
      <c r="N42" s="295">
        <f t="shared" si="3"/>
        <v>488498.55280308658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1171615.4497608996</v>
      </c>
      <c r="E43" s="297">
        <f t="shared" si="6"/>
        <v>1171615.4497608994</v>
      </c>
      <c r="F43" s="299">
        <f t="shared" si="8"/>
        <v>32544.873604469434</v>
      </c>
      <c r="G43" s="297">
        <f t="shared" si="9"/>
        <v>-585807.72488044971</v>
      </c>
      <c r="H43" s="297">
        <f t="shared" si="10"/>
        <v>-390538.48325363314</v>
      </c>
      <c r="I43" s="297">
        <f t="shared" si="5"/>
        <v>781076.96650726628</v>
      </c>
      <c r="J43" s="297">
        <f t="shared" ref="J43:J61" si="12">(-C43*0.21)+(F43*0.21)</f>
        <v>6834.4234569385808</v>
      </c>
      <c r="K43" s="298">
        <f t="shared" ref="K43:K61" si="13">K42+J43</f>
        <v>-123019.62222489424</v>
      </c>
      <c r="L43" s="297">
        <f t="shared" si="7"/>
        <v>-164026.16296652576</v>
      </c>
      <c r="M43" s="296">
        <f t="shared" si="4"/>
        <v>617050.80354074051</v>
      </c>
      <c r="N43" s="302">
        <f t="shared" ref="N43:N61" si="14">+D43+G43+K43</f>
        <v>462788.1026555557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1171615.4497608996</v>
      </c>
      <c r="E44" s="297">
        <f t="shared" si="6"/>
        <v>1171615.4497608994</v>
      </c>
      <c r="F44" s="299">
        <f t="shared" si="8"/>
        <v>32544.873604469434</v>
      </c>
      <c r="G44" s="297">
        <f t="shared" si="9"/>
        <v>-618352.59848491917</v>
      </c>
      <c r="H44" s="297">
        <f t="shared" si="10"/>
        <v>-423083.3568581026</v>
      </c>
      <c r="I44" s="297">
        <f t="shared" si="5"/>
        <v>748532.09290279681</v>
      </c>
      <c r="J44" s="297">
        <f t="shared" si="12"/>
        <v>6834.4234569385808</v>
      </c>
      <c r="K44" s="298">
        <f t="shared" si="13"/>
        <v>-116185.19876795565</v>
      </c>
      <c r="L44" s="297">
        <f t="shared" si="7"/>
        <v>-157191.73950958718</v>
      </c>
      <c r="M44" s="296">
        <f t="shared" ref="M44:M61" si="15">L44+I44</f>
        <v>591340.35339320963</v>
      </c>
      <c r="N44" s="302">
        <f t="shared" si="14"/>
        <v>437077.65250802482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1171615.4497608996</v>
      </c>
      <c r="E45" s="297">
        <f t="shared" si="6"/>
        <v>1171615.4497608994</v>
      </c>
      <c r="F45" s="299">
        <f t="shared" si="8"/>
        <v>32544.873604469434</v>
      </c>
      <c r="G45" s="297">
        <f t="shared" si="9"/>
        <v>-650897.47208938864</v>
      </c>
      <c r="H45" s="297">
        <f t="shared" si="10"/>
        <v>-455628.23046257207</v>
      </c>
      <c r="I45" s="297">
        <f t="shared" si="5"/>
        <v>715987.21929832734</v>
      </c>
      <c r="J45" s="297">
        <f t="shared" si="12"/>
        <v>6834.4234569385808</v>
      </c>
      <c r="K45" s="298">
        <f t="shared" si="13"/>
        <v>-109350.77531101706</v>
      </c>
      <c r="L45" s="297">
        <f t="shared" si="7"/>
        <v>-150357.31605264859</v>
      </c>
      <c r="M45" s="296">
        <f t="shared" si="15"/>
        <v>565629.90324567875</v>
      </c>
      <c r="N45" s="302">
        <f t="shared" si="14"/>
        <v>411367.20236049395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1171615.4497608996</v>
      </c>
      <c r="E46" s="297">
        <f t="shared" si="6"/>
        <v>1171615.4497608994</v>
      </c>
      <c r="F46" s="299">
        <f t="shared" si="8"/>
        <v>32544.873604469434</v>
      </c>
      <c r="G46" s="297">
        <f t="shared" si="9"/>
        <v>-683442.34569385811</v>
      </c>
      <c r="H46" s="297">
        <f t="shared" si="10"/>
        <v>-488173.10406704148</v>
      </c>
      <c r="I46" s="297">
        <f t="shared" si="5"/>
        <v>683442.34569385787</v>
      </c>
      <c r="J46" s="297">
        <f t="shared" si="12"/>
        <v>6834.4234569385808</v>
      </c>
      <c r="K46" s="298">
        <f t="shared" si="13"/>
        <v>-102516.35185407847</v>
      </c>
      <c r="L46" s="297">
        <f t="shared" si="7"/>
        <v>-143522.89259571003</v>
      </c>
      <c r="M46" s="296">
        <f t="shared" si="15"/>
        <v>539919.45309814787</v>
      </c>
      <c r="N46" s="302">
        <f t="shared" si="14"/>
        <v>385656.75221296307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1171615.4497608996</v>
      </c>
      <c r="E47" s="297">
        <f t="shared" si="6"/>
        <v>1171615.4497608994</v>
      </c>
      <c r="F47" s="299">
        <f t="shared" si="8"/>
        <v>32544.873604469434</v>
      </c>
      <c r="G47" s="297">
        <f t="shared" si="9"/>
        <v>-715987.21929832757</v>
      </c>
      <c r="H47" s="297">
        <f t="shared" si="10"/>
        <v>-520717.97767151083</v>
      </c>
      <c r="I47" s="297">
        <f t="shared" si="5"/>
        <v>650897.47208938864</v>
      </c>
      <c r="J47" s="297">
        <f t="shared" si="12"/>
        <v>6834.4234569385808</v>
      </c>
      <c r="K47" s="298">
        <f t="shared" si="13"/>
        <v>-95681.928397139884</v>
      </c>
      <c r="L47" s="297">
        <f t="shared" si="7"/>
        <v>-136688.46913877141</v>
      </c>
      <c r="M47" s="296">
        <f t="shared" si="15"/>
        <v>514209.00295061723</v>
      </c>
      <c r="N47" s="302">
        <f t="shared" si="14"/>
        <v>359946.30206543219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1171615.4497608996</v>
      </c>
      <c r="E48" s="297">
        <f t="shared" si="6"/>
        <v>1171615.4497608994</v>
      </c>
      <c r="F48" s="299">
        <f t="shared" si="8"/>
        <v>32544.873604469434</v>
      </c>
      <c r="G48" s="297">
        <f t="shared" si="9"/>
        <v>-748532.09290279704</v>
      </c>
      <c r="H48" s="297">
        <f t="shared" si="10"/>
        <v>-553262.85127598036</v>
      </c>
      <c r="I48" s="297">
        <f t="shared" si="5"/>
        <v>618352.59848491906</v>
      </c>
      <c r="J48" s="297">
        <f t="shared" si="12"/>
        <v>6834.4234569385808</v>
      </c>
      <c r="K48" s="298">
        <f t="shared" si="13"/>
        <v>-88847.504940201296</v>
      </c>
      <c r="L48" s="297">
        <f t="shared" si="7"/>
        <v>-129854.04568183282</v>
      </c>
      <c r="M48" s="296">
        <f t="shared" si="15"/>
        <v>488498.55280308623</v>
      </c>
      <c r="N48" s="295">
        <f t="shared" si="14"/>
        <v>334235.85191790131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1171615.4497608996</v>
      </c>
      <c r="E49" s="297">
        <f t="shared" si="6"/>
        <v>1171615.4497608994</v>
      </c>
      <c r="F49" s="299">
        <f t="shared" si="8"/>
        <v>32544.873604469434</v>
      </c>
      <c r="G49" s="297">
        <f t="shared" si="9"/>
        <v>-781076.96650726651</v>
      </c>
      <c r="H49" s="297">
        <f t="shared" si="10"/>
        <v>-585807.72488044971</v>
      </c>
      <c r="I49" s="297">
        <f t="shared" si="5"/>
        <v>585807.72488044971</v>
      </c>
      <c r="J49" s="297">
        <f t="shared" si="12"/>
        <v>6834.4234569385808</v>
      </c>
      <c r="K49" s="298">
        <f t="shared" si="13"/>
        <v>-82013.081483262707</v>
      </c>
      <c r="L49" s="297">
        <f t="shared" si="7"/>
        <v>-123019.62222489424</v>
      </c>
      <c r="M49" s="296">
        <f t="shared" si="15"/>
        <v>462788.10265555547</v>
      </c>
      <c r="N49" s="302">
        <f t="shared" si="14"/>
        <v>308525.40177037043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1171615.4497608996</v>
      </c>
      <c r="E50" s="297">
        <f t="shared" si="6"/>
        <v>1171615.4497608994</v>
      </c>
      <c r="F50" s="299">
        <f t="shared" si="8"/>
        <v>32544.873604469434</v>
      </c>
      <c r="G50" s="297">
        <f t="shared" si="9"/>
        <v>-813621.84011173598</v>
      </c>
      <c r="H50" s="297">
        <f t="shared" si="10"/>
        <v>-618352.59848491917</v>
      </c>
      <c r="I50" s="297">
        <f t="shared" si="5"/>
        <v>553262.85127598024</v>
      </c>
      <c r="J50" s="297">
        <f t="shared" si="12"/>
        <v>6834.4234569385808</v>
      </c>
      <c r="K50" s="298">
        <f t="shared" si="13"/>
        <v>-75178.658026324119</v>
      </c>
      <c r="L50" s="297">
        <f t="shared" si="7"/>
        <v>-116185.19876795566</v>
      </c>
      <c r="M50" s="296">
        <f t="shared" si="15"/>
        <v>437077.65250802459</v>
      </c>
      <c r="N50" s="302">
        <f t="shared" si="14"/>
        <v>282814.95162283955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1171615.4497608996</v>
      </c>
      <c r="E51" s="297">
        <f t="shared" si="6"/>
        <v>1171615.4497608994</v>
      </c>
      <c r="F51" s="299">
        <f t="shared" si="8"/>
        <v>32544.873604469434</v>
      </c>
      <c r="G51" s="297">
        <f t="shared" si="9"/>
        <v>-846166.71371620544</v>
      </c>
      <c r="H51" s="297">
        <f t="shared" si="10"/>
        <v>-650897.47208938864</v>
      </c>
      <c r="I51" s="297">
        <f t="shared" si="5"/>
        <v>520717.97767151077</v>
      </c>
      <c r="J51" s="297">
        <f t="shared" si="12"/>
        <v>6834.4234569385808</v>
      </c>
      <c r="K51" s="298">
        <f t="shared" si="13"/>
        <v>-68344.234569385531</v>
      </c>
      <c r="L51" s="297">
        <f t="shared" si="7"/>
        <v>-109350.77531101706</v>
      </c>
      <c r="M51" s="296">
        <f t="shared" si="15"/>
        <v>411367.20236049371</v>
      </c>
      <c r="N51" s="295">
        <f t="shared" si="14"/>
        <v>257104.50147530867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1171615.4497608996</v>
      </c>
      <c r="E52" s="297">
        <f t="shared" si="6"/>
        <v>1171615.4497608994</v>
      </c>
      <c r="F52" s="299">
        <f t="shared" si="8"/>
        <v>32544.873604469434</v>
      </c>
      <c r="G52" s="297">
        <f t="shared" si="9"/>
        <v>-878711.58732067491</v>
      </c>
      <c r="H52" s="297">
        <f t="shared" si="10"/>
        <v>-683442.34569385811</v>
      </c>
      <c r="I52" s="297">
        <f t="shared" si="5"/>
        <v>488173.10406704131</v>
      </c>
      <c r="J52" s="297">
        <f t="shared" si="12"/>
        <v>6834.4234569385808</v>
      </c>
      <c r="K52" s="298">
        <f t="shared" si="13"/>
        <v>-61509.811112446951</v>
      </c>
      <c r="L52" s="297">
        <f t="shared" si="7"/>
        <v>-102516.35185407847</v>
      </c>
      <c r="M52" s="296">
        <f t="shared" si="15"/>
        <v>385656.75221296283</v>
      </c>
      <c r="N52" s="295">
        <f t="shared" si="14"/>
        <v>231394.05132777779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1171615.4497608996</v>
      </c>
      <c r="E53" s="297">
        <f t="shared" si="6"/>
        <v>1171615.4497608994</v>
      </c>
      <c r="F53" s="299">
        <f t="shared" si="8"/>
        <v>32544.873604469434</v>
      </c>
      <c r="G53" s="297">
        <f t="shared" si="9"/>
        <v>-911256.46092514438</v>
      </c>
      <c r="H53" s="297">
        <f t="shared" si="10"/>
        <v>-715987.21929832769</v>
      </c>
      <c r="I53" s="297">
        <f t="shared" si="5"/>
        <v>455628.23046257172</v>
      </c>
      <c r="J53" s="297">
        <f t="shared" si="12"/>
        <v>6834.4234569385808</v>
      </c>
      <c r="K53" s="298">
        <f t="shared" si="13"/>
        <v>-54675.38765550837</v>
      </c>
      <c r="L53" s="297">
        <f t="shared" si="7"/>
        <v>-95681.928397139884</v>
      </c>
      <c r="M53" s="296">
        <f t="shared" si="15"/>
        <v>359946.30206543184</v>
      </c>
      <c r="N53" s="295">
        <f t="shared" si="14"/>
        <v>205683.60118024691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1171615.4497608996</v>
      </c>
      <c r="E54" s="297">
        <f t="shared" si="6"/>
        <v>1171615.4497608994</v>
      </c>
      <c r="F54" s="299">
        <f t="shared" si="8"/>
        <v>32544.873604469434</v>
      </c>
      <c r="G54" s="297">
        <f t="shared" si="9"/>
        <v>-943801.33452961384</v>
      </c>
      <c r="H54" s="297">
        <f t="shared" si="10"/>
        <v>-748532.09290279693</v>
      </c>
      <c r="I54" s="297">
        <f t="shared" si="5"/>
        <v>423083.35685810249</v>
      </c>
      <c r="J54" s="297">
        <f t="shared" si="12"/>
        <v>6834.4234569385808</v>
      </c>
      <c r="K54" s="298">
        <f t="shared" si="13"/>
        <v>-47840.964198569789</v>
      </c>
      <c r="L54" s="297">
        <f t="shared" si="7"/>
        <v>-88847.504940201296</v>
      </c>
      <c r="M54" s="296">
        <f t="shared" si="15"/>
        <v>334235.85191790119</v>
      </c>
      <c r="N54" s="295">
        <f t="shared" si="14"/>
        <v>179973.15103271601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1171615.4497608996</v>
      </c>
      <c r="E55" s="297">
        <f t="shared" si="6"/>
        <v>1171615.4497608994</v>
      </c>
      <c r="F55" s="299">
        <f t="shared" si="8"/>
        <v>32544.873604469434</v>
      </c>
      <c r="G55" s="297">
        <f t="shared" si="9"/>
        <v>-976346.20813408331</v>
      </c>
      <c r="H55" s="297">
        <f t="shared" si="10"/>
        <v>-781076.96650726662</v>
      </c>
      <c r="I55" s="297">
        <f t="shared" si="5"/>
        <v>390538.48325363279</v>
      </c>
      <c r="J55" s="297">
        <f t="shared" si="12"/>
        <v>6834.4234569385808</v>
      </c>
      <c r="K55" s="298">
        <f t="shared" si="13"/>
        <v>-41006.540741631208</v>
      </c>
      <c r="L55" s="297">
        <f t="shared" si="7"/>
        <v>-82013.081483262707</v>
      </c>
      <c r="M55" s="296">
        <f t="shared" si="15"/>
        <v>308525.40177037008</v>
      </c>
      <c r="N55" s="295">
        <f t="shared" si="14"/>
        <v>154262.70088518513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1171615.4497608996</v>
      </c>
      <c r="E56" s="297">
        <f t="shared" si="6"/>
        <v>1171615.4497608994</v>
      </c>
      <c r="F56" s="299">
        <f t="shared" si="8"/>
        <v>32544.873604469434</v>
      </c>
      <c r="G56" s="297">
        <f t="shared" si="9"/>
        <v>-1008891.0817385528</v>
      </c>
      <c r="H56" s="297">
        <f t="shared" si="10"/>
        <v>-813621.84011173609</v>
      </c>
      <c r="I56" s="297">
        <f t="shared" si="5"/>
        <v>357993.60964916332</v>
      </c>
      <c r="J56" s="297">
        <f t="shared" si="12"/>
        <v>6834.4234569385808</v>
      </c>
      <c r="K56" s="298">
        <f t="shared" si="13"/>
        <v>-34172.117284692627</v>
      </c>
      <c r="L56" s="297">
        <f t="shared" si="7"/>
        <v>-75178.658026324119</v>
      </c>
      <c r="M56" s="296">
        <f t="shared" si="15"/>
        <v>282814.9516228392</v>
      </c>
      <c r="N56" s="295">
        <f t="shared" si="14"/>
        <v>128552.25073765425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1171615.4497608996</v>
      </c>
      <c r="E57" s="297">
        <f t="shared" si="6"/>
        <v>1171615.4497608994</v>
      </c>
      <c r="F57" s="299">
        <f t="shared" si="8"/>
        <v>32544.873604469434</v>
      </c>
      <c r="G57" s="297">
        <f t="shared" si="9"/>
        <v>-1041435.9553430222</v>
      </c>
      <c r="H57" s="297">
        <f t="shared" si="10"/>
        <v>-846166.71371620533</v>
      </c>
      <c r="I57" s="297">
        <f t="shared" si="5"/>
        <v>325448.73604469409</v>
      </c>
      <c r="J57" s="297">
        <f t="shared" si="12"/>
        <v>6834.4234569385808</v>
      </c>
      <c r="K57" s="298">
        <f t="shared" si="13"/>
        <v>-27337.693827754047</v>
      </c>
      <c r="L57" s="297">
        <f t="shared" si="7"/>
        <v>-68344.234569385531</v>
      </c>
      <c r="M57" s="296">
        <f t="shared" si="15"/>
        <v>257104.50147530856</v>
      </c>
      <c r="N57" s="295">
        <f t="shared" si="14"/>
        <v>102841.80059012336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1171615.4497608996</v>
      </c>
      <c r="E58" s="297">
        <f t="shared" si="6"/>
        <v>1171615.4497608994</v>
      </c>
      <c r="F58" s="299">
        <f t="shared" si="8"/>
        <v>32544.873604469434</v>
      </c>
      <c r="G58" s="297">
        <f t="shared" si="9"/>
        <v>-1073980.8289474917</v>
      </c>
      <c r="H58" s="297">
        <f t="shared" si="10"/>
        <v>-878711.58732067479</v>
      </c>
      <c r="I58" s="297">
        <f t="shared" si="5"/>
        <v>292903.86244022462</v>
      </c>
      <c r="J58" s="297">
        <f t="shared" si="12"/>
        <v>6834.4234569385808</v>
      </c>
      <c r="K58" s="298">
        <f t="shared" si="13"/>
        <v>-20503.270370815466</v>
      </c>
      <c r="L58" s="297">
        <f t="shared" si="7"/>
        <v>-61509.811112446943</v>
      </c>
      <c r="M58" s="296">
        <f t="shared" si="15"/>
        <v>231394.05132777768</v>
      </c>
      <c r="N58" s="295">
        <f t="shared" si="14"/>
        <v>77131.350442592462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1171615.4497608996</v>
      </c>
      <c r="E59" s="297">
        <f t="shared" si="6"/>
        <v>1171615.4497608994</v>
      </c>
      <c r="F59" s="299">
        <f t="shared" si="8"/>
        <v>32544.873604469434</v>
      </c>
      <c r="G59" s="297">
        <f t="shared" si="9"/>
        <v>-1106525.7025519612</v>
      </c>
      <c r="H59" s="297">
        <f t="shared" si="10"/>
        <v>-911256.46092514449</v>
      </c>
      <c r="I59" s="297">
        <f t="shared" si="5"/>
        <v>260358.98883575492</v>
      </c>
      <c r="J59" s="297">
        <f t="shared" si="12"/>
        <v>6834.4234569385808</v>
      </c>
      <c r="K59" s="298">
        <f t="shared" si="13"/>
        <v>-13668.846913876885</v>
      </c>
      <c r="L59" s="297">
        <f t="shared" si="7"/>
        <v>-54675.387655508355</v>
      </c>
      <c r="M59" s="296">
        <f t="shared" si="15"/>
        <v>205683.60118024657</v>
      </c>
      <c r="N59" s="295">
        <f t="shared" si="14"/>
        <v>51420.900295061583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1171615.4497608996</v>
      </c>
      <c r="E60" s="297">
        <f t="shared" si="6"/>
        <v>1171615.4497608994</v>
      </c>
      <c r="F60" s="299">
        <f t="shared" si="8"/>
        <v>32544.873604469434</v>
      </c>
      <c r="G60" s="297">
        <f t="shared" si="9"/>
        <v>-1139070.5761564306</v>
      </c>
      <c r="H60" s="297">
        <f t="shared" si="10"/>
        <v>-943801.33452961373</v>
      </c>
      <c r="I60" s="297">
        <f t="shared" si="5"/>
        <v>227814.11523128569</v>
      </c>
      <c r="J60" s="297">
        <f t="shared" si="12"/>
        <v>6834.4234569385808</v>
      </c>
      <c r="K60" s="298">
        <f t="shared" si="13"/>
        <v>-6834.4234569383043</v>
      </c>
      <c r="L60" s="297">
        <f t="shared" si="7"/>
        <v>-47840.964198569789</v>
      </c>
      <c r="M60" s="296">
        <f t="shared" si="15"/>
        <v>179973.15103271589</v>
      </c>
      <c r="N60" s="295">
        <f t="shared" si="14"/>
        <v>25710.450147530697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1171615.4497608996</v>
      </c>
      <c r="E61" s="297">
        <f t="shared" si="6"/>
        <v>1171615.4497608994</v>
      </c>
      <c r="F61" s="299">
        <f t="shared" si="8"/>
        <v>32544.873604469434</v>
      </c>
      <c r="G61" s="297">
        <f t="shared" si="9"/>
        <v>-1171615.4497609001</v>
      </c>
      <c r="H61" s="297">
        <f t="shared" si="10"/>
        <v>-976346.20813408319</v>
      </c>
      <c r="I61" s="297">
        <f t="shared" si="5"/>
        <v>195269.24162681622</v>
      </c>
      <c r="J61" s="297">
        <f t="shared" si="12"/>
        <v>6834.4234569385808</v>
      </c>
      <c r="K61" s="298">
        <f t="shared" si="13"/>
        <v>2.7648638933897018E-10</v>
      </c>
      <c r="L61" s="297">
        <f t="shared" si="7"/>
        <v>-41006.540741631208</v>
      </c>
      <c r="M61" s="296">
        <f t="shared" si="15"/>
        <v>154262.70088518501</v>
      </c>
      <c r="N61" s="295">
        <f t="shared" si="14"/>
        <v>-1.8917489796876907E-10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 activeCell="F30" sqref="F30"/>
    </sheetView>
  </sheetViews>
  <sheetFormatPr defaultRowHeight="15" x14ac:dyDescent="0.25"/>
  <cols>
    <col min="1" max="1" width="5.140625" bestFit="1" customWidth="1"/>
    <col min="2" max="2" width="33.42578125" bestFit="1" customWidth="1"/>
    <col min="3" max="16" width="12.5703125" bestFit="1" customWidth="1"/>
  </cols>
  <sheetData>
    <row r="1" spans="1:16" x14ac:dyDescent="0.25">
      <c r="A1" s="237" t="s">
        <v>361</v>
      </c>
    </row>
    <row r="3" spans="1:16" x14ac:dyDescent="0.25">
      <c r="B3" s="373" t="s">
        <v>294</v>
      </c>
      <c r="C3" s="372">
        <v>7.4899999999999994E-2</v>
      </c>
      <c r="G3" s="153"/>
    </row>
    <row r="4" spans="1:16" x14ac:dyDescent="0.25">
      <c r="B4" s="371" t="s">
        <v>302</v>
      </c>
      <c r="C4" s="370">
        <v>2.8799999999999999E-2</v>
      </c>
      <c r="G4" s="153"/>
    </row>
    <row r="5" spans="1:16" x14ac:dyDescent="0.25">
      <c r="B5" s="369" t="s">
        <v>301</v>
      </c>
      <c r="C5" s="368">
        <v>0.21</v>
      </c>
    </row>
    <row r="6" spans="1:16" x14ac:dyDescent="0.25">
      <c r="A6" s="255" t="s">
        <v>300</v>
      </c>
      <c r="J6" s="253"/>
      <c r="K6" s="253"/>
      <c r="L6" s="253"/>
      <c r="M6" s="253"/>
      <c r="N6" s="253"/>
      <c r="O6" s="253"/>
      <c r="P6" s="253"/>
    </row>
    <row r="7" spans="1:16" x14ac:dyDescent="0.25">
      <c r="A7" s="178" t="s">
        <v>299</v>
      </c>
      <c r="B7" s="178" t="s">
        <v>298</v>
      </c>
      <c r="C7" s="367">
        <v>43555</v>
      </c>
      <c r="D7" s="367">
        <v>43585</v>
      </c>
      <c r="E7" s="367">
        <v>43616</v>
      </c>
      <c r="F7" s="367">
        <v>43646</v>
      </c>
      <c r="G7" s="367">
        <v>43677</v>
      </c>
      <c r="H7" s="367">
        <v>43708</v>
      </c>
      <c r="I7" s="367">
        <v>43738</v>
      </c>
      <c r="J7" s="367">
        <v>43769</v>
      </c>
      <c r="K7" s="367">
        <v>43799</v>
      </c>
      <c r="L7" s="367">
        <v>43830</v>
      </c>
      <c r="M7" s="367">
        <v>43861</v>
      </c>
      <c r="N7" s="367">
        <v>43890</v>
      </c>
      <c r="O7" s="367">
        <v>43921</v>
      </c>
      <c r="P7" s="367">
        <v>43951</v>
      </c>
    </row>
    <row r="9" spans="1:16" x14ac:dyDescent="0.25">
      <c r="A9">
        <v>1</v>
      </c>
      <c r="B9" s="152" t="s">
        <v>362</v>
      </c>
    </row>
    <row r="10" spans="1:16" x14ac:dyDescent="0.25">
      <c r="A10">
        <v>2</v>
      </c>
      <c r="B10" t="s">
        <v>297</v>
      </c>
      <c r="C10" s="236">
        <f>C26+C42</f>
        <v>16472886.358219998</v>
      </c>
      <c r="D10" s="236">
        <f t="shared" ref="D10:P12" si="0">D26+D42</f>
        <v>16472886.358219998</v>
      </c>
      <c r="E10" s="236">
        <f t="shared" si="0"/>
        <v>16472886.358219998</v>
      </c>
      <c r="F10" s="236">
        <f t="shared" si="0"/>
        <v>16472886.358219998</v>
      </c>
      <c r="G10" s="236">
        <f t="shared" si="0"/>
        <v>16472886.358219998</v>
      </c>
      <c r="H10" s="236">
        <f t="shared" si="0"/>
        <v>16472886.358219998</v>
      </c>
      <c r="I10" s="236">
        <f t="shared" si="0"/>
        <v>16472886.358219998</v>
      </c>
      <c r="J10" s="236">
        <f t="shared" si="0"/>
        <v>16472886.358219998</v>
      </c>
      <c r="K10" s="236">
        <f t="shared" si="0"/>
        <v>16472886.358219998</v>
      </c>
      <c r="L10" s="236">
        <f t="shared" si="0"/>
        <v>16472886.358219998</v>
      </c>
      <c r="M10" s="236">
        <f t="shared" si="0"/>
        <v>16472886.358219998</v>
      </c>
      <c r="N10" s="236">
        <f t="shared" si="0"/>
        <v>16472886.358219998</v>
      </c>
      <c r="O10" s="236">
        <f t="shared" si="0"/>
        <v>16472886.358219998</v>
      </c>
      <c r="P10" s="236">
        <f t="shared" si="0"/>
        <v>16472886.703719998</v>
      </c>
    </row>
    <row r="11" spans="1:16" x14ac:dyDescent="0.25">
      <c r="A11">
        <v>3</v>
      </c>
      <c r="B11" t="s">
        <v>22</v>
      </c>
      <c r="C11" s="154">
        <f t="shared" ref="C11:N12" si="1">C27+C43</f>
        <v>-2379022.1025321204</v>
      </c>
      <c r="D11" s="154">
        <f t="shared" si="1"/>
        <v>-2546803.1551509122</v>
      </c>
      <c r="E11" s="154">
        <f t="shared" si="1"/>
        <v>-2714584.2077697041</v>
      </c>
      <c r="F11" s="154">
        <f t="shared" si="1"/>
        <v>-2882365.2603884954</v>
      </c>
      <c r="G11" s="154">
        <f t="shared" si="1"/>
        <v>-3050146.3130072867</v>
      </c>
      <c r="H11" s="154">
        <f t="shared" si="1"/>
        <v>-3217927.365626079</v>
      </c>
      <c r="I11" s="154">
        <f t="shared" si="1"/>
        <v>-3385708.4182448708</v>
      </c>
      <c r="J11" s="154">
        <f t="shared" si="1"/>
        <v>-3553489.4708636622</v>
      </c>
      <c r="K11" s="154">
        <f t="shared" si="1"/>
        <v>-3721270.523482454</v>
      </c>
      <c r="L11" s="154">
        <f t="shared" si="1"/>
        <v>-3889051.5761012458</v>
      </c>
      <c r="M11" s="154">
        <f t="shared" si="1"/>
        <v>-4056832.6287200372</v>
      </c>
      <c r="N11" s="154">
        <f t="shared" si="1"/>
        <v>-4224613.681338829</v>
      </c>
      <c r="O11" s="154">
        <f t="shared" si="0"/>
        <v>-4392394.7339576203</v>
      </c>
      <c r="P11" s="154">
        <f t="shared" si="0"/>
        <v>-4560175.7865764126</v>
      </c>
    </row>
    <row r="12" spans="1:16" x14ac:dyDescent="0.25">
      <c r="A12">
        <v>4</v>
      </c>
      <c r="B12" t="s">
        <v>296</v>
      </c>
      <c r="C12" s="154">
        <f t="shared" si="1"/>
        <v>-1264924.1766327838</v>
      </c>
      <c r="D12" s="154">
        <f t="shared" si="1"/>
        <v>-1299177.9307079297</v>
      </c>
      <c r="E12" s="154">
        <f t="shared" si="1"/>
        <v>-1333431.684783075</v>
      </c>
      <c r="F12" s="154">
        <f t="shared" si="1"/>
        <v>-1367685.4388582211</v>
      </c>
      <c r="G12" s="154">
        <f t="shared" si="1"/>
        <v>-1401939.1929333671</v>
      </c>
      <c r="H12" s="154">
        <f t="shared" si="1"/>
        <v>-1436192.9470085127</v>
      </c>
      <c r="I12" s="154">
        <f t="shared" si="1"/>
        <v>-1470446.7010836585</v>
      </c>
      <c r="J12" s="154">
        <f t="shared" si="1"/>
        <v>-1504700.4551588041</v>
      </c>
      <c r="K12" s="154">
        <f t="shared" si="1"/>
        <v>-1538954.2092339501</v>
      </c>
      <c r="L12" s="154">
        <f t="shared" si="1"/>
        <v>-1573207.9633090959</v>
      </c>
      <c r="M12" s="154">
        <f t="shared" si="1"/>
        <v>-1597882.570988751</v>
      </c>
      <c r="N12" s="154">
        <f t="shared" si="1"/>
        <v>-1622557.1786684061</v>
      </c>
      <c r="O12" s="154">
        <f t="shared" si="0"/>
        <v>-1647231.7863480614</v>
      </c>
      <c r="P12" s="154">
        <f t="shared" si="0"/>
        <v>-1671906.3940277169</v>
      </c>
    </row>
    <row r="13" spans="1:16" x14ac:dyDescent="0.25">
      <c r="A13">
        <v>5</v>
      </c>
      <c r="B13" t="s">
        <v>295</v>
      </c>
      <c r="C13" s="360">
        <f>SUM(C10:C12)</f>
        <v>12828940.079055093</v>
      </c>
      <c r="D13" s="360">
        <f>SUM(D10:D12)</f>
        <v>12626905.272361156</v>
      </c>
      <c r="E13" s="360">
        <f t="shared" ref="E13:P13" si="2">SUM(E10:E12)</f>
        <v>12424870.465667218</v>
      </c>
      <c r="F13" s="360">
        <f t="shared" si="2"/>
        <v>12222835.658973282</v>
      </c>
      <c r="G13" s="360">
        <f t="shared" si="2"/>
        <v>12020800.852279345</v>
      </c>
      <c r="H13" s="360">
        <f t="shared" si="2"/>
        <v>11818766.045585405</v>
      </c>
      <c r="I13" s="360">
        <f t="shared" si="2"/>
        <v>11616731.238891469</v>
      </c>
      <c r="J13" s="360">
        <f t="shared" si="2"/>
        <v>11414696.432197532</v>
      </c>
      <c r="K13" s="360">
        <f t="shared" si="2"/>
        <v>11212661.625503592</v>
      </c>
      <c r="L13" s="360">
        <f t="shared" si="2"/>
        <v>11010626.818809656</v>
      </c>
      <c r="M13" s="360">
        <f t="shared" si="2"/>
        <v>10818171.15851121</v>
      </c>
      <c r="N13" s="360">
        <f t="shared" si="2"/>
        <v>10625715.498212762</v>
      </c>
      <c r="O13" s="360">
        <f t="shared" si="2"/>
        <v>10433259.837914316</v>
      </c>
      <c r="P13" s="360">
        <f t="shared" si="2"/>
        <v>10240804.523115868</v>
      </c>
    </row>
    <row r="14" spans="1:16" x14ac:dyDescent="0.25">
      <c r="A14">
        <v>6</v>
      </c>
      <c r="B14" t="s">
        <v>294</v>
      </c>
      <c r="C14" s="153">
        <f>$C$3</f>
        <v>7.4899999999999994E-2</v>
      </c>
      <c r="D14" s="153">
        <f>$C$3</f>
        <v>7.4899999999999994E-2</v>
      </c>
      <c r="E14" s="153">
        <f t="shared" ref="E14:P14" si="3">$C$3</f>
        <v>7.4899999999999994E-2</v>
      </c>
      <c r="F14" s="153">
        <f t="shared" si="3"/>
        <v>7.4899999999999994E-2</v>
      </c>
      <c r="G14" s="153">
        <f t="shared" si="3"/>
        <v>7.4899999999999994E-2</v>
      </c>
      <c r="H14" s="153">
        <f t="shared" si="3"/>
        <v>7.4899999999999994E-2</v>
      </c>
      <c r="I14" s="153">
        <f t="shared" si="3"/>
        <v>7.4899999999999994E-2</v>
      </c>
      <c r="J14" s="153">
        <f t="shared" si="3"/>
        <v>7.4899999999999994E-2</v>
      </c>
      <c r="K14" s="153">
        <f t="shared" si="3"/>
        <v>7.4899999999999994E-2</v>
      </c>
      <c r="L14" s="153">
        <f t="shared" si="3"/>
        <v>7.4899999999999994E-2</v>
      </c>
      <c r="M14" s="153">
        <f t="shared" si="3"/>
        <v>7.4899999999999994E-2</v>
      </c>
      <c r="N14" s="153">
        <f t="shared" si="3"/>
        <v>7.4899999999999994E-2</v>
      </c>
      <c r="O14" s="153">
        <f t="shared" si="3"/>
        <v>7.4899999999999994E-2</v>
      </c>
      <c r="P14" s="153">
        <f t="shared" si="3"/>
        <v>7.4899999999999994E-2</v>
      </c>
    </row>
    <row r="15" spans="1:16" x14ac:dyDescent="0.25">
      <c r="A15">
        <v>7</v>
      </c>
      <c r="B15" t="s">
        <v>293</v>
      </c>
      <c r="C15" s="154">
        <f>C13*C14</f>
        <v>960887.61192122637</v>
      </c>
      <c r="D15" s="154">
        <f>D13*D14</f>
        <v>945755.20489985053</v>
      </c>
      <c r="E15" s="154">
        <f t="shared" ref="E15:P15" si="4">E13*E14</f>
        <v>930622.79787847458</v>
      </c>
      <c r="F15" s="154">
        <f t="shared" si="4"/>
        <v>915490.39085709874</v>
      </c>
      <c r="G15" s="154">
        <f t="shared" si="4"/>
        <v>900357.98383572279</v>
      </c>
      <c r="H15" s="154">
        <f t="shared" si="4"/>
        <v>885225.57681434683</v>
      </c>
      <c r="I15" s="154">
        <f t="shared" si="4"/>
        <v>870093.16979297099</v>
      </c>
      <c r="J15" s="154">
        <f t="shared" si="4"/>
        <v>854960.76277159504</v>
      </c>
      <c r="K15" s="154">
        <f t="shared" si="4"/>
        <v>839828.35575021897</v>
      </c>
      <c r="L15" s="154">
        <f t="shared" si="4"/>
        <v>824695.94872884324</v>
      </c>
      <c r="M15" s="154">
        <f t="shared" si="4"/>
        <v>810281.01977248956</v>
      </c>
      <c r="N15" s="154">
        <f t="shared" si="4"/>
        <v>795866.09081613587</v>
      </c>
      <c r="O15" s="154">
        <f t="shared" si="4"/>
        <v>781451.16185978218</v>
      </c>
      <c r="P15" s="154">
        <f t="shared" si="4"/>
        <v>767036.25878137839</v>
      </c>
    </row>
    <row r="16" spans="1:16" x14ac:dyDescent="0.25">
      <c r="A16">
        <v>8</v>
      </c>
      <c r="B16" t="s">
        <v>292</v>
      </c>
      <c r="C16" s="154">
        <f>-C13*$C$4*$C$5</f>
        <v>-77589.429598125193</v>
      </c>
      <c r="D16" s="154">
        <f>-D13*$C$4*$C$5</f>
        <v>-76367.523087240261</v>
      </c>
      <c r="E16" s="154">
        <f t="shared" ref="E16:P16" si="5">-E13*$C$4*$C$5</f>
        <v>-75145.616576355329</v>
      </c>
      <c r="F16" s="154">
        <f t="shared" si="5"/>
        <v>-73923.710065470412</v>
      </c>
      <c r="G16" s="154">
        <f t="shared" si="5"/>
        <v>-72701.803554585465</v>
      </c>
      <c r="H16" s="154">
        <f t="shared" si="5"/>
        <v>-71479.897043700519</v>
      </c>
      <c r="I16" s="154">
        <f t="shared" si="5"/>
        <v>-70257.990532815602</v>
      </c>
      <c r="J16" s="154">
        <f t="shared" si="5"/>
        <v>-69036.08402193067</v>
      </c>
      <c r="K16" s="154">
        <f t="shared" si="5"/>
        <v>-67814.177511045724</v>
      </c>
      <c r="L16" s="154">
        <f t="shared" si="5"/>
        <v>-66592.271000160807</v>
      </c>
      <c r="M16" s="154">
        <f t="shared" si="5"/>
        <v>-65428.299166675795</v>
      </c>
      <c r="N16" s="154">
        <f t="shared" si="5"/>
        <v>-64264.327333190784</v>
      </c>
      <c r="O16" s="154">
        <f t="shared" si="5"/>
        <v>-63100.35549970578</v>
      </c>
      <c r="P16" s="154">
        <f t="shared" si="5"/>
        <v>-61936.385755804768</v>
      </c>
    </row>
    <row r="17" spans="1:16" x14ac:dyDescent="0.25">
      <c r="A17">
        <v>9</v>
      </c>
      <c r="B17" t="s">
        <v>291</v>
      </c>
      <c r="C17" s="360">
        <f>SUM(C15:C16)</f>
        <v>883298.18232310121</v>
      </c>
      <c r="D17" s="360">
        <f>SUM(D15:D16)</f>
        <v>869387.68181261024</v>
      </c>
      <c r="E17" s="360">
        <f t="shared" ref="E17:P17" si="6">SUM(E15:E16)</f>
        <v>855477.18130211928</v>
      </c>
      <c r="F17" s="360">
        <f t="shared" si="6"/>
        <v>841566.68079162831</v>
      </c>
      <c r="G17" s="360">
        <f t="shared" si="6"/>
        <v>827656.18028113735</v>
      </c>
      <c r="H17" s="360">
        <f t="shared" si="6"/>
        <v>813745.67977064627</v>
      </c>
      <c r="I17" s="360">
        <f t="shared" si="6"/>
        <v>799835.17926015542</v>
      </c>
      <c r="J17" s="360">
        <f t="shared" si="6"/>
        <v>785924.67874966434</v>
      </c>
      <c r="K17" s="360">
        <f t="shared" si="6"/>
        <v>772014.17823917326</v>
      </c>
      <c r="L17" s="360">
        <f t="shared" si="6"/>
        <v>758103.67772868241</v>
      </c>
      <c r="M17" s="360">
        <f t="shared" si="6"/>
        <v>744852.72060581378</v>
      </c>
      <c r="N17" s="360">
        <f t="shared" si="6"/>
        <v>731601.76348294504</v>
      </c>
      <c r="O17" s="360">
        <f t="shared" si="6"/>
        <v>718350.80636007641</v>
      </c>
      <c r="P17" s="360">
        <f t="shared" si="6"/>
        <v>705099.87302557367</v>
      </c>
    </row>
    <row r="18" spans="1:16" x14ac:dyDescent="0.25">
      <c r="A18">
        <v>10</v>
      </c>
      <c r="B18" t="s">
        <v>290</v>
      </c>
      <c r="C18" s="400">
        <f>1-$C$5</f>
        <v>0.79</v>
      </c>
      <c r="D18" s="361">
        <f>1-$C$5</f>
        <v>0.79</v>
      </c>
      <c r="E18" s="361">
        <f t="shared" ref="E18:P18" si="7">1-$C$5</f>
        <v>0.79</v>
      </c>
      <c r="F18" s="361">
        <f t="shared" si="7"/>
        <v>0.79</v>
      </c>
      <c r="G18" s="361">
        <f t="shared" si="7"/>
        <v>0.79</v>
      </c>
      <c r="H18" s="361">
        <f t="shared" si="7"/>
        <v>0.79</v>
      </c>
      <c r="I18" s="361">
        <f t="shared" si="7"/>
        <v>0.79</v>
      </c>
      <c r="J18" s="361">
        <f t="shared" si="7"/>
        <v>0.79</v>
      </c>
      <c r="K18" s="361">
        <f t="shared" si="7"/>
        <v>0.79</v>
      </c>
      <c r="L18" s="361">
        <f t="shared" si="7"/>
        <v>0.79</v>
      </c>
      <c r="M18" s="361">
        <f t="shared" si="7"/>
        <v>0.79</v>
      </c>
      <c r="N18" s="361">
        <f t="shared" si="7"/>
        <v>0.79</v>
      </c>
      <c r="O18" s="361">
        <f t="shared" si="7"/>
        <v>0.79</v>
      </c>
      <c r="P18" s="361">
        <f t="shared" si="7"/>
        <v>0.79</v>
      </c>
    </row>
    <row r="19" spans="1:16" x14ac:dyDescent="0.25">
      <c r="A19">
        <v>11</v>
      </c>
      <c r="B19" t="s">
        <v>289</v>
      </c>
      <c r="C19" s="401">
        <f>C17/C18</f>
        <v>1118098.9649659509</v>
      </c>
      <c r="D19" s="360">
        <f>D17/D18</f>
        <v>1100490.7364716586</v>
      </c>
      <c r="E19" s="360">
        <f t="shared" ref="E19:P19" si="8">E17/E18</f>
        <v>1082882.5079773662</v>
      </c>
      <c r="F19" s="360">
        <f t="shared" si="8"/>
        <v>1065274.2794830739</v>
      </c>
      <c r="G19" s="360">
        <f t="shared" si="8"/>
        <v>1047666.0509887814</v>
      </c>
      <c r="H19" s="360">
        <f t="shared" si="8"/>
        <v>1030057.8224944889</v>
      </c>
      <c r="I19" s="360">
        <f t="shared" si="8"/>
        <v>1012449.5940001967</v>
      </c>
      <c r="J19" s="360">
        <f t="shared" si="8"/>
        <v>994841.36550590419</v>
      </c>
      <c r="K19" s="360">
        <f t="shared" si="8"/>
        <v>977233.13701161172</v>
      </c>
      <c r="L19" s="360">
        <f t="shared" si="8"/>
        <v>959624.90851731948</v>
      </c>
      <c r="M19" s="360">
        <f t="shared" si="8"/>
        <v>942851.54507065029</v>
      </c>
      <c r="N19" s="360">
        <f t="shared" si="8"/>
        <v>926078.18162398099</v>
      </c>
      <c r="O19" s="360">
        <f t="shared" si="8"/>
        <v>909304.81817731191</v>
      </c>
      <c r="P19" s="360">
        <f t="shared" si="8"/>
        <v>892531.48484249832</v>
      </c>
    </row>
    <row r="20" spans="1:16" x14ac:dyDescent="0.25">
      <c r="A20">
        <v>12</v>
      </c>
      <c r="B20" t="s">
        <v>288</v>
      </c>
      <c r="C20" s="362">
        <v>12</v>
      </c>
      <c r="D20" s="154">
        <v>12</v>
      </c>
      <c r="E20" s="154">
        <v>12</v>
      </c>
      <c r="F20" s="154">
        <v>12</v>
      </c>
      <c r="G20" s="154">
        <v>12</v>
      </c>
      <c r="H20" s="154">
        <v>12</v>
      </c>
      <c r="I20" s="154">
        <v>12</v>
      </c>
      <c r="J20" s="154">
        <v>12</v>
      </c>
      <c r="K20" s="154">
        <v>12</v>
      </c>
      <c r="L20" s="154">
        <v>12</v>
      </c>
      <c r="M20" s="154">
        <v>12</v>
      </c>
      <c r="N20" s="154">
        <v>12</v>
      </c>
      <c r="O20" s="154">
        <v>12</v>
      </c>
      <c r="P20" s="154">
        <v>12</v>
      </c>
    </row>
    <row r="21" spans="1:16" ht="15.75" thickBot="1" x14ac:dyDescent="0.3">
      <c r="A21">
        <v>13</v>
      </c>
      <c r="B21" t="s">
        <v>287</v>
      </c>
      <c r="C21" s="366">
        <f>C19/C20</f>
        <v>93174.913747162573</v>
      </c>
      <c r="D21" s="359">
        <f>D19/D20</f>
        <v>91707.561372638214</v>
      </c>
      <c r="E21" s="359">
        <f t="shared" ref="E21:P21" si="9">E19/E20</f>
        <v>90240.208998113856</v>
      </c>
      <c r="F21" s="359">
        <f t="shared" si="9"/>
        <v>88772.856623589483</v>
      </c>
      <c r="G21" s="359">
        <f t="shared" si="9"/>
        <v>87305.50424906511</v>
      </c>
      <c r="H21" s="359">
        <f t="shared" si="9"/>
        <v>85838.151874540737</v>
      </c>
      <c r="I21" s="359">
        <f t="shared" si="9"/>
        <v>84370.799500016394</v>
      </c>
      <c r="J21" s="359">
        <f t="shared" si="9"/>
        <v>82903.447125492021</v>
      </c>
      <c r="K21" s="359">
        <f t="shared" si="9"/>
        <v>81436.094750967648</v>
      </c>
      <c r="L21" s="359">
        <f t="shared" si="9"/>
        <v>79968.74237644329</v>
      </c>
      <c r="M21" s="359">
        <f t="shared" si="9"/>
        <v>78570.962089220862</v>
      </c>
      <c r="N21" s="359">
        <f t="shared" si="9"/>
        <v>77173.18180199842</v>
      </c>
      <c r="O21" s="359">
        <f t="shared" si="9"/>
        <v>75775.401514775993</v>
      </c>
      <c r="P21" s="359">
        <f t="shared" si="9"/>
        <v>74377.623736874855</v>
      </c>
    </row>
    <row r="22" spans="1:16" ht="15.75" thickTop="1" x14ac:dyDescent="0.25">
      <c r="A22">
        <v>14</v>
      </c>
      <c r="C22" s="365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</row>
    <row r="23" spans="1:16" ht="15.75" thickBot="1" x14ac:dyDescent="0.3">
      <c r="A23">
        <v>15</v>
      </c>
      <c r="B23" t="s">
        <v>286</v>
      </c>
      <c r="C23" s="364">
        <f>SUM($C21:C21)</f>
        <v>93174.913747162573</v>
      </c>
      <c r="D23" s="357">
        <f>SUM($C21:D21)</f>
        <v>184882.47511980077</v>
      </c>
      <c r="E23" s="357">
        <f>SUM($C21:E21)</f>
        <v>275122.68411791464</v>
      </c>
      <c r="F23" s="357">
        <f>SUM($C21:F21)</f>
        <v>363895.54074150411</v>
      </c>
      <c r="G23" s="357">
        <f>SUM($C21:G21)</f>
        <v>451201.04499056924</v>
      </c>
      <c r="H23" s="357">
        <f>SUM($C21:H21)</f>
        <v>537039.19686510996</v>
      </c>
      <c r="I23" s="357">
        <f>SUM($C21:I21)</f>
        <v>621409.99636512634</v>
      </c>
      <c r="J23" s="357">
        <f>SUM($C21:J21)</f>
        <v>704313.44349061837</v>
      </c>
      <c r="K23" s="357">
        <f>SUM($C21:K21)</f>
        <v>785749.53824158607</v>
      </c>
      <c r="L23" s="357">
        <f>SUM($C21:L21)</f>
        <v>865718.28061802941</v>
      </c>
      <c r="M23" s="357">
        <f>SUM($C21:M21)</f>
        <v>944289.24270725029</v>
      </c>
      <c r="N23" s="357">
        <f>SUM($C21:N21)</f>
        <v>1021462.4245092487</v>
      </c>
      <c r="O23" s="357">
        <f>SUM($C21:O21)</f>
        <v>1097237.8260240247</v>
      </c>
      <c r="P23" s="357">
        <f>SUM($C21:P21)</f>
        <v>1171615.4497608996</v>
      </c>
    </row>
    <row r="24" spans="1:16" ht="15.75" thickTop="1" x14ac:dyDescent="0.25">
      <c r="A24">
        <v>16</v>
      </c>
    </row>
    <row r="25" spans="1:16" x14ac:dyDescent="0.25">
      <c r="A25">
        <v>17</v>
      </c>
      <c r="B25" s="152" t="s">
        <v>363</v>
      </c>
      <c r="C25" s="1"/>
    </row>
    <row r="26" spans="1:16" x14ac:dyDescent="0.25">
      <c r="A26">
        <v>18</v>
      </c>
      <c r="B26" t="s">
        <v>297</v>
      </c>
      <c r="C26" s="363">
        <v>1575936.3100000003</v>
      </c>
      <c r="D26" s="236">
        <v>1575936.3100000003</v>
      </c>
      <c r="E26" s="236">
        <v>1575936.3100000003</v>
      </c>
      <c r="F26" s="236">
        <v>1575936.3100000003</v>
      </c>
      <c r="G26" s="236">
        <v>1575936.3100000003</v>
      </c>
      <c r="H26" s="236">
        <v>1575936.3100000003</v>
      </c>
      <c r="I26" s="236">
        <v>1575936.3100000003</v>
      </c>
      <c r="J26" s="236">
        <v>1575936.3100000003</v>
      </c>
      <c r="K26" s="236">
        <v>1575936.3100000003</v>
      </c>
      <c r="L26" s="236">
        <v>1575936.3100000003</v>
      </c>
      <c r="M26" s="236">
        <v>1575936.3100000003</v>
      </c>
      <c r="N26" s="236">
        <v>1575936.3100000003</v>
      </c>
      <c r="O26" s="236">
        <v>1575936.3100000003</v>
      </c>
      <c r="P26" s="236">
        <v>1575936.3100000003</v>
      </c>
    </row>
    <row r="27" spans="1:16" x14ac:dyDescent="0.25">
      <c r="A27">
        <v>19</v>
      </c>
      <c r="B27" t="s">
        <v>22</v>
      </c>
      <c r="C27" s="154">
        <v>-55943.470783083321</v>
      </c>
      <c r="D27" s="154">
        <v>-60953.644874458318</v>
      </c>
      <c r="E27" s="154">
        <v>-65963.818965833314</v>
      </c>
      <c r="F27" s="154">
        <v>-70973.99305720831</v>
      </c>
      <c r="G27" s="154">
        <v>-75984.167148583307</v>
      </c>
      <c r="H27" s="154">
        <v>-80994.341239958303</v>
      </c>
      <c r="I27" s="154">
        <v>-86004.515331333299</v>
      </c>
      <c r="J27" s="154">
        <v>-91014.689422708296</v>
      </c>
      <c r="K27" s="154">
        <v>-96024.863514083292</v>
      </c>
      <c r="L27" s="154">
        <v>-101035.03760545829</v>
      </c>
      <c r="M27" s="154">
        <v>-106045.21169683328</v>
      </c>
      <c r="N27" s="154">
        <v>-111055.38578820828</v>
      </c>
      <c r="O27" s="154">
        <v>-116065.55987958328</v>
      </c>
      <c r="P27" s="154">
        <v>-121075.73397095827</v>
      </c>
    </row>
    <row r="28" spans="1:16" x14ac:dyDescent="0.25">
      <c r="A28">
        <v>20</v>
      </c>
      <c r="B28" t="s">
        <v>296</v>
      </c>
      <c r="C28" s="154">
        <v>-59758.121251668221</v>
      </c>
      <c r="D28" s="154">
        <v>-64168.977932126596</v>
      </c>
      <c r="E28" s="154">
        <v>-68579.834612584964</v>
      </c>
      <c r="F28" s="154">
        <v>-72990.691293043346</v>
      </c>
      <c r="G28" s="154">
        <v>-77401.547973501729</v>
      </c>
      <c r="H28" s="154">
        <v>-81812.404653960097</v>
      </c>
      <c r="I28" s="154">
        <v>-86223.261334418465</v>
      </c>
      <c r="J28" s="154">
        <v>-90634.118014876833</v>
      </c>
      <c r="K28" s="154">
        <v>-95044.974695335215</v>
      </c>
      <c r="L28" s="154">
        <v>-99455.831375793583</v>
      </c>
      <c r="M28" s="154">
        <v>-102398.22571020195</v>
      </c>
      <c r="N28" s="154">
        <v>-105340.62004461029</v>
      </c>
      <c r="O28" s="154">
        <v>-108283.0143790187</v>
      </c>
      <c r="P28" s="154">
        <v>-111225.4087134271</v>
      </c>
    </row>
    <row r="29" spans="1:16" x14ac:dyDescent="0.25">
      <c r="A29">
        <v>21</v>
      </c>
      <c r="B29" t="s">
        <v>295</v>
      </c>
      <c r="C29" s="360">
        <f>SUM(C26:C28)</f>
        <v>1460234.7179652487</v>
      </c>
      <c r="D29" s="360">
        <f t="shared" ref="D29:P29" si="10">SUM(D26:D28)</f>
        <v>1450813.6871934154</v>
      </c>
      <c r="E29" s="360">
        <f t="shared" si="10"/>
        <v>1441392.656421582</v>
      </c>
      <c r="F29" s="360">
        <f t="shared" si="10"/>
        <v>1431971.6256497486</v>
      </c>
      <c r="G29" s="360">
        <f t="shared" si="10"/>
        <v>1422550.5948779152</v>
      </c>
      <c r="H29" s="360">
        <f t="shared" si="10"/>
        <v>1413129.5641060818</v>
      </c>
      <c r="I29" s="360">
        <f t="shared" si="10"/>
        <v>1403708.5333342485</v>
      </c>
      <c r="J29" s="360">
        <f t="shared" si="10"/>
        <v>1394287.5025624153</v>
      </c>
      <c r="K29" s="360">
        <f t="shared" si="10"/>
        <v>1384866.4717905819</v>
      </c>
      <c r="L29" s="360">
        <f t="shared" si="10"/>
        <v>1375445.4410187486</v>
      </c>
      <c r="M29" s="360">
        <f t="shared" si="10"/>
        <v>1367492.8725929649</v>
      </c>
      <c r="N29" s="360">
        <f t="shared" si="10"/>
        <v>1359540.3041671817</v>
      </c>
      <c r="O29" s="360">
        <f t="shared" si="10"/>
        <v>1351587.7357413983</v>
      </c>
      <c r="P29" s="360">
        <f t="shared" si="10"/>
        <v>1343635.1673156149</v>
      </c>
    </row>
    <row r="30" spans="1:16" x14ac:dyDescent="0.25">
      <c r="A30">
        <v>22</v>
      </c>
      <c r="B30" t="s">
        <v>294</v>
      </c>
      <c r="C30" s="153">
        <f>$C$3</f>
        <v>7.4899999999999994E-2</v>
      </c>
      <c r="D30" s="153">
        <f t="shared" ref="D30:P30" si="11">$C$3</f>
        <v>7.4899999999999994E-2</v>
      </c>
      <c r="E30" s="153">
        <f t="shared" si="11"/>
        <v>7.4899999999999994E-2</v>
      </c>
      <c r="F30" s="153">
        <f t="shared" si="11"/>
        <v>7.4899999999999994E-2</v>
      </c>
      <c r="G30" s="153">
        <f t="shared" si="11"/>
        <v>7.4899999999999994E-2</v>
      </c>
      <c r="H30" s="153">
        <f t="shared" si="11"/>
        <v>7.4899999999999994E-2</v>
      </c>
      <c r="I30" s="153">
        <f t="shared" si="11"/>
        <v>7.4899999999999994E-2</v>
      </c>
      <c r="J30" s="153">
        <f t="shared" si="11"/>
        <v>7.4899999999999994E-2</v>
      </c>
      <c r="K30" s="153">
        <f t="shared" si="11"/>
        <v>7.4899999999999994E-2</v>
      </c>
      <c r="L30" s="153">
        <f t="shared" si="11"/>
        <v>7.4899999999999994E-2</v>
      </c>
      <c r="M30" s="153">
        <f t="shared" si="11"/>
        <v>7.4899999999999994E-2</v>
      </c>
      <c r="N30" s="153">
        <f t="shared" si="11"/>
        <v>7.4899999999999994E-2</v>
      </c>
      <c r="O30" s="153">
        <f t="shared" si="11"/>
        <v>7.4899999999999994E-2</v>
      </c>
      <c r="P30" s="153">
        <f t="shared" si="11"/>
        <v>7.4899999999999994E-2</v>
      </c>
    </row>
    <row r="31" spans="1:16" x14ac:dyDescent="0.25">
      <c r="A31">
        <v>23</v>
      </c>
      <c r="B31" t="s">
        <v>293</v>
      </c>
      <c r="C31" s="154">
        <f>C29*C30</f>
        <v>109371.58037559713</v>
      </c>
      <c r="D31" s="154">
        <f t="shared" ref="D31:P31" si="12">D29*D30</f>
        <v>108665.9451707868</v>
      </c>
      <c r="E31" s="154">
        <f t="shared" si="12"/>
        <v>107960.30996597648</v>
      </c>
      <c r="F31" s="154">
        <f t="shared" si="12"/>
        <v>107254.67476116616</v>
      </c>
      <c r="G31" s="154">
        <f t="shared" si="12"/>
        <v>106549.03955635584</v>
      </c>
      <c r="H31" s="154">
        <f t="shared" si="12"/>
        <v>105843.40435154553</v>
      </c>
      <c r="I31" s="154">
        <f t="shared" si="12"/>
        <v>105137.7691467352</v>
      </c>
      <c r="J31" s="154">
        <f t="shared" si="12"/>
        <v>104432.1339419249</v>
      </c>
      <c r="K31" s="154">
        <f t="shared" si="12"/>
        <v>103726.49873711458</v>
      </c>
      <c r="L31" s="154">
        <f t="shared" si="12"/>
        <v>103020.86353230425</v>
      </c>
      <c r="M31" s="154">
        <f t="shared" si="12"/>
        <v>102425.21615721306</v>
      </c>
      <c r="N31" s="154">
        <f t="shared" si="12"/>
        <v>101829.5687821219</v>
      </c>
      <c r="O31" s="154">
        <f t="shared" si="12"/>
        <v>101233.92140703072</v>
      </c>
      <c r="P31" s="154">
        <f t="shared" si="12"/>
        <v>100638.27403193955</v>
      </c>
    </row>
    <row r="32" spans="1:16" x14ac:dyDescent="0.25">
      <c r="A32">
        <v>24</v>
      </c>
      <c r="B32" t="s">
        <v>292</v>
      </c>
      <c r="C32" s="154">
        <f>-C29*$C$4*$C$5</f>
        <v>-8831.4995742538231</v>
      </c>
      <c r="D32" s="154">
        <f t="shared" ref="D32:P32" si="13">-D29*$C$4*$C$5</f>
        <v>-8774.5211801457754</v>
      </c>
      <c r="E32" s="154">
        <f t="shared" si="13"/>
        <v>-8717.5427860377276</v>
      </c>
      <c r="F32" s="154">
        <f t="shared" si="13"/>
        <v>-8660.5643919296799</v>
      </c>
      <c r="G32" s="154">
        <f t="shared" si="13"/>
        <v>-8603.5859978216304</v>
      </c>
      <c r="H32" s="154">
        <f t="shared" si="13"/>
        <v>-8546.6076037135826</v>
      </c>
      <c r="I32" s="154">
        <f t="shared" si="13"/>
        <v>-8489.6292096055349</v>
      </c>
      <c r="J32" s="154">
        <f t="shared" si="13"/>
        <v>-8432.6508154974872</v>
      </c>
      <c r="K32" s="154">
        <f t="shared" si="13"/>
        <v>-8375.6724213894395</v>
      </c>
      <c r="L32" s="154">
        <f t="shared" si="13"/>
        <v>-8318.6940272813918</v>
      </c>
      <c r="M32" s="154">
        <f t="shared" si="13"/>
        <v>-8270.5968934422508</v>
      </c>
      <c r="N32" s="154">
        <f t="shared" si="13"/>
        <v>-8222.4997596031153</v>
      </c>
      <c r="O32" s="154">
        <f t="shared" si="13"/>
        <v>-8174.4026257639771</v>
      </c>
      <c r="P32" s="154">
        <f t="shared" si="13"/>
        <v>-8126.305491924838</v>
      </c>
    </row>
    <row r="33" spans="1:16" x14ac:dyDescent="0.25">
      <c r="A33">
        <v>25</v>
      </c>
      <c r="B33" t="s">
        <v>291</v>
      </c>
      <c r="C33" s="360">
        <f>SUM(C31:C32)</f>
        <v>100540.08080134331</v>
      </c>
      <c r="D33" s="360">
        <f t="shared" ref="D33:P33" si="14">SUM(D31:D32)</f>
        <v>99891.423990641022</v>
      </c>
      <c r="E33" s="360">
        <f t="shared" si="14"/>
        <v>99242.767179938761</v>
      </c>
      <c r="F33" s="360">
        <f t="shared" si="14"/>
        <v>98594.11036923647</v>
      </c>
      <c r="G33" s="360">
        <f t="shared" si="14"/>
        <v>97945.453558534209</v>
      </c>
      <c r="H33" s="360">
        <f t="shared" si="14"/>
        <v>97296.796747831948</v>
      </c>
      <c r="I33" s="360">
        <f t="shared" si="14"/>
        <v>96648.139937129657</v>
      </c>
      <c r="J33" s="360">
        <f t="shared" si="14"/>
        <v>95999.483126427411</v>
      </c>
      <c r="K33" s="360">
        <f t="shared" si="14"/>
        <v>95350.826315725149</v>
      </c>
      <c r="L33" s="360">
        <f t="shared" si="14"/>
        <v>94702.169505022859</v>
      </c>
      <c r="M33" s="360">
        <f t="shared" si="14"/>
        <v>94154.619263770801</v>
      </c>
      <c r="N33" s="360">
        <f t="shared" si="14"/>
        <v>93607.069022518786</v>
      </c>
      <c r="O33" s="360">
        <f t="shared" si="14"/>
        <v>93059.518781266743</v>
      </c>
      <c r="P33" s="360">
        <f t="shared" si="14"/>
        <v>92511.968540014714</v>
      </c>
    </row>
    <row r="34" spans="1:16" x14ac:dyDescent="0.25">
      <c r="A34">
        <v>26</v>
      </c>
      <c r="B34" t="s">
        <v>290</v>
      </c>
      <c r="C34" s="361">
        <f>1-$C$5</f>
        <v>0.79</v>
      </c>
      <c r="D34" s="361">
        <f t="shared" ref="D34:P34" si="15">1-$C$5</f>
        <v>0.79</v>
      </c>
      <c r="E34" s="361">
        <f t="shared" si="15"/>
        <v>0.79</v>
      </c>
      <c r="F34" s="361">
        <f t="shared" si="15"/>
        <v>0.79</v>
      </c>
      <c r="G34" s="361">
        <f t="shared" si="15"/>
        <v>0.79</v>
      </c>
      <c r="H34" s="361">
        <f t="shared" si="15"/>
        <v>0.79</v>
      </c>
      <c r="I34" s="361">
        <f t="shared" si="15"/>
        <v>0.79</v>
      </c>
      <c r="J34" s="361">
        <f t="shared" si="15"/>
        <v>0.79</v>
      </c>
      <c r="K34" s="361">
        <f t="shared" si="15"/>
        <v>0.79</v>
      </c>
      <c r="L34" s="361">
        <f t="shared" si="15"/>
        <v>0.79</v>
      </c>
      <c r="M34" s="361">
        <f t="shared" si="15"/>
        <v>0.79</v>
      </c>
      <c r="N34" s="361">
        <f t="shared" si="15"/>
        <v>0.79</v>
      </c>
      <c r="O34" s="361">
        <f t="shared" si="15"/>
        <v>0.79</v>
      </c>
      <c r="P34" s="361">
        <f t="shared" si="15"/>
        <v>0.79</v>
      </c>
    </row>
    <row r="35" spans="1:16" x14ac:dyDescent="0.25">
      <c r="A35">
        <v>27</v>
      </c>
      <c r="B35" t="s">
        <v>289</v>
      </c>
      <c r="C35" s="360">
        <f>C33/C34</f>
        <v>127265.92506499153</v>
      </c>
      <c r="D35" s="360">
        <f t="shared" ref="D35:P35" si="16">D33/D34</f>
        <v>126444.8404944823</v>
      </c>
      <c r="E35" s="360">
        <f t="shared" si="16"/>
        <v>125623.75592397311</v>
      </c>
      <c r="F35" s="360">
        <f t="shared" si="16"/>
        <v>124802.67135346388</v>
      </c>
      <c r="G35" s="360">
        <f t="shared" si="16"/>
        <v>123981.58678295469</v>
      </c>
      <c r="H35" s="360">
        <f t="shared" si="16"/>
        <v>123160.5022124455</v>
      </c>
      <c r="I35" s="360">
        <f t="shared" si="16"/>
        <v>122339.41764193626</v>
      </c>
      <c r="J35" s="360">
        <f t="shared" si="16"/>
        <v>121518.3330714271</v>
      </c>
      <c r="K35" s="360">
        <f t="shared" si="16"/>
        <v>120697.24850091791</v>
      </c>
      <c r="L35" s="360">
        <f t="shared" si="16"/>
        <v>119876.16393040867</v>
      </c>
      <c r="M35" s="360">
        <f t="shared" si="16"/>
        <v>119183.06235920354</v>
      </c>
      <c r="N35" s="360">
        <f t="shared" si="16"/>
        <v>118489.96078799845</v>
      </c>
      <c r="O35" s="360">
        <f t="shared" si="16"/>
        <v>117796.85921679334</v>
      </c>
      <c r="P35" s="360">
        <f t="shared" si="16"/>
        <v>117103.75764558824</v>
      </c>
    </row>
    <row r="36" spans="1:16" x14ac:dyDescent="0.25">
      <c r="A36">
        <v>28</v>
      </c>
      <c r="B36" t="s">
        <v>288</v>
      </c>
      <c r="C36" s="154">
        <v>12</v>
      </c>
      <c r="D36" s="154">
        <v>12</v>
      </c>
      <c r="E36" s="154">
        <v>12</v>
      </c>
      <c r="F36" s="154">
        <v>12</v>
      </c>
      <c r="G36" s="154">
        <v>12</v>
      </c>
      <c r="H36" s="154">
        <v>12</v>
      </c>
      <c r="I36" s="154">
        <v>12</v>
      </c>
      <c r="J36" s="154">
        <v>12</v>
      </c>
      <c r="K36" s="154">
        <v>12</v>
      </c>
      <c r="L36" s="154">
        <v>12</v>
      </c>
      <c r="M36" s="154">
        <v>12</v>
      </c>
      <c r="N36" s="154">
        <v>12</v>
      </c>
      <c r="O36" s="154">
        <v>12</v>
      </c>
      <c r="P36" s="154">
        <v>12</v>
      </c>
    </row>
    <row r="37" spans="1:16" ht="15.75" thickBot="1" x14ac:dyDescent="0.3">
      <c r="A37">
        <v>29</v>
      </c>
      <c r="B37" t="s">
        <v>287</v>
      </c>
      <c r="C37" s="359">
        <f>C35/C36</f>
        <v>10605.493755415961</v>
      </c>
      <c r="D37" s="359">
        <f t="shared" ref="D37:P37" si="17">D35/D36</f>
        <v>10537.070041206858</v>
      </c>
      <c r="E37" s="359">
        <f t="shared" si="17"/>
        <v>10468.646326997759</v>
      </c>
      <c r="F37" s="359">
        <f t="shared" si="17"/>
        <v>10400.222612788657</v>
      </c>
      <c r="G37" s="359">
        <f t="shared" si="17"/>
        <v>10331.798898579558</v>
      </c>
      <c r="H37" s="359">
        <f t="shared" si="17"/>
        <v>10263.375184370458</v>
      </c>
      <c r="I37" s="359">
        <f t="shared" si="17"/>
        <v>10194.951470161355</v>
      </c>
      <c r="J37" s="359">
        <f t="shared" si="17"/>
        <v>10126.527755952258</v>
      </c>
      <c r="K37" s="359">
        <f t="shared" si="17"/>
        <v>10058.10404174316</v>
      </c>
      <c r="L37" s="359">
        <f t="shared" si="17"/>
        <v>9989.6803275340553</v>
      </c>
      <c r="M37" s="359">
        <f t="shared" si="17"/>
        <v>9931.9218632669617</v>
      </c>
      <c r="N37" s="359">
        <f t="shared" si="17"/>
        <v>9874.1633989998718</v>
      </c>
      <c r="O37" s="359">
        <f t="shared" si="17"/>
        <v>9816.4049347327782</v>
      </c>
      <c r="P37" s="359">
        <f t="shared" si="17"/>
        <v>9758.6464704656864</v>
      </c>
    </row>
    <row r="38" spans="1:16" ht="15.75" thickTop="1" x14ac:dyDescent="0.25">
      <c r="A38">
        <v>30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</row>
    <row r="39" spans="1:16" ht="15.75" thickBot="1" x14ac:dyDescent="0.3">
      <c r="A39">
        <v>31</v>
      </c>
      <c r="B39" t="s">
        <v>286</v>
      </c>
      <c r="C39" s="357">
        <f>SUM($C37:C37)</f>
        <v>10605.493755415961</v>
      </c>
      <c r="D39" s="357">
        <f>SUM($C37:D37)</f>
        <v>21142.563796622817</v>
      </c>
      <c r="E39" s="357">
        <f>SUM($C37:E37)</f>
        <v>31611.210123620578</v>
      </c>
      <c r="F39" s="357">
        <f>SUM($C37:F37)</f>
        <v>42011.432736409231</v>
      </c>
      <c r="G39" s="357">
        <f>SUM($C37:G37)</f>
        <v>52343.231634988791</v>
      </c>
      <c r="H39" s="357">
        <f>SUM($C37:H37)</f>
        <v>62606.606819359251</v>
      </c>
      <c r="I39" s="357">
        <f>SUM($C37:I37)</f>
        <v>72801.558289520603</v>
      </c>
      <c r="J39" s="357">
        <f>SUM($C37:J37)</f>
        <v>82928.086045472854</v>
      </c>
      <c r="K39" s="357">
        <f>SUM($C37:K37)</f>
        <v>92986.190087216019</v>
      </c>
      <c r="L39" s="357">
        <f>SUM($C37:L37)</f>
        <v>102975.87041475007</v>
      </c>
      <c r="M39" s="357">
        <f>SUM($C37:M37)</f>
        <v>112907.79227801703</v>
      </c>
      <c r="N39" s="357">
        <f>SUM($C37:N37)</f>
        <v>122781.9556770169</v>
      </c>
      <c r="O39" s="357">
        <f>SUM($C37:O37)</f>
        <v>132598.36061174967</v>
      </c>
      <c r="P39" s="357">
        <f>SUM($C37:P37)</f>
        <v>142357.00708221536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52" t="s">
        <v>364</v>
      </c>
    </row>
    <row r="42" spans="1:16" x14ac:dyDescent="0.25">
      <c r="A42">
        <v>34</v>
      </c>
      <c r="B42" t="s">
        <v>297</v>
      </c>
      <c r="C42" s="236">
        <v>14896950.048219997</v>
      </c>
      <c r="D42" s="236">
        <v>14896950.048219997</v>
      </c>
      <c r="E42" s="236">
        <v>14896950.048219997</v>
      </c>
      <c r="F42" s="236">
        <v>14896950.048219997</v>
      </c>
      <c r="G42" s="236">
        <v>14896950.048219997</v>
      </c>
      <c r="H42" s="236">
        <v>14896950.048219997</v>
      </c>
      <c r="I42" s="236">
        <v>14896950.048219997</v>
      </c>
      <c r="J42" s="236">
        <v>14896950.048219997</v>
      </c>
      <c r="K42" s="236">
        <v>14896950.048219997</v>
      </c>
      <c r="L42" s="236">
        <v>14896950.048219997</v>
      </c>
      <c r="M42" s="236">
        <v>14896950.048219997</v>
      </c>
      <c r="N42" s="236">
        <v>14896950.048219997</v>
      </c>
      <c r="O42" s="236">
        <v>14896950.048219997</v>
      </c>
      <c r="P42" s="236">
        <v>14896950.393719997</v>
      </c>
    </row>
    <row r="43" spans="1:16" x14ac:dyDescent="0.25">
      <c r="A43">
        <v>35</v>
      </c>
      <c r="B43" t="s">
        <v>22</v>
      </c>
      <c r="C43" s="154">
        <v>-2323078.6317490372</v>
      </c>
      <c r="D43" s="154">
        <v>-2485849.510276454</v>
      </c>
      <c r="E43" s="154">
        <v>-2648620.3888038709</v>
      </c>
      <c r="F43" s="154">
        <v>-2811391.2673312873</v>
      </c>
      <c r="G43" s="154">
        <v>-2974162.1458587036</v>
      </c>
      <c r="H43" s="154">
        <v>-3136933.0243861205</v>
      </c>
      <c r="I43" s="154">
        <v>-3299703.9029135373</v>
      </c>
      <c r="J43" s="154">
        <v>-3462474.7814409537</v>
      </c>
      <c r="K43" s="154">
        <v>-3625245.6599683706</v>
      </c>
      <c r="L43" s="154">
        <v>-3788016.5384957874</v>
      </c>
      <c r="M43" s="154">
        <v>-3950787.4170232038</v>
      </c>
      <c r="N43" s="154">
        <v>-4113558.2955506206</v>
      </c>
      <c r="O43" s="154">
        <v>-4276329.174078037</v>
      </c>
      <c r="P43" s="154">
        <v>-4439100.0526054539</v>
      </c>
    </row>
    <row r="44" spans="1:16" x14ac:dyDescent="0.25">
      <c r="A44">
        <v>36</v>
      </c>
      <c r="B44" t="s">
        <v>296</v>
      </c>
      <c r="C44" s="154">
        <v>-1205166.0553811155</v>
      </c>
      <c r="D44" s="154">
        <v>-1235008.9527758032</v>
      </c>
      <c r="E44" s="154">
        <v>-1264851.8501704901</v>
      </c>
      <c r="F44" s="154">
        <v>-1294694.7475651777</v>
      </c>
      <c r="G44" s="154">
        <v>-1324537.6449598654</v>
      </c>
      <c r="H44" s="154">
        <v>-1354380.5423545525</v>
      </c>
      <c r="I44" s="154">
        <v>-1384223.4397492399</v>
      </c>
      <c r="J44" s="154">
        <v>-1414066.3371439273</v>
      </c>
      <c r="K44" s="154">
        <v>-1443909.234538615</v>
      </c>
      <c r="L44" s="154">
        <v>-1473752.1319333024</v>
      </c>
      <c r="M44" s="154">
        <v>-1495484.345278549</v>
      </c>
      <c r="N44" s="154">
        <v>-1517216.5586237959</v>
      </c>
      <c r="O44" s="154">
        <v>-1538948.7719690427</v>
      </c>
      <c r="P44" s="154">
        <v>-1560680.9853142898</v>
      </c>
    </row>
    <row r="45" spans="1:16" x14ac:dyDescent="0.25">
      <c r="A45">
        <v>37</v>
      </c>
      <c r="B45" t="s">
        <v>295</v>
      </c>
      <c r="C45" s="360">
        <f>SUM(C42:C44)</f>
        <v>11368705.361089844</v>
      </c>
      <c r="D45" s="360">
        <f t="shared" ref="D45:P45" si="18">SUM(D42:D44)</f>
        <v>11176091.585167741</v>
      </c>
      <c r="E45" s="360">
        <f t="shared" si="18"/>
        <v>10983477.809245637</v>
      </c>
      <c r="F45" s="360">
        <f t="shared" si="18"/>
        <v>10790864.033323532</v>
      </c>
      <c r="G45" s="360">
        <f t="shared" si="18"/>
        <v>10598250.257401429</v>
      </c>
      <c r="H45" s="360">
        <f t="shared" si="18"/>
        <v>10405636.481479324</v>
      </c>
      <c r="I45" s="360">
        <f t="shared" si="18"/>
        <v>10213022.70555722</v>
      </c>
      <c r="J45" s="360">
        <f t="shared" si="18"/>
        <v>10020408.929635115</v>
      </c>
      <c r="K45" s="360">
        <f t="shared" si="18"/>
        <v>9827795.1537130121</v>
      </c>
      <c r="L45" s="360">
        <f t="shared" si="18"/>
        <v>9635181.3777909093</v>
      </c>
      <c r="M45" s="360">
        <f t="shared" si="18"/>
        <v>9450678.2859182432</v>
      </c>
      <c r="N45" s="360">
        <f t="shared" si="18"/>
        <v>9266175.1940455809</v>
      </c>
      <c r="O45" s="360">
        <f t="shared" si="18"/>
        <v>9081672.1021729186</v>
      </c>
      <c r="P45" s="360">
        <f t="shared" si="18"/>
        <v>8897169.3558002543</v>
      </c>
    </row>
    <row r="46" spans="1:16" x14ac:dyDescent="0.25">
      <c r="A46">
        <v>38</v>
      </c>
      <c r="B46" t="s">
        <v>294</v>
      </c>
      <c r="C46" s="153">
        <f>$C$3</f>
        <v>7.4899999999999994E-2</v>
      </c>
      <c r="D46" s="153">
        <f t="shared" ref="D46:P46" si="19">$C$3</f>
        <v>7.4899999999999994E-2</v>
      </c>
      <c r="E46" s="153">
        <f t="shared" si="19"/>
        <v>7.4899999999999994E-2</v>
      </c>
      <c r="F46" s="153">
        <f t="shared" si="19"/>
        <v>7.4899999999999994E-2</v>
      </c>
      <c r="G46" s="153">
        <f t="shared" si="19"/>
        <v>7.4899999999999994E-2</v>
      </c>
      <c r="H46" s="153">
        <f t="shared" si="19"/>
        <v>7.4899999999999994E-2</v>
      </c>
      <c r="I46" s="153">
        <f t="shared" si="19"/>
        <v>7.4899999999999994E-2</v>
      </c>
      <c r="J46" s="153">
        <f t="shared" si="19"/>
        <v>7.4899999999999994E-2</v>
      </c>
      <c r="K46" s="153">
        <f t="shared" si="19"/>
        <v>7.4899999999999994E-2</v>
      </c>
      <c r="L46" s="153">
        <f t="shared" si="19"/>
        <v>7.4899999999999994E-2</v>
      </c>
      <c r="M46" s="153">
        <f t="shared" si="19"/>
        <v>7.4899999999999994E-2</v>
      </c>
      <c r="N46" s="153">
        <f t="shared" si="19"/>
        <v>7.4899999999999994E-2</v>
      </c>
      <c r="O46" s="153">
        <f t="shared" si="19"/>
        <v>7.4899999999999994E-2</v>
      </c>
      <c r="P46" s="153">
        <f t="shared" si="19"/>
        <v>7.4899999999999994E-2</v>
      </c>
    </row>
    <row r="47" spans="1:16" x14ac:dyDescent="0.25">
      <c r="A47">
        <v>39</v>
      </c>
      <c r="B47" t="s">
        <v>293</v>
      </c>
      <c r="C47" s="154">
        <f>C45*C46</f>
        <v>851516.03154562926</v>
      </c>
      <c r="D47" s="154">
        <f t="shared" ref="D47:P47" si="20">D45*D46</f>
        <v>837089.25972906372</v>
      </c>
      <c r="E47" s="154">
        <f t="shared" si="20"/>
        <v>822662.48791249818</v>
      </c>
      <c r="F47" s="154">
        <f t="shared" si="20"/>
        <v>808235.71609593253</v>
      </c>
      <c r="G47" s="154">
        <f t="shared" si="20"/>
        <v>793808.94427936699</v>
      </c>
      <c r="H47" s="154">
        <f t="shared" si="20"/>
        <v>779382.17246280133</v>
      </c>
      <c r="I47" s="154">
        <f t="shared" si="20"/>
        <v>764955.40064623568</v>
      </c>
      <c r="J47" s="154">
        <f t="shared" si="20"/>
        <v>750528.62882967002</v>
      </c>
      <c r="K47" s="154">
        <f t="shared" si="20"/>
        <v>736101.8570131046</v>
      </c>
      <c r="L47" s="154">
        <f t="shared" si="20"/>
        <v>721675.08519653906</v>
      </c>
      <c r="M47" s="154">
        <f t="shared" si="20"/>
        <v>707855.80361527635</v>
      </c>
      <c r="N47" s="154">
        <f t="shared" si="20"/>
        <v>694036.52203401399</v>
      </c>
      <c r="O47" s="154">
        <f t="shared" si="20"/>
        <v>680217.24045275152</v>
      </c>
      <c r="P47" s="154">
        <f t="shared" si="20"/>
        <v>666397.98474943894</v>
      </c>
    </row>
    <row r="48" spans="1:16" x14ac:dyDescent="0.25">
      <c r="A48">
        <v>40</v>
      </c>
      <c r="B48" t="s">
        <v>292</v>
      </c>
      <c r="C48" s="154">
        <f>-C45*$C$4*$C$5</f>
        <v>-68757.930023871362</v>
      </c>
      <c r="D48" s="154">
        <f t="shared" ref="D48:P48" si="21">-D45*$C$4*$C$5</f>
        <v>-67593.001907094498</v>
      </c>
      <c r="E48" s="154">
        <f t="shared" si="21"/>
        <v>-66428.073790317605</v>
      </c>
      <c r="F48" s="154">
        <f t="shared" si="21"/>
        <v>-65263.145673540719</v>
      </c>
      <c r="G48" s="154">
        <f t="shared" si="21"/>
        <v>-64098.217556763833</v>
      </c>
      <c r="H48" s="154">
        <f t="shared" si="21"/>
        <v>-62933.289439986947</v>
      </c>
      <c r="I48" s="154">
        <f t="shared" si="21"/>
        <v>-61768.361323210062</v>
      </c>
      <c r="J48" s="154">
        <f t="shared" si="21"/>
        <v>-60603.433206433176</v>
      </c>
      <c r="K48" s="154">
        <f t="shared" si="21"/>
        <v>-59438.50508965629</v>
      </c>
      <c r="L48" s="154">
        <f t="shared" si="21"/>
        <v>-58273.576972879411</v>
      </c>
      <c r="M48" s="154">
        <f t="shared" si="21"/>
        <v>-57157.702273233532</v>
      </c>
      <c r="N48" s="154">
        <f t="shared" si="21"/>
        <v>-56041.827573587667</v>
      </c>
      <c r="O48" s="154">
        <f t="shared" si="21"/>
        <v>-54925.952873941809</v>
      </c>
      <c r="P48" s="154">
        <f t="shared" si="21"/>
        <v>-53810.080263879929</v>
      </c>
    </row>
    <row r="49" spans="1:16" x14ac:dyDescent="0.25">
      <c r="A49">
        <v>41</v>
      </c>
      <c r="B49" t="s">
        <v>291</v>
      </c>
      <c r="C49" s="360">
        <f>SUM(C47:C48)</f>
        <v>782758.1015217579</v>
      </c>
      <c r="D49" s="360">
        <f t="shared" ref="D49:P49" si="22">SUM(D47:D48)</f>
        <v>769496.25782196922</v>
      </c>
      <c r="E49" s="360">
        <f t="shared" si="22"/>
        <v>756234.41412218055</v>
      </c>
      <c r="F49" s="360">
        <f t="shared" si="22"/>
        <v>742972.57042239176</v>
      </c>
      <c r="G49" s="360">
        <f t="shared" si="22"/>
        <v>729710.7267226032</v>
      </c>
      <c r="H49" s="360">
        <f t="shared" si="22"/>
        <v>716448.88302281441</v>
      </c>
      <c r="I49" s="360">
        <f t="shared" si="22"/>
        <v>703187.03932302562</v>
      </c>
      <c r="J49" s="360">
        <f t="shared" si="22"/>
        <v>689925.19562323682</v>
      </c>
      <c r="K49" s="360">
        <f t="shared" si="22"/>
        <v>676663.35192344827</v>
      </c>
      <c r="L49" s="360">
        <f t="shared" si="22"/>
        <v>663401.50822365959</v>
      </c>
      <c r="M49" s="360">
        <f t="shared" si="22"/>
        <v>650698.10134204279</v>
      </c>
      <c r="N49" s="360">
        <f t="shared" si="22"/>
        <v>637994.69446042634</v>
      </c>
      <c r="O49" s="360">
        <f t="shared" si="22"/>
        <v>625291.28757880966</v>
      </c>
      <c r="P49" s="360">
        <f t="shared" si="22"/>
        <v>612587.90448555897</v>
      </c>
    </row>
    <row r="50" spans="1:16" x14ac:dyDescent="0.25">
      <c r="A50">
        <v>42</v>
      </c>
      <c r="B50" t="s">
        <v>290</v>
      </c>
      <c r="C50" s="361">
        <f>1-$C$5</f>
        <v>0.79</v>
      </c>
      <c r="D50" s="361">
        <f t="shared" ref="D50:P50" si="23">1-$C$5</f>
        <v>0.79</v>
      </c>
      <c r="E50" s="361">
        <f t="shared" si="23"/>
        <v>0.79</v>
      </c>
      <c r="F50" s="361">
        <f t="shared" si="23"/>
        <v>0.79</v>
      </c>
      <c r="G50" s="361">
        <f t="shared" si="23"/>
        <v>0.79</v>
      </c>
      <c r="H50" s="361">
        <f t="shared" si="23"/>
        <v>0.79</v>
      </c>
      <c r="I50" s="361">
        <f t="shared" si="23"/>
        <v>0.79</v>
      </c>
      <c r="J50" s="361">
        <f t="shared" si="23"/>
        <v>0.79</v>
      </c>
      <c r="K50" s="361">
        <f t="shared" si="23"/>
        <v>0.79</v>
      </c>
      <c r="L50" s="361">
        <f t="shared" si="23"/>
        <v>0.79</v>
      </c>
      <c r="M50" s="361">
        <f t="shared" si="23"/>
        <v>0.79</v>
      </c>
      <c r="N50" s="361">
        <f t="shared" si="23"/>
        <v>0.79</v>
      </c>
      <c r="O50" s="361">
        <f t="shared" si="23"/>
        <v>0.79</v>
      </c>
      <c r="P50" s="361">
        <f t="shared" si="23"/>
        <v>0.79</v>
      </c>
    </row>
    <row r="51" spans="1:16" x14ac:dyDescent="0.25">
      <c r="A51">
        <v>43</v>
      </c>
      <c r="B51" t="s">
        <v>289</v>
      </c>
      <c r="C51" s="360">
        <f>C49/C50</f>
        <v>990833.03990095935</v>
      </c>
      <c r="D51" s="360">
        <f t="shared" ref="D51:P51" si="24">D49/D50</f>
        <v>974045.89597717614</v>
      </c>
      <c r="E51" s="360">
        <f t="shared" si="24"/>
        <v>957258.75205339305</v>
      </c>
      <c r="F51" s="360">
        <f t="shared" si="24"/>
        <v>940471.60812960973</v>
      </c>
      <c r="G51" s="360">
        <f t="shared" si="24"/>
        <v>923684.46420582675</v>
      </c>
      <c r="H51" s="360">
        <f t="shared" si="24"/>
        <v>906897.32028204354</v>
      </c>
      <c r="I51" s="360">
        <f t="shared" si="24"/>
        <v>890110.17635826021</v>
      </c>
      <c r="J51" s="360">
        <f t="shared" si="24"/>
        <v>873323.03243447701</v>
      </c>
      <c r="K51" s="360">
        <f t="shared" si="24"/>
        <v>856535.88851069391</v>
      </c>
      <c r="L51" s="360">
        <f t="shared" si="24"/>
        <v>839748.74458691082</v>
      </c>
      <c r="M51" s="360">
        <f t="shared" si="24"/>
        <v>823668.48271144659</v>
      </c>
      <c r="N51" s="360">
        <f t="shared" si="24"/>
        <v>807588.22083598271</v>
      </c>
      <c r="O51" s="360">
        <f t="shared" si="24"/>
        <v>791507.95896051847</v>
      </c>
      <c r="P51" s="360">
        <f t="shared" si="24"/>
        <v>775427.72719691007</v>
      </c>
    </row>
    <row r="52" spans="1:16" x14ac:dyDescent="0.25">
      <c r="A52">
        <v>44</v>
      </c>
      <c r="B52" t="s">
        <v>288</v>
      </c>
      <c r="C52" s="154">
        <v>12</v>
      </c>
      <c r="D52" s="154">
        <v>12</v>
      </c>
      <c r="E52" s="154">
        <v>12</v>
      </c>
      <c r="F52" s="154">
        <v>12</v>
      </c>
      <c r="G52" s="154">
        <v>12</v>
      </c>
      <c r="H52" s="154">
        <v>12</v>
      </c>
      <c r="I52" s="154">
        <v>12</v>
      </c>
      <c r="J52" s="154">
        <v>12</v>
      </c>
      <c r="K52" s="154">
        <v>12</v>
      </c>
      <c r="L52" s="154">
        <v>12</v>
      </c>
      <c r="M52" s="154">
        <v>12</v>
      </c>
      <c r="N52" s="154">
        <v>12</v>
      </c>
      <c r="O52" s="154">
        <v>12</v>
      </c>
      <c r="P52" s="154">
        <v>12</v>
      </c>
    </row>
    <row r="53" spans="1:16" ht="15.75" thickBot="1" x14ac:dyDescent="0.3">
      <c r="A53">
        <v>45</v>
      </c>
      <c r="B53" t="s">
        <v>287</v>
      </c>
      <c r="C53" s="359">
        <f>C51/C52</f>
        <v>82569.419991746618</v>
      </c>
      <c r="D53" s="359">
        <f t="shared" ref="D53:P53" si="25">D51/D52</f>
        <v>81170.491331431345</v>
      </c>
      <c r="E53" s="359">
        <f t="shared" si="25"/>
        <v>79771.562671116088</v>
      </c>
      <c r="F53" s="359">
        <f t="shared" si="25"/>
        <v>78372.634010800815</v>
      </c>
      <c r="G53" s="359">
        <f t="shared" si="25"/>
        <v>76973.705350485558</v>
      </c>
      <c r="H53" s="359">
        <f t="shared" si="25"/>
        <v>75574.7766901703</v>
      </c>
      <c r="I53" s="359">
        <f t="shared" si="25"/>
        <v>74175.848029855013</v>
      </c>
      <c r="J53" s="359">
        <f t="shared" si="25"/>
        <v>72776.919369539755</v>
      </c>
      <c r="K53" s="359">
        <f t="shared" si="25"/>
        <v>71377.990709224498</v>
      </c>
      <c r="L53" s="359">
        <f t="shared" si="25"/>
        <v>69979.06204890924</v>
      </c>
      <c r="M53" s="359">
        <f t="shared" si="25"/>
        <v>68639.040225953882</v>
      </c>
      <c r="N53" s="359">
        <f t="shared" si="25"/>
        <v>67299.018402998554</v>
      </c>
      <c r="O53" s="359">
        <f t="shared" si="25"/>
        <v>65958.996580043211</v>
      </c>
      <c r="P53" s="359">
        <f t="shared" si="25"/>
        <v>64618.977266409172</v>
      </c>
    </row>
    <row r="54" spans="1:16" ht="15.75" thickTop="1" x14ac:dyDescent="0.25">
      <c r="A54">
        <v>46</v>
      </c>
      <c r="C54" s="358"/>
    </row>
    <row r="55" spans="1:16" ht="15.75" thickBot="1" x14ac:dyDescent="0.3">
      <c r="A55">
        <v>47</v>
      </c>
      <c r="B55" t="s">
        <v>286</v>
      </c>
      <c r="C55" s="357">
        <f>SUM($C53:C53)</f>
        <v>82569.419991746618</v>
      </c>
      <c r="D55" s="357">
        <f>SUM($C53:D53)</f>
        <v>163739.91132317798</v>
      </c>
      <c r="E55" s="357">
        <f>SUM($C53:E53)</f>
        <v>243511.47399429407</v>
      </c>
      <c r="F55" s="357">
        <f>SUM($C53:F53)</f>
        <v>321884.10800509487</v>
      </c>
      <c r="G55" s="357">
        <f>SUM($C53:G53)</f>
        <v>398857.81335558044</v>
      </c>
      <c r="H55" s="357">
        <f>SUM($C53:H53)</f>
        <v>474432.59004575072</v>
      </c>
      <c r="I55" s="357">
        <f>SUM($C53:I53)</f>
        <v>548608.43807560578</v>
      </c>
      <c r="J55" s="357">
        <f>SUM($C53:J53)</f>
        <v>621385.35744514549</v>
      </c>
      <c r="K55" s="357">
        <f>SUM($C53:K53)</f>
        <v>692763.34815436997</v>
      </c>
      <c r="L55" s="357">
        <f>SUM($C53:L53)</f>
        <v>762742.41020327923</v>
      </c>
      <c r="M55" s="357">
        <f>SUM($C53:M53)</f>
        <v>831381.45042923314</v>
      </c>
      <c r="N55" s="357">
        <f>SUM($C53:N53)</f>
        <v>898680.46883223171</v>
      </c>
      <c r="O55" s="357">
        <f>SUM($C53:O53)</f>
        <v>964639.46541227493</v>
      </c>
      <c r="P55" s="357">
        <f>SUM($C53:P53)</f>
        <v>1029258.4426786841</v>
      </c>
    </row>
    <row r="56" spans="1:16" ht="15.75" thickTop="1" x14ac:dyDescent="0.25"/>
    <row r="57" spans="1:16" x14ac:dyDescent="0.25">
      <c r="B57" s="356" t="s">
        <v>285</v>
      </c>
      <c r="C57" s="355">
        <f>C37+C53-C21</f>
        <v>0</v>
      </c>
      <c r="D57" s="355">
        <f t="shared" ref="D57:P57" si="26">D37+D53-D21</f>
        <v>0</v>
      </c>
      <c r="E57" s="355">
        <f t="shared" si="26"/>
        <v>0</v>
      </c>
      <c r="F57" s="355">
        <f t="shared" si="26"/>
        <v>0</v>
      </c>
      <c r="G57" s="355">
        <f t="shared" si="26"/>
        <v>0</v>
      </c>
      <c r="H57" s="355">
        <f t="shared" si="26"/>
        <v>0</v>
      </c>
      <c r="I57" s="355">
        <f t="shared" si="26"/>
        <v>0</v>
      </c>
      <c r="J57" s="355">
        <f t="shared" si="26"/>
        <v>0</v>
      </c>
      <c r="K57" s="355">
        <f t="shared" si="26"/>
        <v>0</v>
      </c>
      <c r="L57" s="355">
        <f t="shared" si="26"/>
        <v>0</v>
      </c>
      <c r="M57" s="355">
        <f t="shared" si="26"/>
        <v>0</v>
      </c>
      <c r="N57" s="355">
        <f t="shared" si="26"/>
        <v>0</v>
      </c>
      <c r="O57" s="355">
        <f t="shared" si="26"/>
        <v>0</v>
      </c>
      <c r="P57" s="355">
        <f t="shared" si="26"/>
        <v>0</v>
      </c>
    </row>
    <row r="58" spans="1:16" x14ac:dyDescent="0.25">
      <c r="B58" s="356" t="s">
        <v>285</v>
      </c>
      <c r="C58" s="355">
        <f t="shared" ref="C58:P58" si="27">C39+C55-C23</f>
        <v>0</v>
      </c>
      <c r="D58" s="355">
        <f t="shared" si="27"/>
        <v>0</v>
      </c>
      <c r="E58" s="355">
        <f t="shared" si="27"/>
        <v>0</v>
      </c>
      <c r="F58" s="355">
        <f t="shared" si="27"/>
        <v>0</v>
      </c>
      <c r="G58" s="355">
        <f t="shared" si="27"/>
        <v>0</v>
      </c>
      <c r="H58" s="355">
        <f t="shared" si="27"/>
        <v>0</v>
      </c>
      <c r="I58" s="355">
        <f t="shared" si="27"/>
        <v>0</v>
      </c>
      <c r="J58" s="355">
        <f t="shared" si="27"/>
        <v>0</v>
      </c>
      <c r="K58" s="355">
        <f t="shared" si="27"/>
        <v>0</v>
      </c>
      <c r="L58" s="355">
        <f t="shared" si="27"/>
        <v>0</v>
      </c>
      <c r="M58" s="355">
        <f t="shared" si="27"/>
        <v>0</v>
      </c>
      <c r="N58" s="355">
        <f t="shared" si="27"/>
        <v>0</v>
      </c>
      <c r="O58" s="355">
        <f t="shared" si="27"/>
        <v>0</v>
      </c>
      <c r="P58" s="355">
        <f t="shared" si="27"/>
        <v>0</v>
      </c>
    </row>
    <row r="60" spans="1:16" x14ac:dyDescent="0.25">
      <c r="B60" s="356" t="s">
        <v>285</v>
      </c>
      <c r="C60" s="355">
        <v>0</v>
      </c>
      <c r="D60" s="355">
        <v>0</v>
      </c>
      <c r="E60" s="355">
        <v>0</v>
      </c>
      <c r="F60" s="355">
        <v>0</v>
      </c>
      <c r="G60" s="355">
        <v>0</v>
      </c>
      <c r="H60" s="355">
        <v>0</v>
      </c>
      <c r="I60" s="355">
        <v>0</v>
      </c>
      <c r="J60" s="355">
        <v>0</v>
      </c>
      <c r="K60" s="355">
        <v>0</v>
      </c>
      <c r="L60" s="355">
        <v>0</v>
      </c>
      <c r="M60" s="355">
        <v>0</v>
      </c>
      <c r="N60" s="355">
        <v>0</v>
      </c>
      <c r="O60" s="355">
        <v>0</v>
      </c>
      <c r="P60" s="355">
        <v>0</v>
      </c>
    </row>
    <row r="61" spans="1:16" x14ac:dyDescent="0.25">
      <c r="B61" s="356" t="s">
        <v>285</v>
      </c>
      <c r="C61" s="355">
        <v>0</v>
      </c>
      <c r="D61" s="355">
        <v>0</v>
      </c>
      <c r="E61" s="355">
        <v>0</v>
      </c>
      <c r="F61" s="355">
        <v>0</v>
      </c>
      <c r="G61" s="355">
        <v>0</v>
      </c>
      <c r="H61" s="355">
        <v>0</v>
      </c>
      <c r="I61" s="355">
        <v>0</v>
      </c>
      <c r="J61" s="355">
        <v>0</v>
      </c>
      <c r="K61" s="355">
        <v>0</v>
      </c>
      <c r="L61" s="355">
        <v>0</v>
      </c>
      <c r="M61" s="355">
        <v>0</v>
      </c>
      <c r="N61" s="355">
        <v>0</v>
      </c>
      <c r="O61" s="355">
        <v>0</v>
      </c>
      <c r="P61" s="355">
        <v>0</v>
      </c>
    </row>
  </sheetData>
  <pageMargins left="0.2" right="0.2" top="0.25" bottom="0.25" header="0.3" footer="0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85" zoomScaleNormal="85" workbookViewId="0">
      <pane xSplit="2" ySplit="9" topLeftCell="C43" activePane="bottomRight" state="frozen"/>
      <selection activeCell="E11" sqref="E11"/>
      <selection pane="topRight" activeCell="E11" sqref="E11"/>
      <selection pane="bottomLeft" activeCell="E11" sqref="E11"/>
      <selection pane="bottomRight" activeCell="N58" sqref="N58"/>
    </sheetView>
  </sheetViews>
  <sheetFormatPr defaultColWidth="9.140625" defaultRowHeight="15" outlineLevelRow="1" outlineLevelCol="1" x14ac:dyDescent="0.25"/>
  <cols>
    <col min="1" max="1" width="11.85546875" style="283" bestFit="1" customWidth="1"/>
    <col min="2" max="2" width="6.42578125" style="283" bestFit="1" customWidth="1"/>
    <col min="3" max="3" width="14.7109375" style="283" bestFit="1" customWidth="1"/>
    <col min="4" max="5" width="16.140625" style="283" bestFit="1" customWidth="1"/>
    <col min="6" max="6" width="22.28515625" style="283" bestFit="1" customWidth="1"/>
    <col min="7" max="8" width="18.28515625" style="283" bestFit="1" customWidth="1"/>
    <col min="9" max="9" width="17.7109375" style="283" bestFit="1" customWidth="1"/>
    <col min="10" max="10" width="22.7109375" style="283" bestFit="1" customWidth="1"/>
    <col min="11" max="11" width="19.42578125" style="283" bestFit="1" customWidth="1"/>
    <col min="12" max="13" width="17.5703125" style="283" bestFit="1" customWidth="1"/>
    <col min="14" max="14" width="17" style="283" bestFit="1" customWidth="1"/>
    <col min="15" max="15" width="10" style="283" customWidth="1" outlineLevel="1"/>
    <col min="17" max="16384" width="9.140625" style="283"/>
  </cols>
  <sheetData>
    <row r="1" spans="1:14" s="283" customFormat="1" ht="12.75" x14ac:dyDescent="0.2">
      <c r="A1" s="353" t="s">
        <v>284</v>
      </c>
      <c r="B1" s="351"/>
      <c r="C1" s="351"/>
      <c r="D1" s="351"/>
      <c r="E1" s="351"/>
      <c r="F1" s="351"/>
      <c r="G1" s="352"/>
      <c r="H1" s="352"/>
      <c r="I1" s="352"/>
      <c r="J1" s="343"/>
      <c r="K1" s="343"/>
      <c r="L1" s="343"/>
      <c r="M1" s="343"/>
    </row>
    <row r="2" spans="1:14" s="283" customFormat="1" ht="12.75" x14ac:dyDescent="0.2">
      <c r="A2" s="354" t="s">
        <v>359</v>
      </c>
      <c r="B2" s="351"/>
      <c r="C2" s="351"/>
      <c r="D2" s="351"/>
      <c r="E2" s="351"/>
      <c r="F2" s="351"/>
      <c r="G2" s="352"/>
      <c r="H2" s="352"/>
      <c r="I2" s="352"/>
      <c r="J2" s="343"/>
      <c r="K2" s="343"/>
      <c r="L2" s="343"/>
      <c r="M2" s="343"/>
    </row>
    <row r="3" spans="1:14" s="283" customFormat="1" ht="12.75" x14ac:dyDescent="0.2">
      <c r="A3" s="353" t="s">
        <v>283</v>
      </c>
      <c r="B3" s="351"/>
      <c r="C3" s="351"/>
      <c r="D3" s="351"/>
      <c r="E3" s="351"/>
      <c r="F3" s="351"/>
      <c r="G3" s="352"/>
      <c r="H3" s="352"/>
      <c r="I3" s="352"/>
      <c r="J3" s="343"/>
      <c r="K3" s="343"/>
      <c r="L3" s="343"/>
      <c r="M3" s="343"/>
    </row>
    <row r="4" spans="1:14" s="283" customFormat="1" ht="12.75" x14ac:dyDescent="0.2">
      <c r="A4" s="351"/>
      <c r="B4" s="351"/>
      <c r="C4" s="350"/>
      <c r="D4" s="349"/>
      <c r="E4" s="348"/>
      <c r="F4" s="347" t="s">
        <v>282</v>
      </c>
      <c r="G4" s="346"/>
      <c r="H4" s="346"/>
      <c r="I4" s="346"/>
      <c r="J4" s="344"/>
      <c r="K4" s="345"/>
      <c r="L4" s="344"/>
      <c r="M4" s="344"/>
    </row>
    <row r="5" spans="1:14" s="283" customFormat="1" ht="12.75" x14ac:dyDescent="0.2">
      <c r="A5" s="343"/>
      <c r="B5" s="343"/>
      <c r="C5" s="342" t="s">
        <v>281</v>
      </c>
      <c r="D5" s="341"/>
      <c r="E5" s="340"/>
      <c r="F5" s="339" t="s">
        <v>280</v>
      </c>
      <c r="G5" s="337"/>
      <c r="H5" s="337"/>
      <c r="I5" s="337"/>
      <c r="J5" s="338" t="s">
        <v>279</v>
      </c>
      <c r="K5" s="337"/>
      <c r="L5" s="337"/>
      <c r="M5" s="337"/>
    </row>
    <row r="6" spans="1:14" s="283" customFormat="1" x14ac:dyDescent="0.25">
      <c r="A6" s="336"/>
      <c r="B6" s="336"/>
      <c r="C6" s="335" t="s">
        <v>278</v>
      </c>
      <c r="D6" s="335" t="s">
        <v>69</v>
      </c>
      <c r="E6" s="334" t="s">
        <v>277</v>
      </c>
      <c r="F6" s="335" t="s">
        <v>275</v>
      </c>
      <c r="G6" s="335" t="s">
        <v>55</v>
      </c>
      <c r="H6" s="335" t="s">
        <v>276</v>
      </c>
      <c r="I6" s="335" t="s">
        <v>269</v>
      </c>
      <c r="J6" s="335" t="s">
        <v>275</v>
      </c>
      <c r="K6" s="335" t="s">
        <v>55</v>
      </c>
      <c r="L6" s="334" t="s">
        <v>268</v>
      </c>
      <c r="M6" s="333" t="s">
        <v>274</v>
      </c>
      <c r="N6" s="332" t="s">
        <v>69</v>
      </c>
    </row>
    <row r="7" spans="1:14" s="283" customFormat="1" x14ac:dyDescent="0.25">
      <c r="A7" s="316" t="s">
        <v>273</v>
      </c>
      <c r="B7" s="331"/>
      <c r="C7" s="316" t="s">
        <v>272</v>
      </c>
      <c r="D7" s="316"/>
      <c r="E7" s="329" t="s">
        <v>69</v>
      </c>
      <c r="F7" s="316" t="s">
        <v>271</v>
      </c>
      <c r="G7" s="316" t="s">
        <v>271</v>
      </c>
      <c r="H7" s="316" t="s">
        <v>271</v>
      </c>
      <c r="I7" s="316" t="s">
        <v>270</v>
      </c>
      <c r="J7" s="316" t="s">
        <v>25</v>
      </c>
      <c r="K7" s="329" t="s">
        <v>25</v>
      </c>
      <c r="L7" s="316" t="s">
        <v>269</v>
      </c>
      <c r="M7" s="328" t="s">
        <v>268</v>
      </c>
      <c r="N7" s="327" t="s">
        <v>267</v>
      </c>
    </row>
    <row r="8" spans="1:14" s="283" customFormat="1" x14ac:dyDescent="0.25">
      <c r="A8" s="316" t="s">
        <v>266</v>
      </c>
      <c r="B8" s="331"/>
      <c r="C8" s="316" t="s">
        <v>265</v>
      </c>
      <c r="D8" s="316" t="s">
        <v>41</v>
      </c>
      <c r="E8" s="329" t="s">
        <v>264</v>
      </c>
      <c r="F8" s="316" t="s">
        <v>263</v>
      </c>
      <c r="G8" s="330" t="s">
        <v>262</v>
      </c>
      <c r="H8" s="316" t="s">
        <v>261</v>
      </c>
      <c r="I8" s="316" t="s">
        <v>260</v>
      </c>
      <c r="J8" s="316" t="s">
        <v>259</v>
      </c>
      <c r="K8" s="329" t="s">
        <v>258</v>
      </c>
      <c r="L8" s="316" t="s">
        <v>257</v>
      </c>
      <c r="M8" s="328" t="s">
        <v>256</v>
      </c>
      <c r="N8" s="327" t="s">
        <v>255</v>
      </c>
    </row>
    <row r="9" spans="1:14" s="283" customFormat="1" x14ac:dyDescent="0.25">
      <c r="A9" s="326"/>
      <c r="B9" s="326"/>
      <c r="C9" s="322"/>
      <c r="D9" s="322"/>
      <c r="E9" s="324"/>
      <c r="F9" s="325" t="s">
        <v>254</v>
      </c>
      <c r="G9" s="324"/>
      <c r="H9" s="322"/>
      <c r="I9" s="322"/>
      <c r="J9" s="322" t="s">
        <v>253</v>
      </c>
      <c r="K9" s="323"/>
      <c r="L9" s="322"/>
      <c r="M9" s="321"/>
      <c r="N9" s="320"/>
    </row>
    <row r="10" spans="1:14" s="283" customFormat="1" outlineLevel="1" x14ac:dyDescent="0.25">
      <c r="A10" s="319"/>
      <c r="B10" s="318"/>
      <c r="C10" s="316"/>
      <c r="D10" s="310"/>
      <c r="E10" s="317"/>
      <c r="F10" s="316"/>
      <c r="G10" s="316"/>
      <c r="H10" s="310"/>
      <c r="I10" s="310"/>
      <c r="J10" s="315"/>
      <c r="K10" s="315"/>
      <c r="L10" s="315"/>
      <c r="M10" s="312"/>
      <c r="N10" s="314"/>
    </row>
    <row r="11" spans="1:14" s="283" customFormat="1" outlineLevel="1" x14ac:dyDescent="0.25">
      <c r="A11" s="301" t="s">
        <v>252</v>
      </c>
      <c r="B11" s="301"/>
      <c r="C11" s="313"/>
      <c r="D11" s="310">
        <f t="shared" ref="D11:D42" si="0">D10+C11</f>
        <v>0</v>
      </c>
      <c r="E11" s="297"/>
      <c r="F11" s="310"/>
      <c r="G11" s="310"/>
      <c r="H11" s="310"/>
      <c r="I11" s="310"/>
      <c r="J11" s="297">
        <f t="shared" ref="J11:J42" si="1">(-C11*0.21)+(F11*0.21)</f>
        <v>0</v>
      </c>
      <c r="K11" s="297">
        <f t="shared" ref="K11:K42" si="2">K10+J11</f>
        <v>0</v>
      </c>
      <c r="L11" s="297"/>
      <c r="M11" s="312"/>
      <c r="N11" s="295">
        <f t="shared" ref="N11:N42" si="3">+D11+G11+K11</f>
        <v>0</v>
      </c>
    </row>
    <row r="12" spans="1:14" s="283" customFormat="1" outlineLevel="1" x14ac:dyDescent="0.25">
      <c r="A12" s="301">
        <v>43555</v>
      </c>
      <c r="B12" s="301"/>
      <c r="C12" s="299">
        <f t="array" ref="C12:C25">TRANSPOSE('Depreciation Def''d Mar19-Apr20'!D47:Q47)</f>
        <v>339199.83594641672</v>
      </c>
      <c r="D12" s="299">
        <f t="shared" si="0"/>
        <v>339199.83594641672</v>
      </c>
      <c r="E12" s="297">
        <f>($D$12+D12+SUM($D11:D$13)*2)/24</f>
        <v>113135.51418526391</v>
      </c>
      <c r="F12" s="310"/>
      <c r="G12" s="310"/>
      <c r="H12" s="310"/>
      <c r="I12" s="297">
        <f>($D$12+H12+SUM($D11:H$13)*2)/24</f>
        <v>119038.75485165133</v>
      </c>
      <c r="J12" s="297">
        <f t="shared" si="1"/>
        <v>-71231.96554874751</v>
      </c>
      <c r="K12" s="297">
        <f t="shared" si="2"/>
        <v>-71231.96554874751</v>
      </c>
      <c r="L12" s="297">
        <f>($D$12+K12+SUM($D11:K$13)*2)/24</f>
        <v>106201.62419177148</v>
      </c>
      <c r="M12" s="296">
        <f t="shared" ref="M12:M43" si="4">L12+I12</f>
        <v>225240.37904342281</v>
      </c>
      <c r="N12" s="295">
        <f t="shared" si="3"/>
        <v>267967.8703976692</v>
      </c>
    </row>
    <row r="13" spans="1:14" s="283" customFormat="1" outlineLevel="1" x14ac:dyDescent="0.25">
      <c r="A13" s="301">
        <v>43585</v>
      </c>
      <c r="B13" s="301"/>
      <c r="C13" s="299">
        <v>340026.66238391673</v>
      </c>
      <c r="D13" s="299">
        <f t="shared" si="0"/>
        <v>679226.4983303335</v>
      </c>
      <c r="E13" s="297">
        <f>($D$12+D13+SUM($D12:D$13)*2)/24</f>
        <v>127303.29178459378</v>
      </c>
      <c r="F13" s="310"/>
      <c r="G13" s="310"/>
      <c r="H13" s="310"/>
      <c r="I13" s="297">
        <f>($D$12+H13+SUM($D12:H$13)*2)/24</f>
        <v>119038.75485165133</v>
      </c>
      <c r="J13" s="297">
        <f t="shared" si="1"/>
        <v>-71405.599100622509</v>
      </c>
      <c r="K13" s="297">
        <f t="shared" si="2"/>
        <v>-142637.56464937003</v>
      </c>
      <c r="L13" s="297">
        <f>($D$12+K13+SUM($D12:K$13)*2)/24</f>
        <v>103226.39089591219</v>
      </c>
      <c r="M13" s="296">
        <f t="shared" si="4"/>
        <v>222265.14574756351</v>
      </c>
      <c r="N13" s="295">
        <f t="shared" si="3"/>
        <v>536588.93368096347</v>
      </c>
    </row>
    <row r="14" spans="1:14" s="283" customFormat="1" outlineLevel="1" x14ac:dyDescent="0.25">
      <c r="A14" s="301">
        <v>43616</v>
      </c>
      <c r="B14" s="301"/>
      <c r="C14" s="299">
        <v>340026.66238391673</v>
      </c>
      <c r="D14" s="299">
        <f t="shared" si="0"/>
        <v>1019253.1607142503</v>
      </c>
      <c r="E14" s="297">
        <f>($D$12+D14+SUM($D$13:D13)*2)/24</f>
        <v>113204.41638838891</v>
      </c>
      <c r="F14" s="299"/>
      <c r="G14" s="297"/>
      <c r="H14" s="310"/>
      <c r="I14" s="297">
        <f>($D$12+H14+SUM($D$13:H13)*2)/24</f>
        <v>81344.14234067798</v>
      </c>
      <c r="J14" s="297">
        <f t="shared" si="1"/>
        <v>-71405.599100622509</v>
      </c>
      <c r="K14" s="297">
        <f t="shared" si="2"/>
        <v>-214043.16374999256</v>
      </c>
      <c r="L14" s="297">
        <f>($D$12+K14+SUM($D$13:K13)*2)/24</f>
        <v>64508.643109566525</v>
      </c>
      <c r="M14" s="296">
        <f t="shared" si="4"/>
        <v>145852.7854502445</v>
      </c>
      <c r="N14" s="295">
        <f t="shared" si="3"/>
        <v>805209.99696425768</v>
      </c>
    </row>
    <row r="15" spans="1:14" s="283" customFormat="1" outlineLevel="1" x14ac:dyDescent="0.25">
      <c r="A15" s="301">
        <v>43646</v>
      </c>
      <c r="B15" s="311"/>
      <c r="C15" s="299">
        <v>354599.30178245204</v>
      </c>
      <c r="D15" s="299">
        <f t="shared" si="0"/>
        <v>1373852.4624967023</v>
      </c>
      <c r="E15" s="297">
        <f>($D$12+D15+SUM($D$13:D14)*2)/24</f>
        <v>212917.15068884529</v>
      </c>
      <c r="F15" s="299"/>
      <c r="G15" s="297"/>
      <c r="H15" s="310"/>
      <c r="I15" s="297">
        <f>($D$12+H15+SUM($D$13:H14)*2)/24</f>
        <v>175715.60709923125</v>
      </c>
      <c r="J15" s="297">
        <f t="shared" si="1"/>
        <v>-74465.853374314931</v>
      </c>
      <c r="K15" s="297">
        <f t="shared" si="2"/>
        <v>-288509.01712430746</v>
      </c>
      <c r="L15" s="297">
        <f>($D$12+K15+SUM($D$13:K14)*2)/24</f>
        <v>138768.64560169526</v>
      </c>
      <c r="M15" s="296">
        <f t="shared" si="4"/>
        <v>314484.2527009265</v>
      </c>
      <c r="N15" s="295">
        <f t="shared" si="3"/>
        <v>1085343.4453723948</v>
      </c>
    </row>
    <row r="16" spans="1:14" s="283" customFormat="1" outlineLevel="1" x14ac:dyDescent="0.25">
      <c r="A16" s="301">
        <v>43677</v>
      </c>
      <c r="B16" s="301"/>
      <c r="C16" s="299">
        <v>365220.82869917556</v>
      </c>
      <c r="D16" s="299">
        <f t="shared" si="0"/>
        <v>1739073.2911958778</v>
      </c>
      <c r="E16" s="297">
        <f>($D$12+D16+SUM($D$13:D15)*2)/24</f>
        <v>342622.39042603609</v>
      </c>
      <c r="F16" s="299"/>
      <c r="G16" s="297"/>
      <c r="H16" s="297"/>
      <c r="I16" s="297">
        <f>($D$12+H16+SUM($D$13:H15)*2)/24</f>
        <v>307946.40819802688</v>
      </c>
      <c r="J16" s="297">
        <f t="shared" si="1"/>
        <v>-76696.374026826859</v>
      </c>
      <c r="K16" s="297">
        <f t="shared" si="2"/>
        <v>-365205.39115113433</v>
      </c>
      <c r="L16" s="297">
        <f>($D$12+K16+SUM($D$13:K15)*2)/24</f>
        <v>252198.82583275717</v>
      </c>
      <c r="M16" s="296">
        <f t="shared" si="4"/>
        <v>560145.23403078411</v>
      </c>
      <c r="N16" s="295">
        <f t="shared" si="3"/>
        <v>1373867.9000447434</v>
      </c>
    </row>
    <row r="17" spans="1:14" s="283" customFormat="1" outlineLevel="1" x14ac:dyDescent="0.25">
      <c r="A17" s="301">
        <v>43708</v>
      </c>
      <c r="B17" s="301"/>
      <c r="C17" s="299">
        <v>365220.82869917556</v>
      </c>
      <c r="D17" s="299">
        <f t="shared" si="0"/>
        <v>2104294.1198950536</v>
      </c>
      <c r="E17" s="297">
        <f>($D$12+D17+SUM($D$13:D16)*2)/24</f>
        <v>502762.69922149158</v>
      </c>
      <c r="F17" s="299"/>
      <c r="G17" s="297"/>
      <c r="H17" s="297"/>
      <c r="I17" s="297">
        <f>($D$12+H17+SUM($D$13:H16)*2)/24</f>
        <v>481421.04833318637</v>
      </c>
      <c r="J17" s="297">
        <f t="shared" si="1"/>
        <v>-76696.374026826859</v>
      </c>
      <c r="K17" s="297">
        <f t="shared" si="2"/>
        <v>-441901.76517796121</v>
      </c>
      <c r="L17" s="297">
        <f>($D$12+K17+SUM($D$13:K16)*2)/24</f>
        <v>411314.83730180439</v>
      </c>
      <c r="M17" s="296">
        <f t="shared" si="4"/>
        <v>892735.88563499076</v>
      </c>
      <c r="N17" s="295">
        <f t="shared" si="3"/>
        <v>1662392.3547170924</v>
      </c>
    </row>
    <row r="18" spans="1:14" s="283" customFormat="1" outlineLevel="1" x14ac:dyDescent="0.25">
      <c r="A18" s="301">
        <v>43738</v>
      </c>
      <c r="B18" s="301"/>
      <c r="C18" s="299">
        <v>365220.82869917556</v>
      </c>
      <c r="D18" s="299">
        <f t="shared" si="0"/>
        <v>2469514.9485942293</v>
      </c>
      <c r="E18" s="297">
        <f>($D$12+D18+SUM($D$13:D17)*2)/24</f>
        <v>693338.07707521168</v>
      </c>
      <c r="F18" s="299"/>
      <c r="G18" s="297"/>
      <c r="H18" s="297"/>
      <c r="I18" s="297">
        <f>($D$12+H18+SUM($D$13:H17)*2)/24</f>
        <v>698675.78325956513</v>
      </c>
      <c r="J18" s="297">
        <f t="shared" si="1"/>
        <v>-76696.374026826859</v>
      </c>
      <c r="K18" s="297">
        <f t="shared" si="2"/>
        <v>-518598.13920478808</v>
      </c>
      <c r="L18" s="297">
        <f>($D$12+K18+SUM($D$13:K17)*2)/24</f>
        <v>622275.79907109856</v>
      </c>
      <c r="M18" s="296">
        <f t="shared" si="4"/>
        <v>1320951.5823306637</v>
      </c>
      <c r="N18" s="295">
        <f t="shared" si="3"/>
        <v>1950916.8093894413</v>
      </c>
    </row>
    <row r="19" spans="1:14" s="283" customFormat="1" outlineLevel="1" x14ac:dyDescent="0.25">
      <c r="A19" s="301">
        <v>43769</v>
      </c>
      <c r="B19" s="301"/>
      <c r="C19" s="299">
        <v>365220.82869917556</v>
      </c>
      <c r="D19" s="299">
        <f t="shared" si="0"/>
        <v>2834735.777293405</v>
      </c>
      <c r="E19" s="297">
        <f>($D$12+D19+SUM($D$13:D18)*2)/24</f>
        <v>914348.52398719639</v>
      </c>
      <c r="F19" s="299"/>
      <c r="G19" s="299"/>
      <c r="H19" s="299"/>
      <c r="I19" s="299">
        <f t="shared" ref="I19:I61" si="5">E19+H19</f>
        <v>914348.52398719639</v>
      </c>
      <c r="J19" s="299">
        <f t="shared" si="1"/>
        <v>-76696.374026826859</v>
      </c>
      <c r="K19" s="297">
        <f t="shared" si="2"/>
        <v>-595294.51323161495</v>
      </c>
      <c r="L19" s="297">
        <f>(K12+K19+SUM(K13:K18)*2)/24</f>
        <v>-192013.19003731126</v>
      </c>
      <c r="M19" s="296">
        <f t="shared" si="4"/>
        <v>722335.3339498851</v>
      </c>
      <c r="N19" s="295">
        <f t="shared" si="3"/>
        <v>2239441.26406179</v>
      </c>
    </row>
    <row r="20" spans="1:14" s="283" customFormat="1" outlineLevel="1" x14ac:dyDescent="0.25">
      <c r="A20" s="301">
        <v>43799</v>
      </c>
      <c r="B20" s="301"/>
      <c r="C20" s="299">
        <v>365220.82869917556</v>
      </c>
      <c r="D20" s="299">
        <f t="shared" si="0"/>
        <v>3199956.6059925808</v>
      </c>
      <c r="E20" s="297">
        <f>(D10+D20+SUM(D11:D19)*2)/24</f>
        <v>1179927.3664552134</v>
      </c>
      <c r="F20" s="299"/>
      <c r="G20" s="299"/>
      <c r="H20" s="299"/>
      <c r="I20" s="299">
        <f t="shared" si="5"/>
        <v>1179927.3664552134</v>
      </c>
      <c r="J20" s="299">
        <f t="shared" si="1"/>
        <v>-76696.374026826859</v>
      </c>
      <c r="K20" s="297">
        <f t="shared" si="2"/>
        <v>-671990.88725844177</v>
      </c>
      <c r="L20" s="297">
        <f>(K10+K20+SUM(K11:K19)*2)/24</f>
        <v>-247784.74695559475</v>
      </c>
      <c r="M20" s="296">
        <f t="shared" si="4"/>
        <v>932142.61949961865</v>
      </c>
      <c r="N20" s="295">
        <f t="shared" si="3"/>
        <v>2527965.7187341391</v>
      </c>
    </row>
    <row r="21" spans="1:14" s="283" customFormat="1" outlineLevel="1" x14ac:dyDescent="0.25">
      <c r="A21" s="301">
        <v>43830</v>
      </c>
      <c r="B21" s="301"/>
      <c r="C21" s="299">
        <v>365220.82869917556</v>
      </c>
      <c r="D21" s="299">
        <f t="shared" si="0"/>
        <v>3565177.4346917565</v>
      </c>
      <c r="E21" s="297">
        <f t="shared" ref="E21:E61" si="6">(D9+D21+SUM(D10:D20)*2)/24</f>
        <v>1461807.9514837274</v>
      </c>
      <c r="F21" s="299"/>
      <c r="G21" s="299"/>
      <c r="H21" s="299"/>
      <c r="I21" s="299">
        <f t="shared" si="5"/>
        <v>1461807.9514837274</v>
      </c>
      <c r="J21" s="299">
        <f t="shared" si="1"/>
        <v>-76696.374026826859</v>
      </c>
      <c r="K21" s="297">
        <f t="shared" si="2"/>
        <v>-748687.26128526859</v>
      </c>
      <c r="L21" s="297">
        <f>(K12+K21+SUM(K13:K20)*2)/24</f>
        <v>-304011.6712470515</v>
      </c>
      <c r="M21" s="296">
        <f t="shared" si="4"/>
        <v>1157796.2802366759</v>
      </c>
      <c r="N21" s="295">
        <f t="shared" si="3"/>
        <v>2816490.1734064878</v>
      </c>
    </row>
    <row r="22" spans="1:14" s="283" customFormat="1" outlineLevel="1" x14ac:dyDescent="0.25">
      <c r="A22" s="301">
        <v>43861</v>
      </c>
      <c r="B22" s="301"/>
      <c r="C22" s="299">
        <v>365220.82869917556</v>
      </c>
      <c r="D22" s="299">
        <f t="shared" si="0"/>
        <v>3930398.2633909322</v>
      </c>
      <c r="E22" s="297">
        <f t="shared" si="6"/>
        <v>1774123.6055705063</v>
      </c>
      <c r="F22" s="299"/>
      <c r="G22" s="299"/>
      <c r="H22" s="299"/>
      <c r="I22" s="299">
        <f t="shared" si="5"/>
        <v>1774123.6055705063</v>
      </c>
      <c r="J22" s="299">
        <f t="shared" si="1"/>
        <v>-76696.374026826859</v>
      </c>
      <c r="K22" s="297">
        <f t="shared" si="2"/>
        <v>-825383.6353120954</v>
      </c>
      <c r="L22" s="297">
        <f t="shared" ref="L22:L61" si="7">(K10+K22+SUM(K11:K21)*2)/24</f>
        <v>-372565.95716980618</v>
      </c>
      <c r="M22" s="296">
        <f t="shared" si="4"/>
        <v>1401557.6484007002</v>
      </c>
      <c r="N22" s="295">
        <f t="shared" si="3"/>
        <v>3105014.6280788369</v>
      </c>
    </row>
    <row r="23" spans="1:14" s="283" customFormat="1" outlineLevel="1" x14ac:dyDescent="0.25">
      <c r="A23" s="301">
        <v>43890</v>
      </c>
      <c r="B23" s="301"/>
      <c r="C23" s="299">
        <v>365220.82869917556</v>
      </c>
      <c r="D23" s="299">
        <f t="shared" si="0"/>
        <v>4295619.0920901075</v>
      </c>
      <c r="E23" s="297">
        <f t="shared" si="6"/>
        <v>2116874.3287155493</v>
      </c>
      <c r="F23" s="299"/>
      <c r="G23" s="299"/>
      <c r="H23" s="299"/>
      <c r="I23" s="299">
        <f t="shared" si="5"/>
        <v>2116874.3287155493</v>
      </c>
      <c r="J23" s="299">
        <f t="shared" si="1"/>
        <v>-76696.374026826859</v>
      </c>
      <c r="K23" s="297">
        <f t="shared" si="2"/>
        <v>-902080.00933892222</v>
      </c>
      <c r="L23" s="297">
        <f t="shared" si="7"/>
        <v>-444543.6090302653</v>
      </c>
      <c r="M23" s="296">
        <f t="shared" si="4"/>
        <v>1672330.719685284</v>
      </c>
      <c r="N23" s="295">
        <f t="shared" si="3"/>
        <v>3393539.0827511852</v>
      </c>
    </row>
    <row r="24" spans="1:14" s="283" customFormat="1" outlineLevel="1" x14ac:dyDescent="0.25">
      <c r="A24" s="301">
        <v>43921</v>
      </c>
      <c r="B24" s="301"/>
      <c r="C24" s="299">
        <v>365220.82869917556</v>
      </c>
      <c r="D24" s="299">
        <f t="shared" si="0"/>
        <v>4660839.9207892828</v>
      </c>
      <c r="E24" s="297">
        <f t="shared" si="6"/>
        <v>2475926.7944210898</v>
      </c>
      <c r="F24" s="299"/>
      <c r="G24" s="299"/>
      <c r="H24" s="299"/>
      <c r="I24" s="299">
        <f t="shared" si="5"/>
        <v>2475926.7944210898</v>
      </c>
      <c r="J24" s="299">
        <f t="shared" si="1"/>
        <v>-76696.374026826859</v>
      </c>
      <c r="K24" s="297">
        <f t="shared" si="2"/>
        <v>-978776.38336574903</v>
      </c>
      <c r="L24" s="297">
        <f t="shared" si="7"/>
        <v>-519944.62682842877</v>
      </c>
      <c r="M24" s="296">
        <f t="shared" si="4"/>
        <v>1955982.167592661</v>
      </c>
      <c r="N24" s="295">
        <f t="shared" si="3"/>
        <v>3682063.5374235339</v>
      </c>
    </row>
    <row r="25" spans="1:14" s="283" customFormat="1" outlineLevel="1" x14ac:dyDescent="0.25">
      <c r="A25" s="301">
        <v>43951</v>
      </c>
      <c r="B25" s="301"/>
      <c r="C25" s="299">
        <v>365220.82869917556</v>
      </c>
      <c r="D25" s="299">
        <f t="shared" si="0"/>
        <v>5026060.749488458</v>
      </c>
      <c r="E25" s="297">
        <f t="shared" si="6"/>
        <v>2837113.2250877977</v>
      </c>
      <c r="F25" s="299"/>
      <c r="G25" s="299"/>
      <c r="H25" s="299"/>
      <c r="I25" s="299">
        <f t="shared" si="5"/>
        <v>2837113.2250877977</v>
      </c>
      <c r="J25" s="299">
        <f t="shared" si="1"/>
        <v>-76696.374026826859</v>
      </c>
      <c r="K25" s="297">
        <f t="shared" si="2"/>
        <v>-1055472.757392576</v>
      </c>
      <c r="L25" s="297">
        <f t="shared" si="7"/>
        <v>-595793.77726843732</v>
      </c>
      <c r="M25" s="296">
        <f t="shared" si="4"/>
        <v>2241319.4478193605</v>
      </c>
      <c r="N25" s="302">
        <f t="shared" si="3"/>
        <v>3970587.9920958821</v>
      </c>
    </row>
    <row r="26" spans="1:14" s="283" customFormat="1" outlineLevel="1" x14ac:dyDescent="0.25">
      <c r="A26" s="309">
        <v>43982</v>
      </c>
      <c r="B26" s="308" t="s">
        <v>251</v>
      </c>
      <c r="C26" s="307"/>
      <c r="D26" s="307">
        <f t="shared" si="0"/>
        <v>5026060.749488458</v>
      </c>
      <c r="E26" s="306">
        <f t="shared" si="6"/>
        <v>3185181.6350849788</v>
      </c>
      <c r="F26" s="307">
        <f t="shared" ref="F26:F61" si="8">+$D$25/36</f>
        <v>139612.79859690162</v>
      </c>
      <c r="G26" s="307">
        <f t="shared" ref="G26:G61" si="9">G25-F26</f>
        <v>-139612.79859690162</v>
      </c>
      <c r="H26" s="307">
        <f t="shared" ref="H26:H61" si="10">(G14+G26+SUM(G15:G25)*2)/24</f>
        <v>-5817.1999415375676</v>
      </c>
      <c r="I26" s="307">
        <f t="shared" si="5"/>
        <v>3179364.4351434414</v>
      </c>
      <c r="J26" s="307">
        <f t="shared" si="1"/>
        <v>29318.687705349337</v>
      </c>
      <c r="K26" s="306">
        <f t="shared" si="2"/>
        <v>-1026154.0696872267</v>
      </c>
      <c r="L26" s="306">
        <f t="shared" si="7"/>
        <v>-667666.53138012241</v>
      </c>
      <c r="M26" s="304">
        <f t="shared" si="4"/>
        <v>2511697.9037633189</v>
      </c>
      <c r="N26" s="303">
        <f t="shared" si="3"/>
        <v>3860293.8812043294</v>
      </c>
    </row>
    <row r="27" spans="1:14" s="283" customFormat="1" outlineLevel="1" x14ac:dyDescent="0.25">
      <c r="A27" s="309">
        <v>44012</v>
      </c>
      <c r="B27" s="308" t="s">
        <v>251</v>
      </c>
      <c r="C27" s="307"/>
      <c r="D27" s="307">
        <f t="shared" si="0"/>
        <v>5026060.749488458</v>
      </c>
      <c r="E27" s="306">
        <f t="shared" si="6"/>
        <v>3504307.2965752264</v>
      </c>
      <c r="F27" s="307">
        <f t="shared" si="8"/>
        <v>139612.79859690162</v>
      </c>
      <c r="G27" s="307">
        <f t="shared" si="9"/>
        <v>-279225.59719380323</v>
      </c>
      <c r="H27" s="307">
        <f t="shared" si="10"/>
        <v>-23268.79976615027</v>
      </c>
      <c r="I27" s="307">
        <f t="shared" si="5"/>
        <v>3481038.4968090761</v>
      </c>
      <c r="J27" s="307">
        <f t="shared" si="1"/>
        <v>29318.687705349337</v>
      </c>
      <c r="K27" s="306">
        <f t="shared" si="2"/>
        <v>-996835.38198187738</v>
      </c>
      <c r="L27" s="306">
        <f t="shared" si="7"/>
        <v>-731018.08432990592</v>
      </c>
      <c r="M27" s="304">
        <f t="shared" si="4"/>
        <v>2750020.4124791701</v>
      </c>
      <c r="N27" s="303">
        <f t="shared" si="3"/>
        <v>3749999.7703127768</v>
      </c>
    </row>
    <row r="28" spans="1:14" s="283" customFormat="1" outlineLevel="1" x14ac:dyDescent="0.25">
      <c r="A28" s="309">
        <v>44043</v>
      </c>
      <c r="B28" s="308" t="s">
        <v>251</v>
      </c>
      <c r="C28" s="307"/>
      <c r="D28" s="307">
        <f t="shared" si="0"/>
        <v>5026060.749488458</v>
      </c>
      <c r="E28" s="306">
        <f t="shared" si="6"/>
        <v>3793440.452628741</v>
      </c>
      <c r="F28" s="307">
        <f t="shared" si="8"/>
        <v>139612.79859690162</v>
      </c>
      <c r="G28" s="307">
        <f t="shared" si="9"/>
        <v>-418838.39579070488</v>
      </c>
      <c r="H28" s="307">
        <f t="shared" si="10"/>
        <v>-52354.799473838102</v>
      </c>
      <c r="I28" s="307">
        <f t="shared" si="5"/>
        <v>3741085.6531549031</v>
      </c>
      <c r="J28" s="307">
        <f t="shared" si="1"/>
        <v>29318.687705349337</v>
      </c>
      <c r="K28" s="306">
        <f t="shared" si="2"/>
        <v>-967516.69427652808</v>
      </c>
      <c r="L28" s="306">
        <f t="shared" si="7"/>
        <v>-785627.98716252949</v>
      </c>
      <c r="M28" s="304">
        <f t="shared" si="4"/>
        <v>2955457.6659923736</v>
      </c>
      <c r="N28" s="303">
        <f t="shared" si="3"/>
        <v>3639705.6594212255</v>
      </c>
    </row>
    <row r="29" spans="1:14" s="283" customFormat="1" outlineLevel="1" x14ac:dyDescent="0.25">
      <c r="A29" s="309">
        <v>44074</v>
      </c>
      <c r="B29" s="308" t="s">
        <v>251</v>
      </c>
      <c r="C29" s="307"/>
      <c r="D29" s="307">
        <f t="shared" si="0"/>
        <v>5026060.749488458</v>
      </c>
      <c r="E29" s="306">
        <f t="shared" si="6"/>
        <v>4052138.5396239907</v>
      </c>
      <c r="F29" s="307">
        <f t="shared" si="8"/>
        <v>139612.79859690162</v>
      </c>
      <c r="G29" s="307">
        <f t="shared" si="9"/>
        <v>-558451.19438760646</v>
      </c>
      <c r="H29" s="307">
        <f t="shared" si="10"/>
        <v>-93075.199064601082</v>
      </c>
      <c r="I29" s="307">
        <f t="shared" si="5"/>
        <v>3959063.3405593894</v>
      </c>
      <c r="J29" s="307">
        <f t="shared" si="1"/>
        <v>29318.687705349337</v>
      </c>
      <c r="K29" s="306">
        <f t="shared" si="2"/>
        <v>-938198.00657117879</v>
      </c>
      <c r="L29" s="306">
        <f t="shared" si="7"/>
        <v>-831403.30151747155</v>
      </c>
      <c r="M29" s="304">
        <f t="shared" si="4"/>
        <v>3127660.0390419178</v>
      </c>
      <c r="N29" s="303">
        <f t="shared" si="3"/>
        <v>3529411.5485296729</v>
      </c>
    </row>
    <row r="30" spans="1:14" s="283" customFormat="1" outlineLevel="1" x14ac:dyDescent="0.25">
      <c r="A30" s="309">
        <v>44104</v>
      </c>
      <c r="B30" s="308" t="s">
        <v>251</v>
      </c>
      <c r="C30" s="307"/>
      <c r="D30" s="307">
        <f t="shared" si="0"/>
        <v>5026060.749488458</v>
      </c>
      <c r="E30" s="306">
        <f t="shared" si="6"/>
        <v>4280401.5575609757</v>
      </c>
      <c r="F30" s="307">
        <f t="shared" si="8"/>
        <v>139612.79859690162</v>
      </c>
      <c r="G30" s="307">
        <f t="shared" si="9"/>
        <v>-698063.99298450805</v>
      </c>
      <c r="H30" s="307">
        <f t="shared" si="10"/>
        <v>-145429.99853843919</v>
      </c>
      <c r="I30" s="307">
        <f t="shared" si="5"/>
        <v>4134971.5590225365</v>
      </c>
      <c r="J30" s="307">
        <f t="shared" si="1"/>
        <v>29318.687705349337</v>
      </c>
      <c r="K30" s="306">
        <f t="shared" si="2"/>
        <v>-908879.3188658295</v>
      </c>
      <c r="L30" s="306">
        <f t="shared" si="7"/>
        <v>-868344.02739473234</v>
      </c>
      <c r="M30" s="304">
        <f t="shared" si="4"/>
        <v>3266627.531627804</v>
      </c>
      <c r="N30" s="303">
        <f t="shared" si="3"/>
        <v>3419117.4376381203</v>
      </c>
    </row>
    <row r="31" spans="1:14" s="283" customFormat="1" outlineLevel="1" x14ac:dyDescent="0.25">
      <c r="A31" s="309">
        <v>44135</v>
      </c>
      <c r="B31" s="308" t="s">
        <v>251</v>
      </c>
      <c r="C31" s="307"/>
      <c r="D31" s="307">
        <f t="shared" si="0"/>
        <v>5026060.749488458</v>
      </c>
      <c r="E31" s="306">
        <f t="shared" si="6"/>
        <v>4478229.5064396942</v>
      </c>
      <c r="F31" s="307">
        <f t="shared" si="8"/>
        <v>139612.79859690162</v>
      </c>
      <c r="G31" s="306">
        <f t="shared" si="9"/>
        <v>-837676.79158140963</v>
      </c>
      <c r="H31" s="306">
        <f t="shared" si="10"/>
        <v>-209419.19789535247</v>
      </c>
      <c r="I31" s="306">
        <f t="shared" si="5"/>
        <v>4268810.3085443415</v>
      </c>
      <c r="J31" s="306">
        <f t="shared" si="1"/>
        <v>29318.687705349337</v>
      </c>
      <c r="K31" s="306">
        <f t="shared" si="2"/>
        <v>-879560.6311604802</v>
      </c>
      <c r="L31" s="306">
        <f t="shared" si="7"/>
        <v>-896450.16479431186</v>
      </c>
      <c r="M31" s="304">
        <f t="shared" si="4"/>
        <v>3372360.1437500296</v>
      </c>
      <c r="N31" s="303">
        <f t="shared" si="3"/>
        <v>3308823.3267465681</v>
      </c>
    </row>
    <row r="32" spans="1:14" s="283" customFormat="1" outlineLevel="1" x14ac:dyDescent="0.25">
      <c r="A32" s="309">
        <v>44165</v>
      </c>
      <c r="B32" s="308" t="s">
        <v>251</v>
      </c>
      <c r="C32" s="307"/>
      <c r="D32" s="307">
        <f t="shared" si="0"/>
        <v>5026060.749488458</v>
      </c>
      <c r="E32" s="306">
        <f t="shared" si="6"/>
        <v>4645622.3862601509</v>
      </c>
      <c r="F32" s="307">
        <f t="shared" si="8"/>
        <v>139612.79859690162</v>
      </c>
      <c r="G32" s="306">
        <f t="shared" si="9"/>
        <v>-977289.59017831122</v>
      </c>
      <c r="H32" s="306">
        <f t="shared" si="10"/>
        <v>-285042.79713534081</v>
      </c>
      <c r="I32" s="306">
        <f t="shared" si="5"/>
        <v>4360579.58912481</v>
      </c>
      <c r="J32" s="306">
        <f t="shared" si="1"/>
        <v>29318.687705349337</v>
      </c>
      <c r="K32" s="306">
        <f t="shared" si="2"/>
        <v>-850241.94345513091</v>
      </c>
      <c r="L32" s="306">
        <f t="shared" si="7"/>
        <v>-915721.71371620998</v>
      </c>
      <c r="M32" s="304">
        <f t="shared" si="4"/>
        <v>3444857.8754086001</v>
      </c>
      <c r="N32" s="303">
        <f t="shared" si="3"/>
        <v>3198529.2158550159</v>
      </c>
    </row>
    <row r="33" spans="1:14" s="283" customFormat="1" outlineLevel="1" x14ac:dyDescent="0.25">
      <c r="A33" s="309">
        <v>44196</v>
      </c>
      <c r="B33" s="308" t="s">
        <v>251</v>
      </c>
      <c r="C33" s="307"/>
      <c r="D33" s="307">
        <f t="shared" si="0"/>
        <v>5026060.749488458</v>
      </c>
      <c r="E33" s="306">
        <f t="shared" si="6"/>
        <v>4782580.1970223412</v>
      </c>
      <c r="F33" s="307">
        <f t="shared" si="8"/>
        <v>139612.79859690162</v>
      </c>
      <c r="G33" s="306">
        <f t="shared" si="9"/>
        <v>-1116902.3887752129</v>
      </c>
      <c r="H33" s="306">
        <f t="shared" si="10"/>
        <v>-372300.79625840433</v>
      </c>
      <c r="I33" s="306">
        <f t="shared" si="5"/>
        <v>4410279.4007639373</v>
      </c>
      <c r="J33" s="306">
        <f t="shared" si="1"/>
        <v>29318.687705349337</v>
      </c>
      <c r="K33" s="306">
        <f t="shared" si="2"/>
        <v>-820923.25574978162</v>
      </c>
      <c r="L33" s="306">
        <f t="shared" si="7"/>
        <v>-926158.67416042683</v>
      </c>
      <c r="M33" s="304">
        <f t="shared" si="4"/>
        <v>3484120.7266035103</v>
      </c>
      <c r="N33" s="303">
        <f t="shared" si="3"/>
        <v>3088235.1049634637</v>
      </c>
    </row>
    <row r="34" spans="1:14" s="283" customFormat="1" outlineLevel="1" x14ac:dyDescent="0.25">
      <c r="A34" s="309">
        <v>44227</v>
      </c>
      <c r="B34" s="308" t="s">
        <v>251</v>
      </c>
      <c r="C34" s="307"/>
      <c r="D34" s="307">
        <f t="shared" si="0"/>
        <v>5026060.749488458</v>
      </c>
      <c r="E34" s="306">
        <f t="shared" si="6"/>
        <v>4889102.9387262668</v>
      </c>
      <c r="F34" s="307">
        <f t="shared" si="8"/>
        <v>139612.79859690162</v>
      </c>
      <c r="G34" s="306">
        <f t="shared" si="9"/>
        <v>-1256515.1873721145</v>
      </c>
      <c r="H34" s="306">
        <f t="shared" si="10"/>
        <v>-471193.19526454294</v>
      </c>
      <c r="I34" s="306">
        <f t="shared" si="5"/>
        <v>4417909.7434617244</v>
      </c>
      <c r="J34" s="306">
        <f t="shared" si="1"/>
        <v>29318.687705349337</v>
      </c>
      <c r="K34" s="306">
        <f t="shared" si="2"/>
        <v>-791604.56804443232</v>
      </c>
      <c r="L34" s="306">
        <f t="shared" si="7"/>
        <v>-927761.04612696206</v>
      </c>
      <c r="M34" s="304">
        <f t="shared" si="4"/>
        <v>3490148.6973347622</v>
      </c>
      <c r="N34" s="303">
        <f t="shared" si="3"/>
        <v>2977940.9940719111</v>
      </c>
    </row>
    <row r="35" spans="1:14" s="283" customFormat="1" outlineLevel="1" x14ac:dyDescent="0.25">
      <c r="A35" s="309">
        <v>44255</v>
      </c>
      <c r="B35" s="308" t="s">
        <v>251</v>
      </c>
      <c r="C35" s="307"/>
      <c r="D35" s="307">
        <f t="shared" si="0"/>
        <v>5026060.749488458</v>
      </c>
      <c r="E35" s="306">
        <f t="shared" si="6"/>
        <v>4965190.6113719298</v>
      </c>
      <c r="F35" s="307">
        <f t="shared" si="8"/>
        <v>139612.79859690162</v>
      </c>
      <c r="G35" s="306">
        <f t="shared" si="9"/>
        <v>-1396127.9859690161</v>
      </c>
      <c r="H35" s="306">
        <f t="shared" si="10"/>
        <v>-581719.99415375676</v>
      </c>
      <c r="I35" s="306">
        <f t="shared" si="5"/>
        <v>4383470.6172181731</v>
      </c>
      <c r="J35" s="306">
        <f t="shared" si="1"/>
        <v>29318.687705349337</v>
      </c>
      <c r="K35" s="306">
        <f t="shared" si="2"/>
        <v>-762285.88033908303</v>
      </c>
      <c r="L35" s="306">
        <f t="shared" si="7"/>
        <v>-920528.82961581601</v>
      </c>
      <c r="M35" s="304">
        <f t="shared" si="4"/>
        <v>3462941.7876023571</v>
      </c>
      <c r="N35" s="303">
        <f t="shared" si="3"/>
        <v>2867646.8831803584</v>
      </c>
    </row>
    <row r="36" spans="1:14" s="283" customFormat="1" outlineLevel="1" x14ac:dyDescent="0.25">
      <c r="A36" s="309">
        <v>44286</v>
      </c>
      <c r="B36" s="308" t="s">
        <v>251</v>
      </c>
      <c r="C36" s="307"/>
      <c r="D36" s="307">
        <f t="shared" si="0"/>
        <v>5026060.749488458</v>
      </c>
      <c r="E36" s="306">
        <f t="shared" si="6"/>
        <v>5010843.2149593262</v>
      </c>
      <c r="F36" s="307">
        <f t="shared" si="8"/>
        <v>139612.79859690162</v>
      </c>
      <c r="G36" s="306">
        <f t="shared" si="9"/>
        <v>-1535740.7845659177</v>
      </c>
      <c r="H36" s="306">
        <f t="shared" si="10"/>
        <v>-703881.19292604562</v>
      </c>
      <c r="I36" s="306">
        <f t="shared" si="5"/>
        <v>4306962.0220332807</v>
      </c>
      <c r="J36" s="306">
        <f t="shared" si="1"/>
        <v>29318.687705349337</v>
      </c>
      <c r="K36" s="306">
        <f t="shared" si="2"/>
        <v>-732967.19263373374</v>
      </c>
      <c r="L36" s="306">
        <f t="shared" si="7"/>
        <v>-904462.02462698857</v>
      </c>
      <c r="M36" s="304">
        <f t="shared" si="4"/>
        <v>3402499.9974062922</v>
      </c>
      <c r="N36" s="303">
        <f t="shared" si="3"/>
        <v>2757352.7722888067</v>
      </c>
    </row>
    <row r="37" spans="1:14" s="283" customFormat="1" outlineLevel="1" x14ac:dyDescent="0.25">
      <c r="A37" s="309">
        <v>44316</v>
      </c>
      <c r="B37" s="308" t="s">
        <v>251</v>
      </c>
      <c r="C37" s="306"/>
      <c r="D37" s="306">
        <f t="shared" si="0"/>
        <v>5026060.749488458</v>
      </c>
      <c r="E37" s="305">
        <f t="shared" si="6"/>
        <v>5026060.749488458</v>
      </c>
      <c r="F37" s="307">
        <f t="shared" si="8"/>
        <v>139612.79859690162</v>
      </c>
      <c r="G37" s="306">
        <f t="shared" si="9"/>
        <v>-1675353.5831628193</v>
      </c>
      <c r="H37" s="305">
        <f t="shared" si="10"/>
        <v>-837676.79158140963</v>
      </c>
      <c r="I37" s="306">
        <f t="shared" si="5"/>
        <v>4188383.9579070485</v>
      </c>
      <c r="J37" s="306">
        <f t="shared" si="1"/>
        <v>29318.687705349337</v>
      </c>
      <c r="K37" s="306">
        <f t="shared" si="2"/>
        <v>-703648.50492838444</v>
      </c>
      <c r="L37" s="305">
        <f t="shared" si="7"/>
        <v>-879560.63116048009</v>
      </c>
      <c r="M37" s="304">
        <f t="shared" si="4"/>
        <v>3308823.3267465685</v>
      </c>
      <c r="N37" s="303">
        <f t="shared" si="3"/>
        <v>2647058.6613972546</v>
      </c>
    </row>
    <row r="38" spans="1:14" s="283" customFormat="1" outlineLevel="1" x14ac:dyDescent="0.25">
      <c r="A38" s="301">
        <v>44347</v>
      </c>
      <c r="B38" s="301"/>
      <c r="C38" s="297"/>
      <c r="D38" s="297">
        <f t="shared" si="0"/>
        <v>5026060.749488458</v>
      </c>
      <c r="E38" s="297">
        <f t="shared" si="6"/>
        <v>5026060.749488458</v>
      </c>
      <c r="F38" s="299">
        <f t="shared" si="8"/>
        <v>139612.79859690162</v>
      </c>
      <c r="G38" s="297">
        <f t="shared" si="9"/>
        <v>-1814966.3817597209</v>
      </c>
      <c r="H38" s="297">
        <f t="shared" si="10"/>
        <v>-977289.59017831134</v>
      </c>
      <c r="I38" s="297">
        <f t="shared" si="5"/>
        <v>4048771.1593101467</v>
      </c>
      <c r="J38" s="297">
        <f t="shared" si="1"/>
        <v>29318.687705349337</v>
      </c>
      <c r="K38" s="297">
        <f t="shared" si="2"/>
        <v>-674329.81722303515</v>
      </c>
      <c r="L38" s="297">
        <f t="shared" si="7"/>
        <v>-850241.94345513091</v>
      </c>
      <c r="M38" s="296">
        <f t="shared" si="4"/>
        <v>3198529.2158550159</v>
      </c>
      <c r="N38" s="295">
        <f t="shared" si="3"/>
        <v>2536764.5505057019</v>
      </c>
    </row>
    <row r="39" spans="1:14" s="283" customFormat="1" outlineLevel="1" x14ac:dyDescent="0.25">
      <c r="A39" s="301">
        <v>44377</v>
      </c>
      <c r="B39" s="301"/>
      <c r="C39" s="297"/>
      <c r="D39" s="297">
        <f t="shared" si="0"/>
        <v>5026060.749488458</v>
      </c>
      <c r="E39" s="297">
        <f t="shared" si="6"/>
        <v>5026060.749488458</v>
      </c>
      <c r="F39" s="299">
        <f t="shared" si="8"/>
        <v>139612.79859690162</v>
      </c>
      <c r="G39" s="297">
        <f t="shared" si="9"/>
        <v>-1954579.1803566224</v>
      </c>
      <c r="H39" s="297">
        <f t="shared" si="10"/>
        <v>-1116902.3887752129</v>
      </c>
      <c r="I39" s="297">
        <f t="shared" si="5"/>
        <v>3909158.3607132453</v>
      </c>
      <c r="J39" s="297">
        <f t="shared" si="1"/>
        <v>29318.687705349337</v>
      </c>
      <c r="K39" s="297">
        <f t="shared" si="2"/>
        <v>-645011.12951768585</v>
      </c>
      <c r="L39" s="297">
        <f t="shared" si="7"/>
        <v>-820923.25574978162</v>
      </c>
      <c r="M39" s="296">
        <f t="shared" si="4"/>
        <v>3088235.1049634637</v>
      </c>
      <c r="N39" s="302">
        <f t="shared" si="3"/>
        <v>2426470.4396141497</v>
      </c>
    </row>
    <row r="40" spans="1:14" s="283" customFormat="1" outlineLevel="1" x14ac:dyDescent="0.25">
      <c r="A40" s="301">
        <v>44408</v>
      </c>
      <c r="B40" s="301"/>
      <c r="C40" s="297"/>
      <c r="D40" s="297">
        <f t="shared" si="0"/>
        <v>5026060.749488458</v>
      </c>
      <c r="E40" s="297">
        <f t="shared" si="6"/>
        <v>5026060.749488458</v>
      </c>
      <c r="F40" s="299">
        <f t="shared" si="8"/>
        <v>139612.79859690162</v>
      </c>
      <c r="G40" s="297">
        <f t="shared" si="9"/>
        <v>-2094191.978953524</v>
      </c>
      <c r="H40" s="297">
        <f t="shared" si="10"/>
        <v>-1256515.1873721145</v>
      </c>
      <c r="I40" s="297">
        <f t="shared" si="5"/>
        <v>3769545.5621163435</v>
      </c>
      <c r="J40" s="297">
        <f t="shared" si="1"/>
        <v>29318.687705349337</v>
      </c>
      <c r="K40" s="298">
        <f t="shared" si="2"/>
        <v>-615692.44181233656</v>
      </c>
      <c r="L40" s="297">
        <f t="shared" si="7"/>
        <v>-791604.56804443232</v>
      </c>
      <c r="M40" s="296">
        <f t="shared" si="4"/>
        <v>2977940.9940719111</v>
      </c>
      <c r="N40" s="302">
        <f t="shared" si="3"/>
        <v>2316176.3287225976</v>
      </c>
    </row>
    <row r="41" spans="1:14" s="283" customFormat="1" outlineLevel="1" x14ac:dyDescent="0.25">
      <c r="A41" s="301">
        <v>44439</v>
      </c>
      <c r="B41" s="301"/>
      <c r="C41" s="297"/>
      <c r="D41" s="297">
        <f t="shared" si="0"/>
        <v>5026060.749488458</v>
      </c>
      <c r="E41" s="297">
        <f t="shared" si="6"/>
        <v>5026060.749488458</v>
      </c>
      <c r="F41" s="299">
        <f t="shared" si="8"/>
        <v>139612.79859690162</v>
      </c>
      <c r="G41" s="297">
        <f t="shared" si="9"/>
        <v>-2233804.7775504258</v>
      </c>
      <c r="H41" s="297">
        <f t="shared" si="10"/>
        <v>-1396127.9859690161</v>
      </c>
      <c r="I41" s="297">
        <f t="shared" si="5"/>
        <v>3629932.7635194417</v>
      </c>
      <c r="J41" s="297">
        <f t="shared" si="1"/>
        <v>29318.687705349337</v>
      </c>
      <c r="K41" s="298">
        <f t="shared" si="2"/>
        <v>-586373.75410698727</v>
      </c>
      <c r="L41" s="297">
        <f t="shared" si="7"/>
        <v>-762285.88033908291</v>
      </c>
      <c r="M41" s="296">
        <f t="shared" si="4"/>
        <v>2867646.8831803589</v>
      </c>
      <c r="N41" s="302">
        <f t="shared" si="3"/>
        <v>2205882.2178310449</v>
      </c>
    </row>
    <row r="42" spans="1:14" s="283" customFormat="1" x14ac:dyDescent="0.25">
      <c r="A42" s="301">
        <v>44469</v>
      </c>
      <c r="B42" s="301"/>
      <c r="C42" s="297"/>
      <c r="D42" s="297">
        <f t="shared" si="0"/>
        <v>5026060.749488458</v>
      </c>
      <c r="E42" s="297">
        <f t="shared" si="6"/>
        <v>5026060.749488458</v>
      </c>
      <c r="F42" s="299">
        <f t="shared" si="8"/>
        <v>139612.79859690162</v>
      </c>
      <c r="G42" s="297">
        <f t="shared" si="9"/>
        <v>-2373417.5761473277</v>
      </c>
      <c r="H42" s="297">
        <f t="shared" si="10"/>
        <v>-1535740.7845659179</v>
      </c>
      <c r="I42" s="297">
        <f t="shared" si="5"/>
        <v>3490319.9649225399</v>
      </c>
      <c r="J42" s="297">
        <f t="shared" si="1"/>
        <v>29318.687705349337</v>
      </c>
      <c r="K42" s="298">
        <f t="shared" si="2"/>
        <v>-557055.06640163797</v>
      </c>
      <c r="L42" s="297">
        <f t="shared" si="7"/>
        <v>-732967.19263373362</v>
      </c>
      <c r="M42" s="296">
        <f t="shared" si="4"/>
        <v>2757352.7722888063</v>
      </c>
      <c r="N42" s="295">
        <f t="shared" si="3"/>
        <v>2095588.1069394923</v>
      </c>
    </row>
    <row r="43" spans="1:14" s="283" customFormat="1" x14ac:dyDescent="0.25">
      <c r="A43" s="301">
        <v>44500</v>
      </c>
      <c r="B43" s="301"/>
      <c r="C43" s="297"/>
      <c r="D43" s="297">
        <f t="shared" ref="D43:D61" si="11">D42+C43</f>
        <v>5026060.749488458</v>
      </c>
      <c r="E43" s="297">
        <f t="shared" si="6"/>
        <v>5026060.749488458</v>
      </c>
      <c r="F43" s="299">
        <f t="shared" si="8"/>
        <v>139612.79859690162</v>
      </c>
      <c r="G43" s="297">
        <f t="shared" si="9"/>
        <v>-2513030.3747442295</v>
      </c>
      <c r="H43" s="297">
        <f t="shared" si="10"/>
        <v>-1675353.583162819</v>
      </c>
      <c r="I43" s="297">
        <f t="shared" si="5"/>
        <v>3350707.166325639</v>
      </c>
      <c r="J43" s="297">
        <f t="shared" ref="J43:J61" si="12">(-C43*0.21)+(F43*0.21)</f>
        <v>29318.687705349337</v>
      </c>
      <c r="K43" s="298">
        <f t="shared" ref="K43:K61" si="13">K42+J43</f>
        <v>-527736.37869628868</v>
      </c>
      <c r="L43" s="297">
        <f t="shared" si="7"/>
        <v>-703648.50492838444</v>
      </c>
      <c r="M43" s="296">
        <f t="shared" si="4"/>
        <v>2647058.6613972546</v>
      </c>
      <c r="N43" s="302">
        <f t="shared" ref="N43:N61" si="14">+D43+G43+K43</f>
        <v>1985293.9960479399</v>
      </c>
    </row>
    <row r="44" spans="1:14" s="283" customFormat="1" x14ac:dyDescent="0.25">
      <c r="A44" s="301">
        <v>44530</v>
      </c>
      <c r="B44" s="301"/>
      <c r="C44" s="299"/>
      <c r="D44" s="297">
        <f t="shared" si="11"/>
        <v>5026060.749488458</v>
      </c>
      <c r="E44" s="297">
        <f t="shared" si="6"/>
        <v>5026060.749488458</v>
      </c>
      <c r="F44" s="299">
        <f t="shared" si="8"/>
        <v>139612.79859690162</v>
      </c>
      <c r="G44" s="297">
        <f t="shared" si="9"/>
        <v>-2652643.1733411313</v>
      </c>
      <c r="H44" s="297">
        <f t="shared" si="10"/>
        <v>-1814966.3817597209</v>
      </c>
      <c r="I44" s="297">
        <f t="shared" si="5"/>
        <v>3211094.3677287372</v>
      </c>
      <c r="J44" s="297">
        <f t="shared" si="12"/>
        <v>29318.687705349337</v>
      </c>
      <c r="K44" s="298">
        <f t="shared" si="13"/>
        <v>-498417.69099093933</v>
      </c>
      <c r="L44" s="297">
        <f t="shared" si="7"/>
        <v>-674329.81722303515</v>
      </c>
      <c r="M44" s="296">
        <f t="shared" ref="M44:M61" si="15">L44+I44</f>
        <v>2536764.5505057019</v>
      </c>
      <c r="N44" s="302">
        <f t="shared" si="14"/>
        <v>1874999.8851563875</v>
      </c>
    </row>
    <row r="45" spans="1:14" s="283" customFormat="1" outlineLevel="1" x14ac:dyDescent="0.25">
      <c r="A45" s="301">
        <v>44561</v>
      </c>
      <c r="B45" s="301"/>
      <c r="C45" s="299"/>
      <c r="D45" s="297">
        <f t="shared" si="11"/>
        <v>5026060.749488458</v>
      </c>
      <c r="E45" s="297">
        <f t="shared" si="6"/>
        <v>5026060.749488458</v>
      </c>
      <c r="F45" s="299">
        <f t="shared" si="8"/>
        <v>139612.79859690162</v>
      </c>
      <c r="G45" s="297">
        <f t="shared" si="9"/>
        <v>-2792255.9719380331</v>
      </c>
      <c r="H45" s="297">
        <f t="shared" si="10"/>
        <v>-1954579.1803566227</v>
      </c>
      <c r="I45" s="297">
        <f t="shared" si="5"/>
        <v>3071481.5691318354</v>
      </c>
      <c r="J45" s="297">
        <f t="shared" si="12"/>
        <v>29318.687705349337</v>
      </c>
      <c r="K45" s="298">
        <f t="shared" si="13"/>
        <v>-469099.00328558998</v>
      </c>
      <c r="L45" s="297">
        <f t="shared" si="7"/>
        <v>-645011.12951768585</v>
      </c>
      <c r="M45" s="296">
        <f t="shared" si="15"/>
        <v>2426470.4396141497</v>
      </c>
      <c r="N45" s="302">
        <f t="shared" si="14"/>
        <v>1764705.7742648348</v>
      </c>
    </row>
    <row r="46" spans="1:14" s="283" customFormat="1" outlineLevel="1" x14ac:dyDescent="0.25">
      <c r="A46" s="301">
        <v>44592</v>
      </c>
      <c r="B46" s="301"/>
      <c r="C46" s="299"/>
      <c r="D46" s="297">
        <f t="shared" si="11"/>
        <v>5026060.749488458</v>
      </c>
      <c r="E46" s="297">
        <f t="shared" si="6"/>
        <v>5026060.749488458</v>
      </c>
      <c r="F46" s="299">
        <f t="shared" si="8"/>
        <v>139612.79859690162</v>
      </c>
      <c r="G46" s="297">
        <f t="shared" si="9"/>
        <v>-2931868.7705349349</v>
      </c>
      <c r="H46" s="297">
        <f t="shared" si="10"/>
        <v>-2094191.9789535245</v>
      </c>
      <c r="I46" s="297">
        <f t="shared" si="5"/>
        <v>2931868.7705349335</v>
      </c>
      <c r="J46" s="297">
        <f t="shared" si="12"/>
        <v>29318.687705349337</v>
      </c>
      <c r="K46" s="298">
        <f t="shared" si="13"/>
        <v>-439780.31558024063</v>
      </c>
      <c r="L46" s="297">
        <f t="shared" si="7"/>
        <v>-615692.44181233656</v>
      </c>
      <c r="M46" s="296">
        <f t="shared" si="15"/>
        <v>2316176.3287225971</v>
      </c>
      <c r="N46" s="302">
        <f t="shared" si="14"/>
        <v>1654411.6633732824</v>
      </c>
    </row>
    <row r="47" spans="1:14" s="283" customFormat="1" outlineLevel="1" x14ac:dyDescent="0.25">
      <c r="A47" s="301">
        <v>44620</v>
      </c>
      <c r="B47" s="301"/>
      <c r="C47" s="299"/>
      <c r="D47" s="297">
        <f t="shared" si="11"/>
        <v>5026060.749488458</v>
      </c>
      <c r="E47" s="297">
        <f t="shared" si="6"/>
        <v>5026060.749488458</v>
      </c>
      <c r="F47" s="299">
        <f t="shared" si="8"/>
        <v>139612.79859690162</v>
      </c>
      <c r="G47" s="297">
        <f t="shared" si="9"/>
        <v>-3071481.5691318368</v>
      </c>
      <c r="H47" s="297">
        <f t="shared" si="10"/>
        <v>-2233804.7775504258</v>
      </c>
      <c r="I47" s="297">
        <f t="shared" si="5"/>
        <v>2792255.9719380322</v>
      </c>
      <c r="J47" s="297">
        <f t="shared" si="12"/>
        <v>29318.687705349337</v>
      </c>
      <c r="K47" s="298">
        <f t="shared" si="13"/>
        <v>-410461.62787489127</v>
      </c>
      <c r="L47" s="297">
        <f t="shared" si="7"/>
        <v>-586373.75410698727</v>
      </c>
      <c r="M47" s="296">
        <f t="shared" si="15"/>
        <v>2205882.2178310449</v>
      </c>
      <c r="N47" s="302">
        <f t="shared" si="14"/>
        <v>1544117.55248173</v>
      </c>
    </row>
    <row r="48" spans="1:14" s="283" customFormat="1" outlineLevel="1" x14ac:dyDescent="0.25">
      <c r="A48" s="301">
        <v>44651</v>
      </c>
      <c r="B48" s="301"/>
      <c r="C48" s="299"/>
      <c r="D48" s="297">
        <f t="shared" si="11"/>
        <v>5026060.749488458</v>
      </c>
      <c r="E48" s="297">
        <f t="shared" si="6"/>
        <v>5026060.749488458</v>
      </c>
      <c r="F48" s="299">
        <f t="shared" si="8"/>
        <v>139612.79859690162</v>
      </c>
      <c r="G48" s="297">
        <f t="shared" si="9"/>
        <v>-3211094.3677287386</v>
      </c>
      <c r="H48" s="297">
        <f t="shared" si="10"/>
        <v>-2373417.5761473277</v>
      </c>
      <c r="I48" s="297">
        <f t="shared" si="5"/>
        <v>2652643.1733411304</v>
      </c>
      <c r="J48" s="297">
        <f t="shared" si="12"/>
        <v>29318.687705349337</v>
      </c>
      <c r="K48" s="298">
        <f t="shared" si="13"/>
        <v>-381142.94016954192</v>
      </c>
      <c r="L48" s="297">
        <f t="shared" si="7"/>
        <v>-557055.06640163797</v>
      </c>
      <c r="M48" s="296">
        <f t="shared" si="15"/>
        <v>2095588.1069394923</v>
      </c>
      <c r="N48" s="295">
        <f t="shared" si="14"/>
        <v>1433823.4415901776</v>
      </c>
    </row>
    <row r="49" spans="1:14" s="283" customFormat="1" outlineLevel="1" x14ac:dyDescent="0.25">
      <c r="A49" s="301">
        <v>44681</v>
      </c>
      <c r="B49" s="301"/>
      <c r="C49" s="299"/>
      <c r="D49" s="297">
        <f t="shared" si="11"/>
        <v>5026060.749488458</v>
      </c>
      <c r="E49" s="297">
        <f t="shared" si="6"/>
        <v>5026060.749488458</v>
      </c>
      <c r="F49" s="299">
        <f t="shared" si="8"/>
        <v>139612.79859690162</v>
      </c>
      <c r="G49" s="297">
        <f t="shared" si="9"/>
        <v>-3350707.1663256404</v>
      </c>
      <c r="H49" s="297">
        <f t="shared" si="10"/>
        <v>-2513030.3747442295</v>
      </c>
      <c r="I49" s="297">
        <f t="shared" si="5"/>
        <v>2513030.3747442286</v>
      </c>
      <c r="J49" s="297">
        <f t="shared" si="12"/>
        <v>29318.687705349337</v>
      </c>
      <c r="K49" s="298">
        <f t="shared" si="13"/>
        <v>-351824.25246419257</v>
      </c>
      <c r="L49" s="297">
        <f t="shared" si="7"/>
        <v>-527736.37869628856</v>
      </c>
      <c r="M49" s="296">
        <f t="shared" si="15"/>
        <v>1985293.9960479401</v>
      </c>
      <c r="N49" s="302">
        <f t="shared" si="14"/>
        <v>1323529.3306986252</v>
      </c>
    </row>
    <row r="50" spans="1:14" s="283" customFormat="1" outlineLevel="1" x14ac:dyDescent="0.25">
      <c r="A50" s="301">
        <v>44712</v>
      </c>
      <c r="B50" s="301"/>
      <c r="C50" s="299"/>
      <c r="D50" s="297">
        <f t="shared" si="11"/>
        <v>5026060.749488458</v>
      </c>
      <c r="E50" s="297">
        <f t="shared" si="6"/>
        <v>5026060.749488458</v>
      </c>
      <c r="F50" s="299">
        <f t="shared" si="8"/>
        <v>139612.79859690162</v>
      </c>
      <c r="G50" s="297">
        <f t="shared" si="9"/>
        <v>-3490319.9649225422</v>
      </c>
      <c r="H50" s="297">
        <f t="shared" si="10"/>
        <v>-2652643.1733411313</v>
      </c>
      <c r="I50" s="297">
        <f t="shared" si="5"/>
        <v>2373417.5761473267</v>
      </c>
      <c r="J50" s="297">
        <f t="shared" si="12"/>
        <v>29318.687705349337</v>
      </c>
      <c r="K50" s="298">
        <f t="shared" si="13"/>
        <v>-322505.56475884322</v>
      </c>
      <c r="L50" s="297">
        <f t="shared" si="7"/>
        <v>-498417.69099093927</v>
      </c>
      <c r="M50" s="296">
        <f t="shared" si="15"/>
        <v>1874999.8851563875</v>
      </c>
      <c r="N50" s="302">
        <f t="shared" si="14"/>
        <v>1213235.2198070725</v>
      </c>
    </row>
    <row r="51" spans="1:14" s="283" customFormat="1" outlineLevel="1" x14ac:dyDescent="0.25">
      <c r="A51" s="301">
        <v>44742</v>
      </c>
      <c r="B51" s="301"/>
      <c r="C51" s="299"/>
      <c r="D51" s="297">
        <f t="shared" si="11"/>
        <v>5026060.749488458</v>
      </c>
      <c r="E51" s="297">
        <f t="shared" si="6"/>
        <v>5026060.749488458</v>
      </c>
      <c r="F51" s="299">
        <f t="shared" si="8"/>
        <v>139612.79859690162</v>
      </c>
      <c r="G51" s="297">
        <f t="shared" si="9"/>
        <v>-3629932.763519444</v>
      </c>
      <c r="H51" s="297">
        <f t="shared" si="10"/>
        <v>-2792255.9719380331</v>
      </c>
      <c r="I51" s="297">
        <f t="shared" si="5"/>
        <v>2233804.7775504249</v>
      </c>
      <c r="J51" s="297">
        <f t="shared" si="12"/>
        <v>29318.687705349337</v>
      </c>
      <c r="K51" s="298">
        <f t="shared" si="13"/>
        <v>-293186.87705349387</v>
      </c>
      <c r="L51" s="297">
        <f t="shared" si="7"/>
        <v>-469099.00328558992</v>
      </c>
      <c r="M51" s="296">
        <f t="shared" si="15"/>
        <v>1764705.7742648351</v>
      </c>
      <c r="N51" s="295">
        <f t="shared" si="14"/>
        <v>1102941.1089155201</v>
      </c>
    </row>
    <row r="52" spans="1:14" s="283" customFormat="1" outlineLevel="1" x14ac:dyDescent="0.25">
      <c r="A52" s="301">
        <v>44773</v>
      </c>
      <c r="B52" s="300"/>
      <c r="C52" s="300"/>
      <c r="D52" s="297">
        <f t="shared" si="11"/>
        <v>5026060.749488458</v>
      </c>
      <c r="E52" s="297">
        <f t="shared" si="6"/>
        <v>5026060.749488458</v>
      </c>
      <c r="F52" s="299">
        <f t="shared" si="8"/>
        <v>139612.79859690162</v>
      </c>
      <c r="G52" s="297">
        <f t="shared" si="9"/>
        <v>-3769545.5621163459</v>
      </c>
      <c r="H52" s="297">
        <f t="shared" si="10"/>
        <v>-2931868.7705349349</v>
      </c>
      <c r="I52" s="297">
        <f t="shared" si="5"/>
        <v>2094191.9789535231</v>
      </c>
      <c r="J52" s="297">
        <f t="shared" si="12"/>
        <v>29318.687705349337</v>
      </c>
      <c r="K52" s="298">
        <f t="shared" si="13"/>
        <v>-263868.18934814451</v>
      </c>
      <c r="L52" s="297">
        <f t="shared" si="7"/>
        <v>-439780.31558024063</v>
      </c>
      <c r="M52" s="296">
        <f t="shared" si="15"/>
        <v>1654411.6633732824</v>
      </c>
      <c r="N52" s="295">
        <f t="shared" si="14"/>
        <v>992646.99802396772</v>
      </c>
    </row>
    <row r="53" spans="1:14" s="283" customFormat="1" outlineLevel="1" x14ac:dyDescent="0.25">
      <c r="A53" s="301">
        <v>44804</v>
      </c>
      <c r="B53" s="300"/>
      <c r="C53" s="300"/>
      <c r="D53" s="297">
        <f t="shared" si="11"/>
        <v>5026060.749488458</v>
      </c>
      <c r="E53" s="297">
        <f t="shared" si="6"/>
        <v>5026060.749488458</v>
      </c>
      <c r="F53" s="299">
        <f t="shared" si="8"/>
        <v>139612.79859690162</v>
      </c>
      <c r="G53" s="297">
        <f t="shared" si="9"/>
        <v>-3909158.3607132477</v>
      </c>
      <c r="H53" s="297">
        <f t="shared" si="10"/>
        <v>-3071481.5691318368</v>
      </c>
      <c r="I53" s="297">
        <f t="shared" si="5"/>
        <v>1954579.1803566213</v>
      </c>
      <c r="J53" s="297">
        <f t="shared" si="12"/>
        <v>29318.687705349337</v>
      </c>
      <c r="K53" s="298">
        <f t="shared" si="13"/>
        <v>-234549.50164279516</v>
      </c>
      <c r="L53" s="297">
        <f t="shared" si="7"/>
        <v>-410461.62787489127</v>
      </c>
      <c r="M53" s="296">
        <f t="shared" si="15"/>
        <v>1544117.55248173</v>
      </c>
      <c r="N53" s="295">
        <f t="shared" si="14"/>
        <v>882352.8871324152</v>
      </c>
    </row>
    <row r="54" spans="1:14" s="283" customFormat="1" outlineLevel="1" x14ac:dyDescent="0.25">
      <c r="A54" s="301">
        <v>44834</v>
      </c>
      <c r="B54" s="300"/>
      <c r="C54" s="300"/>
      <c r="D54" s="297">
        <f t="shared" si="11"/>
        <v>5026060.749488458</v>
      </c>
      <c r="E54" s="297">
        <f t="shared" si="6"/>
        <v>5026060.749488458</v>
      </c>
      <c r="F54" s="299">
        <f t="shared" si="8"/>
        <v>139612.79859690162</v>
      </c>
      <c r="G54" s="297">
        <f t="shared" si="9"/>
        <v>-4048771.1593101495</v>
      </c>
      <c r="H54" s="297">
        <f t="shared" si="10"/>
        <v>-3211094.3677287386</v>
      </c>
      <c r="I54" s="297">
        <f t="shared" si="5"/>
        <v>1814966.3817597195</v>
      </c>
      <c r="J54" s="297">
        <f t="shared" si="12"/>
        <v>29318.687705349337</v>
      </c>
      <c r="K54" s="298">
        <f t="shared" si="13"/>
        <v>-205230.81393744581</v>
      </c>
      <c r="L54" s="297">
        <f t="shared" si="7"/>
        <v>-381142.94016954192</v>
      </c>
      <c r="M54" s="296">
        <f t="shared" si="15"/>
        <v>1433823.4415901776</v>
      </c>
      <c r="N54" s="295">
        <f t="shared" si="14"/>
        <v>772058.77624086267</v>
      </c>
    </row>
    <row r="55" spans="1:14" s="283" customFormat="1" outlineLevel="1" x14ac:dyDescent="0.25">
      <c r="A55" s="301">
        <v>44865</v>
      </c>
      <c r="B55" s="300"/>
      <c r="C55" s="300"/>
      <c r="D55" s="297">
        <f t="shared" si="11"/>
        <v>5026060.749488458</v>
      </c>
      <c r="E55" s="297">
        <f t="shared" si="6"/>
        <v>5026060.749488458</v>
      </c>
      <c r="F55" s="299">
        <f t="shared" si="8"/>
        <v>139612.79859690162</v>
      </c>
      <c r="G55" s="297">
        <f t="shared" si="9"/>
        <v>-4188383.9579070513</v>
      </c>
      <c r="H55" s="297">
        <f t="shared" si="10"/>
        <v>-3350707.1663256404</v>
      </c>
      <c r="I55" s="297">
        <f t="shared" si="5"/>
        <v>1675353.5831628176</v>
      </c>
      <c r="J55" s="297">
        <f t="shared" si="12"/>
        <v>29318.687705349337</v>
      </c>
      <c r="K55" s="298">
        <f t="shared" si="13"/>
        <v>-175912.12623209646</v>
      </c>
      <c r="L55" s="297">
        <f t="shared" si="7"/>
        <v>-351824.25246419251</v>
      </c>
      <c r="M55" s="296">
        <f t="shared" si="15"/>
        <v>1323529.3306986252</v>
      </c>
      <c r="N55" s="295">
        <f t="shared" si="14"/>
        <v>661764.66534931026</v>
      </c>
    </row>
    <row r="56" spans="1:14" s="283" customFormat="1" outlineLevel="1" x14ac:dyDescent="0.25">
      <c r="A56" s="301">
        <v>44895</v>
      </c>
      <c r="B56" s="300"/>
      <c r="C56" s="300"/>
      <c r="D56" s="297">
        <f t="shared" si="11"/>
        <v>5026060.749488458</v>
      </c>
      <c r="E56" s="297">
        <f t="shared" si="6"/>
        <v>5026060.749488458</v>
      </c>
      <c r="F56" s="299">
        <f t="shared" si="8"/>
        <v>139612.79859690162</v>
      </c>
      <c r="G56" s="297">
        <f t="shared" si="9"/>
        <v>-4327996.7565039527</v>
      </c>
      <c r="H56" s="297">
        <f t="shared" si="10"/>
        <v>-3490319.9649225418</v>
      </c>
      <c r="I56" s="297">
        <f t="shared" si="5"/>
        <v>1535740.7845659163</v>
      </c>
      <c r="J56" s="297">
        <f t="shared" si="12"/>
        <v>29318.687705349337</v>
      </c>
      <c r="K56" s="298">
        <f t="shared" si="13"/>
        <v>-146593.43852674711</v>
      </c>
      <c r="L56" s="297">
        <f t="shared" si="7"/>
        <v>-322505.56475884322</v>
      </c>
      <c r="M56" s="296">
        <f t="shared" si="15"/>
        <v>1213235.219807073</v>
      </c>
      <c r="N56" s="295">
        <f t="shared" si="14"/>
        <v>551470.55445775832</v>
      </c>
    </row>
    <row r="57" spans="1:14" s="283" customFormat="1" outlineLevel="1" x14ac:dyDescent="0.25">
      <c r="A57" s="301">
        <v>44926</v>
      </c>
      <c r="B57" s="300"/>
      <c r="C57" s="300"/>
      <c r="D57" s="297">
        <f t="shared" si="11"/>
        <v>5026060.749488458</v>
      </c>
      <c r="E57" s="297">
        <f t="shared" si="6"/>
        <v>5026060.749488458</v>
      </c>
      <c r="F57" s="299">
        <f t="shared" si="8"/>
        <v>139612.79859690162</v>
      </c>
      <c r="G57" s="297">
        <f t="shared" si="9"/>
        <v>-4467609.5551008545</v>
      </c>
      <c r="H57" s="297">
        <f t="shared" si="10"/>
        <v>-3629932.763519444</v>
      </c>
      <c r="I57" s="297">
        <f t="shared" si="5"/>
        <v>1396127.985969014</v>
      </c>
      <c r="J57" s="297">
        <f t="shared" si="12"/>
        <v>29318.687705349337</v>
      </c>
      <c r="K57" s="298">
        <f t="shared" si="13"/>
        <v>-117274.75082139777</v>
      </c>
      <c r="L57" s="297">
        <f t="shared" si="7"/>
        <v>-293186.87705349387</v>
      </c>
      <c r="M57" s="296">
        <f t="shared" si="15"/>
        <v>1102941.1089155201</v>
      </c>
      <c r="N57" s="295">
        <f t="shared" si="14"/>
        <v>441176.44356620579</v>
      </c>
    </row>
    <row r="58" spans="1:14" s="283" customFormat="1" outlineLevel="1" x14ac:dyDescent="0.25">
      <c r="A58" s="301">
        <v>44957</v>
      </c>
      <c r="B58" s="300"/>
      <c r="C58" s="300"/>
      <c r="D58" s="297">
        <f t="shared" si="11"/>
        <v>5026060.749488458</v>
      </c>
      <c r="E58" s="297">
        <f t="shared" si="6"/>
        <v>5026060.749488458</v>
      </c>
      <c r="F58" s="299">
        <f t="shared" si="8"/>
        <v>139612.79859690162</v>
      </c>
      <c r="G58" s="297">
        <f t="shared" si="9"/>
        <v>-4607222.3536977563</v>
      </c>
      <c r="H58" s="297">
        <f t="shared" si="10"/>
        <v>-3769545.5621163454</v>
      </c>
      <c r="I58" s="297">
        <f t="shared" si="5"/>
        <v>1256515.1873721126</v>
      </c>
      <c r="J58" s="297">
        <f t="shared" si="12"/>
        <v>29318.687705349337</v>
      </c>
      <c r="K58" s="298">
        <f t="shared" si="13"/>
        <v>-87956.063116048434</v>
      </c>
      <c r="L58" s="297">
        <f t="shared" si="7"/>
        <v>-263868.18934814451</v>
      </c>
      <c r="M58" s="296">
        <f t="shared" si="15"/>
        <v>992646.99802396819</v>
      </c>
      <c r="N58" s="295">
        <f t="shared" si="14"/>
        <v>330882.33267465327</v>
      </c>
    </row>
    <row r="59" spans="1:14" s="283" customFormat="1" outlineLevel="1" x14ac:dyDescent="0.25">
      <c r="A59" s="301">
        <v>44985</v>
      </c>
      <c r="B59" s="300"/>
      <c r="C59" s="300"/>
      <c r="D59" s="297">
        <f t="shared" si="11"/>
        <v>5026060.749488458</v>
      </c>
      <c r="E59" s="297">
        <f t="shared" si="6"/>
        <v>5026060.749488458</v>
      </c>
      <c r="F59" s="299">
        <f t="shared" si="8"/>
        <v>139612.79859690162</v>
      </c>
      <c r="G59" s="297">
        <f t="shared" si="9"/>
        <v>-4746835.1522946581</v>
      </c>
      <c r="H59" s="297">
        <f t="shared" si="10"/>
        <v>-3909158.3607132472</v>
      </c>
      <c r="I59" s="297">
        <f t="shared" si="5"/>
        <v>1116902.3887752108</v>
      </c>
      <c r="J59" s="297">
        <f t="shared" si="12"/>
        <v>29318.687705349337</v>
      </c>
      <c r="K59" s="298">
        <f t="shared" si="13"/>
        <v>-58637.375410699096</v>
      </c>
      <c r="L59" s="297">
        <f t="shared" si="7"/>
        <v>-234549.50164279516</v>
      </c>
      <c r="M59" s="296">
        <f t="shared" si="15"/>
        <v>882352.88713241566</v>
      </c>
      <c r="N59" s="295">
        <f t="shared" si="14"/>
        <v>220588.2217831008</v>
      </c>
    </row>
    <row r="60" spans="1:14" s="283" customFormat="1" outlineLevel="1" x14ac:dyDescent="0.25">
      <c r="A60" s="301">
        <v>45016</v>
      </c>
      <c r="B60" s="300"/>
      <c r="C60" s="300"/>
      <c r="D60" s="297">
        <f t="shared" si="11"/>
        <v>5026060.749488458</v>
      </c>
      <c r="E60" s="297">
        <f t="shared" si="6"/>
        <v>5026060.749488458</v>
      </c>
      <c r="F60" s="299">
        <f t="shared" si="8"/>
        <v>139612.79859690162</v>
      </c>
      <c r="G60" s="297">
        <f t="shared" si="9"/>
        <v>-4886447.9508915599</v>
      </c>
      <c r="H60" s="297">
        <f t="shared" si="10"/>
        <v>-4048771.1593101495</v>
      </c>
      <c r="I60" s="297">
        <f t="shared" si="5"/>
        <v>977289.59017830854</v>
      </c>
      <c r="J60" s="297">
        <f t="shared" si="12"/>
        <v>29318.687705349337</v>
      </c>
      <c r="K60" s="298">
        <f t="shared" si="13"/>
        <v>-29318.687705349759</v>
      </c>
      <c r="L60" s="297">
        <f t="shared" si="7"/>
        <v>-205230.81393744578</v>
      </c>
      <c r="M60" s="296">
        <f t="shared" si="15"/>
        <v>772058.77624086279</v>
      </c>
      <c r="N60" s="295">
        <f t="shared" si="14"/>
        <v>110294.11089154833</v>
      </c>
    </row>
    <row r="61" spans="1:14" s="283" customFormat="1" outlineLevel="1" x14ac:dyDescent="0.25">
      <c r="A61" s="301">
        <v>45046</v>
      </c>
      <c r="B61" s="300"/>
      <c r="C61" s="300"/>
      <c r="D61" s="297">
        <f t="shared" si="11"/>
        <v>5026060.749488458</v>
      </c>
      <c r="E61" s="297">
        <f t="shared" si="6"/>
        <v>5026060.749488458</v>
      </c>
      <c r="F61" s="299">
        <f t="shared" si="8"/>
        <v>139612.79859690162</v>
      </c>
      <c r="G61" s="297">
        <f t="shared" si="9"/>
        <v>-5026060.7494884618</v>
      </c>
      <c r="H61" s="297">
        <f t="shared" si="10"/>
        <v>-4188383.9579070513</v>
      </c>
      <c r="I61" s="297">
        <f t="shared" si="5"/>
        <v>837676.79158140672</v>
      </c>
      <c r="J61" s="297">
        <f t="shared" si="12"/>
        <v>29318.687705349337</v>
      </c>
      <c r="K61" s="298">
        <f t="shared" si="13"/>
        <v>-4.220055416226387E-10</v>
      </c>
      <c r="L61" s="297">
        <f t="shared" si="7"/>
        <v>-175912.12623209646</v>
      </c>
      <c r="M61" s="296">
        <f t="shared" si="15"/>
        <v>661764.66534931026</v>
      </c>
      <c r="N61" s="295">
        <f t="shared" si="14"/>
        <v>-4.1472958400845528E-9</v>
      </c>
    </row>
    <row r="62" spans="1:14" s="283" customFormat="1" outlineLevel="1" x14ac:dyDescent="0.25">
      <c r="A62" s="301"/>
      <c r="B62" s="300"/>
      <c r="C62" s="300"/>
      <c r="D62" s="297"/>
      <c r="E62" s="297"/>
      <c r="F62" s="299"/>
      <c r="G62" s="297"/>
      <c r="H62" s="297"/>
      <c r="I62" s="297"/>
      <c r="J62" s="297"/>
      <c r="K62" s="298"/>
      <c r="L62" s="297"/>
      <c r="M62" s="296"/>
      <c r="N62" s="295"/>
    </row>
    <row r="63" spans="1:14" s="283" customFormat="1" x14ac:dyDescent="0.25">
      <c r="A63" s="293"/>
      <c r="B63" s="293"/>
      <c r="C63" s="293"/>
      <c r="D63" s="293"/>
      <c r="E63" s="293"/>
      <c r="F63" s="294"/>
      <c r="G63" s="293"/>
      <c r="H63" s="293"/>
      <c r="I63" s="293"/>
      <c r="J63" s="293"/>
      <c r="K63" s="293"/>
      <c r="L63" s="293"/>
      <c r="M63" s="292"/>
      <c r="N63" s="291"/>
    </row>
    <row r="64" spans="1:14" s="283" customFormat="1" x14ac:dyDescent="0.25">
      <c r="A64" s="290"/>
      <c r="B64" s="290"/>
      <c r="C64" s="290"/>
      <c r="D64" s="290"/>
      <c r="E64" s="290"/>
      <c r="F64" s="286"/>
      <c r="G64" s="290"/>
      <c r="H64" s="290"/>
      <c r="I64" s="290"/>
      <c r="J64" s="290"/>
      <c r="K64" s="290"/>
      <c r="L64" s="290"/>
      <c r="M64" s="290"/>
      <c r="N64" s="290"/>
    </row>
    <row r="65" spans="1:13" s="283" customFormat="1" ht="12.75" x14ac:dyDescent="0.2">
      <c r="A65" s="288"/>
      <c r="B65" s="289"/>
      <c r="C65" s="287"/>
      <c r="D65" s="287"/>
      <c r="E65" s="285"/>
      <c r="F65" s="287"/>
      <c r="G65" s="285"/>
      <c r="H65" s="285"/>
      <c r="I65" s="285"/>
      <c r="J65" s="285"/>
      <c r="K65" s="285"/>
      <c r="L65" s="285"/>
      <c r="M65" s="285"/>
    </row>
    <row r="66" spans="1:13" s="283" customFormat="1" ht="12.75" x14ac:dyDescent="0.2">
      <c r="A66" s="288"/>
      <c r="B66" s="287"/>
      <c r="C66" s="287"/>
      <c r="D66" s="287"/>
      <c r="E66" s="285"/>
      <c r="F66" s="287"/>
      <c r="G66" s="285"/>
      <c r="H66" s="285"/>
      <c r="I66" s="285"/>
      <c r="J66" s="285"/>
      <c r="K66" s="285"/>
      <c r="L66" s="285"/>
      <c r="M66" s="285"/>
    </row>
    <row r="67" spans="1:13" s="283" customFormat="1" x14ac:dyDescent="0.25">
      <c r="C67" s="285"/>
      <c r="D67" s="285"/>
      <c r="E67" s="285"/>
      <c r="F67" s="286"/>
      <c r="G67" s="285"/>
      <c r="H67" s="285"/>
      <c r="I67" s="285"/>
      <c r="J67" s="285"/>
      <c r="K67" s="285"/>
      <c r="L67" s="285"/>
      <c r="M67" s="285"/>
    </row>
    <row r="68" spans="1:13" s="283" customFormat="1" x14ac:dyDescent="0.25">
      <c r="C68" s="285"/>
      <c r="D68" s="285"/>
      <c r="E68" s="285"/>
      <c r="F68" s="286"/>
      <c r="G68" s="285"/>
      <c r="H68" s="285"/>
      <c r="I68" s="285"/>
      <c r="J68" s="285"/>
      <c r="K68" s="285"/>
      <c r="L68" s="285"/>
      <c r="M68" s="285"/>
    </row>
    <row r="69" spans="1:13" s="283" customFormat="1" x14ac:dyDescent="0.25">
      <c r="C69" s="285"/>
      <c r="D69" s="285"/>
      <c r="E69" s="285"/>
      <c r="F69" s="286"/>
      <c r="G69" s="285"/>
      <c r="H69" s="285"/>
      <c r="I69" s="285"/>
      <c r="J69" s="285"/>
      <c r="K69" s="285"/>
      <c r="L69" s="285"/>
      <c r="M69" s="285"/>
    </row>
    <row r="70" spans="1:13" s="283" customFormat="1" x14ac:dyDescent="0.25">
      <c r="C70" s="285"/>
      <c r="D70" s="285"/>
      <c r="E70" s="285"/>
      <c r="F70" s="286"/>
      <c r="G70" s="285"/>
      <c r="H70" s="285"/>
      <c r="I70" s="285"/>
      <c r="J70" s="285"/>
      <c r="K70" s="285"/>
      <c r="L70" s="285"/>
      <c r="M70" s="285"/>
    </row>
    <row r="71" spans="1:13" s="283" customFormat="1" x14ac:dyDescent="0.25">
      <c r="C71" s="285"/>
      <c r="D71" s="285"/>
      <c r="E71" s="285"/>
      <c r="F71" s="286"/>
      <c r="G71" s="285"/>
      <c r="H71" s="285"/>
      <c r="I71" s="285"/>
      <c r="J71" s="285"/>
      <c r="K71" s="285"/>
      <c r="L71" s="285"/>
      <c r="M71" s="285"/>
    </row>
    <row r="72" spans="1:13" s="283" customFormat="1" x14ac:dyDescent="0.25">
      <c r="C72" s="285"/>
      <c r="D72" s="285"/>
      <c r="E72" s="285"/>
      <c r="F72" s="286"/>
      <c r="G72" s="285"/>
      <c r="H72" s="285"/>
      <c r="I72" s="285"/>
      <c r="J72" s="285"/>
      <c r="K72" s="285"/>
      <c r="L72" s="285"/>
      <c r="M72" s="285"/>
    </row>
    <row r="73" spans="1:13" s="283" customFormat="1" x14ac:dyDescent="0.25">
      <c r="C73" s="285"/>
      <c r="D73" s="285"/>
      <c r="E73" s="285"/>
      <c r="F73" s="286"/>
      <c r="G73" s="285"/>
      <c r="H73" s="285"/>
      <c r="I73" s="285"/>
      <c r="J73" s="285"/>
      <c r="K73" s="285"/>
      <c r="L73" s="285"/>
      <c r="M73" s="285"/>
    </row>
    <row r="74" spans="1:13" s="283" customFormat="1" x14ac:dyDescent="0.25">
      <c r="C74" s="285"/>
      <c r="D74" s="285"/>
      <c r="E74" s="285"/>
      <c r="F74" s="286"/>
      <c r="G74" s="285"/>
      <c r="H74" s="285"/>
      <c r="I74" s="285"/>
      <c r="J74" s="285"/>
      <c r="K74" s="285"/>
      <c r="L74" s="285"/>
      <c r="M74" s="285"/>
    </row>
    <row r="75" spans="1:13" s="283" customFormat="1" x14ac:dyDescent="0.25">
      <c r="C75" s="285"/>
      <c r="D75" s="285"/>
      <c r="E75" s="285"/>
      <c r="F75" s="286"/>
      <c r="G75" s="285"/>
      <c r="H75" s="285"/>
      <c r="I75" s="285"/>
      <c r="J75" s="285"/>
      <c r="K75" s="285"/>
      <c r="L75" s="285"/>
      <c r="M75" s="285"/>
    </row>
    <row r="76" spans="1:13" s="283" customFormat="1" x14ac:dyDescent="0.25">
      <c r="C76" s="285"/>
      <c r="D76" s="285"/>
      <c r="E76" s="285"/>
      <c r="F76" s="286"/>
      <c r="G76" s="285"/>
      <c r="H76" s="285"/>
      <c r="I76" s="285"/>
      <c r="J76" s="285"/>
      <c r="K76" s="285"/>
      <c r="L76" s="285"/>
      <c r="M76" s="285"/>
    </row>
    <row r="77" spans="1:13" s="283" customFormat="1" x14ac:dyDescent="0.25">
      <c r="C77" s="285"/>
      <c r="D77" s="285"/>
      <c r="E77" s="285"/>
      <c r="F77" s="286"/>
      <c r="G77" s="285"/>
      <c r="H77" s="285"/>
      <c r="I77" s="285"/>
      <c r="J77" s="285"/>
      <c r="K77" s="285"/>
      <c r="L77" s="285"/>
      <c r="M77" s="285"/>
    </row>
    <row r="78" spans="1:13" s="283" customFormat="1" x14ac:dyDescent="0.25">
      <c r="C78" s="285"/>
      <c r="D78" s="285"/>
      <c r="E78" s="285"/>
      <c r="F78" s="286"/>
      <c r="G78" s="285"/>
      <c r="H78" s="285"/>
      <c r="I78" s="285"/>
      <c r="J78" s="285"/>
      <c r="K78" s="285"/>
      <c r="L78" s="285"/>
      <c r="M78" s="285"/>
    </row>
    <row r="79" spans="1:13" s="283" customFormat="1" x14ac:dyDescent="0.25">
      <c r="C79" s="285"/>
      <c r="D79" s="285"/>
      <c r="E79" s="285"/>
      <c r="F79" s="286"/>
      <c r="G79" s="285"/>
      <c r="H79" s="285"/>
      <c r="I79" s="285"/>
      <c r="J79" s="285"/>
      <c r="K79" s="285"/>
      <c r="L79" s="285"/>
      <c r="M79" s="285"/>
    </row>
    <row r="80" spans="1:13" s="283" customFormat="1" x14ac:dyDescent="0.25">
      <c r="C80" s="285"/>
      <c r="D80" s="285"/>
      <c r="E80" s="285"/>
      <c r="F80" s="286"/>
      <c r="G80" s="285"/>
      <c r="H80" s="285"/>
      <c r="I80" s="285"/>
      <c r="J80" s="285"/>
      <c r="K80" s="285"/>
      <c r="L80" s="285"/>
      <c r="M80" s="285"/>
    </row>
    <row r="81" spans="3:13" s="283" customFormat="1" x14ac:dyDescent="0.25">
      <c r="C81" s="285"/>
      <c r="D81" s="285"/>
      <c r="E81" s="285"/>
      <c r="F81" s="286"/>
      <c r="G81" s="285"/>
      <c r="H81" s="285"/>
      <c r="I81" s="285"/>
      <c r="J81" s="285"/>
      <c r="K81" s="285"/>
      <c r="L81" s="285"/>
      <c r="M81" s="285"/>
    </row>
    <row r="82" spans="3:13" s="283" customFormat="1" x14ac:dyDescent="0.25">
      <c r="C82" s="285"/>
      <c r="D82" s="285"/>
      <c r="E82" s="285"/>
      <c r="F82" s="286"/>
      <c r="G82" s="285"/>
      <c r="H82" s="285"/>
      <c r="I82" s="285"/>
      <c r="J82" s="285"/>
      <c r="K82" s="285"/>
      <c r="L82" s="285"/>
      <c r="M82" s="285"/>
    </row>
    <row r="83" spans="3:13" s="283" customFormat="1" x14ac:dyDescent="0.25">
      <c r="C83" s="285"/>
      <c r="D83" s="285"/>
      <c r="E83" s="285"/>
      <c r="F83" s="286"/>
      <c r="G83" s="285"/>
      <c r="H83" s="285"/>
      <c r="I83" s="285"/>
      <c r="J83" s="285"/>
      <c r="K83" s="285"/>
      <c r="L83" s="285"/>
      <c r="M83" s="285"/>
    </row>
    <row r="84" spans="3:13" s="283" customFormat="1" x14ac:dyDescent="0.25">
      <c r="C84" s="285"/>
      <c r="D84" s="285"/>
      <c r="E84" s="285"/>
      <c r="F84" s="286"/>
      <c r="G84" s="285"/>
      <c r="H84" s="285"/>
      <c r="I84" s="285"/>
      <c r="J84" s="285"/>
      <c r="K84" s="285"/>
      <c r="L84" s="285"/>
      <c r="M84" s="285"/>
    </row>
    <row r="85" spans="3:13" s="283" customFormat="1" x14ac:dyDescent="0.25">
      <c r="C85" s="285"/>
      <c r="D85" s="285"/>
      <c r="E85" s="285"/>
      <c r="F85" s="286"/>
      <c r="G85" s="285"/>
      <c r="H85" s="285"/>
      <c r="I85" s="285"/>
      <c r="J85" s="285"/>
      <c r="K85" s="285"/>
      <c r="L85" s="285"/>
      <c r="M85" s="285"/>
    </row>
    <row r="86" spans="3:13" s="283" customFormat="1" x14ac:dyDescent="0.25">
      <c r="C86" s="285"/>
      <c r="D86" s="285"/>
      <c r="E86" s="285"/>
      <c r="F86" s="286"/>
      <c r="G86" s="285"/>
      <c r="H86" s="285"/>
      <c r="I86" s="285"/>
      <c r="J86" s="285"/>
      <c r="K86" s="285"/>
      <c r="L86" s="285"/>
      <c r="M86" s="285"/>
    </row>
    <row r="87" spans="3:13" s="283" customFormat="1" x14ac:dyDescent="0.25">
      <c r="C87" s="285"/>
      <c r="D87" s="285"/>
      <c r="E87" s="285"/>
      <c r="F87" s="286"/>
      <c r="G87" s="285"/>
      <c r="H87" s="285"/>
      <c r="I87" s="285"/>
      <c r="J87" s="285"/>
      <c r="K87" s="285"/>
      <c r="L87" s="285"/>
      <c r="M87" s="285"/>
    </row>
    <row r="88" spans="3:13" s="283" customFormat="1" x14ac:dyDescent="0.25">
      <c r="C88" s="285"/>
      <c r="D88" s="285"/>
      <c r="E88" s="285"/>
      <c r="F88" s="286"/>
      <c r="G88" s="285"/>
      <c r="H88" s="285"/>
      <c r="I88" s="285"/>
      <c r="J88" s="285"/>
      <c r="K88" s="285"/>
      <c r="L88" s="285"/>
      <c r="M88" s="285"/>
    </row>
    <row r="89" spans="3:13" s="283" customFormat="1" x14ac:dyDescent="0.25">
      <c r="F89" s="284"/>
    </row>
    <row r="90" spans="3:13" s="283" customFormat="1" x14ac:dyDescent="0.25">
      <c r="F90" s="284"/>
    </row>
    <row r="91" spans="3:13" s="283" customFormat="1" x14ac:dyDescent="0.25">
      <c r="F91" s="284"/>
    </row>
    <row r="92" spans="3:13" s="283" customFormat="1" x14ac:dyDescent="0.25">
      <c r="F92" s="284"/>
    </row>
    <row r="93" spans="3:13" s="283" customFormat="1" x14ac:dyDescent="0.25">
      <c r="F93" s="284"/>
    </row>
    <row r="94" spans="3:13" s="283" customFormat="1" x14ac:dyDescent="0.25">
      <c r="F94" s="284"/>
    </row>
    <row r="95" spans="3:13" s="283" customFormat="1" x14ac:dyDescent="0.25">
      <c r="F95" s="284"/>
    </row>
    <row r="96" spans="3:13" s="283" customFormat="1" x14ac:dyDescent="0.25">
      <c r="F96" s="284"/>
    </row>
    <row r="97" spans="6:6" s="283" customFormat="1" x14ac:dyDescent="0.25">
      <c r="F97" s="284"/>
    </row>
    <row r="98" spans="6:6" s="283" customFormat="1" x14ac:dyDescent="0.25">
      <c r="F98" s="284"/>
    </row>
    <row r="99" spans="6:6" s="283" customFormat="1" x14ac:dyDescent="0.25">
      <c r="F99" s="284"/>
    </row>
    <row r="100" spans="6:6" s="283" customFormat="1" x14ac:dyDescent="0.25">
      <c r="F100" s="284"/>
    </row>
    <row r="101" spans="6:6" s="283" customFormat="1" x14ac:dyDescent="0.25">
      <c r="F101" s="284"/>
    </row>
    <row r="102" spans="6:6" s="283" customFormat="1" x14ac:dyDescent="0.25">
      <c r="F102" s="284"/>
    </row>
    <row r="103" spans="6:6" s="283" customFormat="1" x14ac:dyDescent="0.25">
      <c r="F103" s="284"/>
    </row>
    <row r="104" spans="6:6" s="283" customFormat="1" x14ac:dyDescent="0.25">
      <c r="F104" s="284"/>
    </row>
    <row r="105" spans="6:6" s="283" customFormat="1" x14ac:dyDescent="0.25">
      <c r="F105" s="284"/>
    </row>
    <row r="106" spans="6:6" s="283" customFormat="1" x14ac:dyDescent="0.25">
      <c r="F106" s="284"/>
    </row>
    <row r="107" spans="6:6" s="283" customFormat="1" x14ac:dyDescent="0.25">
      <c r="F107" s="284"/>
    </row>
    <row r="108" spans="6:6" s="283" customFormat="1" x14ac:dyDescent="0.25">
      <c r="F108" s="284"/>
    </row>
    <row r="109" spans="6:6" s="283" customFormat="1" x14ac:dyDescent="0.25">
      <c r="F109" s="284"/>
    </row>
    <row r="110" spans="6:6" s="283" customFormat="1" x14ac:dyDescent="0.25">
      <c r="F110" s="284"/>
    </row>
    <row r="111" spans="6:6" s="283" customFormat="1" x14ac:dyDescent="0.25">
      <c r="F111" s="284"/>
    </row>
    <row r="112" spans="6:6" s="283" customFormat="1" x14ac:dyDescent="0.25">
      <c r="F112" s="284"/>
    </row>
    <row r="113" spans="6:6" s="283" customFormat="1" x14ac:dyDescent="0.25">
      <c r="F113" s="284"/>
    </row>
    <row r="114" spans="6:6" s="283" customFormat="1" x14ac:dyDescent="0.25">
      <c r="F114" s="284"/>
    </row>
    <row r="115" spans="6:6" s="283" customFormat="1" x14ac:dyDescent="0.25">
      <c r="F115" s="284"/>
    </row>
    <row r="116" spans="6:6" s="283" customFormat="1" x14ac:dyDescent="0.25">
      <c r="F116" s="284"/>
    </row>
  </sheetData>
  <pageMargins left="0.7" right="0.7" top="0.75" bottom="0.75" header="0.3" footer="0.3"/>
  <pageSetup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workbookViewId="0">
      <pane xSplit="3" ySplit="4" topLeftCell="D5" activePane="bottomRight" state="frozen"/>
      <selection activeCell="C20" sqref="C20"/>
      <selection pane="topRight" activeCell="C20" sqref="C20"/>
      <selection pane="bottomLeft" activeCell="C20" sqref="C20"/>
      <selection pane="bottomRight" activeCell="B36" sqref="B3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37" t="s">
        <v>338</v>
      </c>
      <c r="C1" s="237"/>
    </row>
    <row r="2" spans="2:41" x14ac:dyDescent="0.25">
      <c r="B2" s="237"/>
      <c r="C2" s="237"/>
    </row>
    <row r="3" spans="2:41" x14ac:dyDescent="0.25">
      <c r="B3" s="385" t="s">
        <v>337</v>
      </c>
      <c r="C3" s="182">
        <f>+[2]Lead!$E$35</f>
        <v>0.66190000000000004</v>
      </c>
      <c r="D3" s="387" t="s">
        <v>336</v>
      </c>
      <c r="E3" s="386" t="s">
        <v>335</v>
      </c>
      <c r="F3" s="386" t="s">
        <v>335</v>
      </c>
      <c r="G3" s="386" t="s">
        <v>335</v>
      </c>
      <c r="H3" s="386" t="s">
        <v>335</v>
      </c>
      <c r="I3" s="386" t="s">
        <v>335</v>
      </c>
      <c r="J3" s="386" t="s">
        <v>335</v>
      </c>
      <c r="K3" s="386" t="s">
        <v>335</v>
      </c>
      <c r="L3" s="386" t="s">
        <v>335</v>
      </c>
      <c r="M3" s="386" t="s">
        <v>335</v>
      </c>
      <c r="N3" s="386" t="s">
        <v>335</v>
      </c>
      <c r="O3" s="386" t="s">
        <v>335</v>
      </c>
      <c r="P3" s="386" t="s">
        <v>335</v>
      </c>
      <c r="Q3" s="386" t="s">
        <v>335</v>
      </c>
    </row>
    <row r="4" spans="2:41" x14ac:dyDescent="0.25">
      <c r="B4" s="385" t="s">
        <v>334</v>
      </c>
      <c r="C4" s="182">
        <f>+[2]Lead!$F$35</f>
        <v>0.33810000000000001</v>
      </c>
      <c r="D4" s="238">
        <v>43525</v>
      </c>
      <c r="E4" s="238">
        <v>43556</v>
      </c>
      <c r="F4" s="238">
        <v>43586</v>
      </c>
      <c r="G4" s="238">
        <v>43617</v>
      </c>
      <c r="H4" s="238">
        <v>43647</v>
      </c>
      <c r="I4" s="238">
        <v>43678</v>
      </c>
      <c r="J4" s="238">
        <v>43709</v>
      </c>
      <c r="K4" s="238">
        <v>43739</v>
      </c>
      <c r="L4" s="238">
        <v>43770</v>
      </c>
      <c r="M4" s="238">
        <v>43800</v>
      </c>
      <c r="N4" s="238">
        <v>43831</v>
      </c>
      <c r="O4" s="238">
        <v>43862</v>
      </c>
      <c r="P4" s="238">
        <v>43891</v>
      </c>
      <c r="Q4" s="238">
        <v>43922</v>
      </c>
      <c r="R4" s="255" t="s">
        <v>333</v>
      </c>
    </row>
    <row r="5" spans="2:41" x14ac:dyDescent="0.25">
      <c r="B5" s="381" t="s">
        <v>332</v>
      </c>
      <c r="C5" s="379"/>
      <c r="D5" s="186"/>
    </row>
    <row r="6" spans="2:41" x14ac:dyDescent="0.25">
      <c r="B6" s="376" t="s">
        <v>161</v>
      </c>
      <c r="C6" s="379" t="s">
        <v>308</v>
      </c>
      <c r="D6" s="205">
        <f>+'Deprec Plant'!B5</f>
        <v>193903.15</v>
      </c>
      <c r="E6" s="205">
        <f t="shared" ref="E6:Q6" si="0">+D6</f>
        <v>193903.15</v>
      </c>
      <c r="F6" s="205">
        <f t="shared" si="0"/>
        <v>193903.15</v>
      </c>
      <c r="G6" s="205">
        <f t="shared" si="0"/>
        <v>193903.15</v>
      </c>
      <c r="H6" s="205">
        <f t="shared" si="0"/>
        <v>193903.15</v>
      </c>
      <c r="I6" s="205">
        <f t="shared" si="0"/>
        <v>193903.15</v>
      </c>
      <c r="J6" s="205">
        <f t="shared" si="0"/>
        <v>193903.15</v>
      </c>
      <c r="K6" s="205">
        <f t="shared" si="0"/>
        <v>193903.15</v>
      </c>
      <c r="L6" s="205">
        <f t="shared" si="0"/>
        <v>193903.15</v>
      </c>
      <c r="M6" s="205">
        <f t="shared" si="0"/>
        <v>193903.15</v>
      </c>
      <c r="N6" s="205">
        <f t="shared" si="0"/>
        <v>193903.15</v>
      </c>
      <c r="O6" s="205">
        <f t="shared" si="0"/>
        <v>193903.15</v>
      </c>
      <c r="P6" s="205">
        <f t="shared" si="0"/>
        <v>193903.15</v>
      </c>
      <c r="Q6" s="205">
        <f t="shared" si="0"/>
        <v>193903.15</v>
      </c>
      <c r="R6" s="205">
        <f t="shared" ref="R6:R11" si="1">SUM(D6:Q6)</f>
        <v>2714644.0999999992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</row>
    <row r="7" spans="2:41" x14ac:dyDescent="0.25">
      <c r="B7" s="376" t="s">
        <v>121</v>
      </c>
      <c r="C7" s="379" t="s">
        <v>307</v>
      </c>
      <c r="D7" s="205">
        <f>+'Deprec Plant'!B6</f>
        <v>43030.409999999996</v>
      </c>
      <c r="E7" s="205">
        <f t="shared" ref="E7:Q7" si="2">+D7</f>
        <v>43030.409999999996</v>
      </c>
      <c r="F7" s="205">
        <f t="shared" si="2"/>
        <v>43030.409999999996</v>
      </c>
      <c r="G7" s="205">
        <f t="shared" si="2"/>
        <v>43030.409999999996</v>
      </c>
      <c r="H7" s="205">
        <f t="shared" si="2"/>
        <v>43030.409999999996</v>
      </c>
      <c r="I7" s="205">
        <f t="shared" si="2"/>
        <v>43030.409999999996</v>
      </c>
      <c r="J7" s="205">
        <f t="shared" si="2"/>
        <v>43030.409999999996</v>
      </c>
      <c r="K7" s="205">
        <f t="shared" si="2"/>
        <v>43030.409999999996</v>
      </c>
      <c r="L7" s="205">
        <f t="shared" si="2"/>
        <v>43030.409999999996</v>
      </c>
      <c r="M7" s="205">
        <f t="shared" si="2"/>
        <v>43030.409999999996</v>
      </c>
      <c r="N7" s="205">
        <f t="shared" si="2"/>
        <v>43030.409999999996</v>
      </c>
      <c r="O7" s="205">
        <f t="shared" si="2"/>
        <v>43030.409999999996</v>
      </c>
      <c r="P7" s="205">
        <f t="shared" si="2"/>
        <v>43030.409999999996</v>
      </c>
      <c r="Q7" s="205">
        <f t="shared" si="2"/>
        <v>43030.409999999996</v>
      </c>
      <c r="R7" s="205">
        <f t="shared" si="1"/>
        <v>602425.73999999987</v>
      </c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2:41" x14ac:dyDescent="0.25">
      <c r="B8" s="376" t="s">
        <v>122</v>
      </c>
      <c r="C8" s="379" t="s">
        <v>307</v>
      </c>
      <c r="D8" s="205">
        <f>+'Deprec Plant'!B7</f>
        <v>2800.31</v>
      </c>
      <c r="E8" s="205">
        <f t="shared" ref="E8:Q8" si="3">+D8</f>
        <v>2800.31</v>
      </c>
      <c r="F8" s="205">
        <f t="shared" si="3"/>
        <v>2800.31</v>
      </c>
      <c r="G8" s="205">
        <f t="shared" si="3"/>
        <v>2800.31</v>
      </c>
      <c r="H8" s="205">
        <f t="shared" si="3"/>
        <v>2800.31</v>
      </c>
      <c r="I8" s="205">
        <f t="shared" si="3"/>
        <v>2800.31</v>
      </c>
      <c r="J8" s="205">
        <f t="shared" si="3"/>
        <v>2800.31</v>
      </c>
      <c r="K8" s="205">
        <f t="shared" si="3"/>
        <v>2800.31</v>
      </c>
      <c r="L8" s="205">
        <f t="shared" si="3"/>
        <v>2800.31</v>
      </c>
      <c r="M8" s="205">
        <f t="shared" si="3"/>
        <v>2800.31</v>
      </c>
      <c r="N8" s="205">
        <f t="shared" si="3"/>
        <v>2800.31</v>
      </c>
      <c r="O8" s="205">
        <f t="shared" si="3"/>
        <v>2800.31</v>
      </c>
      <c r="P8" s="205">
        <f t="shared" si="3"/>
        <v>2800.31</v>
      </c>
      <c r="Q8" s="205">
        <f t="shared" si="3"/>
        <v>2800.31</v>
      </c>
      <c r="R8" s="205">
        <f t="shared" si="1"/>
        <v>39204.340000000004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2:41" x14ac:dyDescent="0.25">
      <c r="B9" s="376" t="s">
        <v>132</v>
      </c>
      <c r="C9" s="379" t="s">
        <v>308</v>
      </c>
      <c r="D9" s="205">
        <f>+'Deprec Plant'!B8*C3</f>
        <v>43679.740754999999</v>
      </c>
      <c r="E9" s="205">
        <f t="shared" ref="E9:Q9" si="4">+D9</f>
        <v>43679.740754999999</v>
      </c>
      <c r="F9" s="205">
        <f t="shared" si="4"/>
        <v>43679.740754999999</v>
      </c>
      <c r="G9" s="205">
        <f t="shared" si="4"/>
        <v>43679.740754999999</v>
      </c>
      <c r="H9" s="205">
        <f t="shared" si="4"/>
        <v>43679.740754999999</v>
      </c>
      <c r="I9" s="205">
        <f t="shared" si="4"/>
        <v>43679.740754999999</v>
      </c>
      <c r="J9" s="205">
        <f t="shared" si="4"/>
        <v>43679.740754999999</v>
      </c>
      <c r="K9" s="205">
        <f t="shared" si="4"/>
        <v>43679.740754999999</v>
      </c>
      <c r="L9" s="205">
        <f t="shared" si="4"/>
        <v>43679.740754999999</v>
      </c>
      <c r="M9" s="205">
        <f t="shared" si="4"/>
        <v>43679.740754999999</v>
      </c>
      <c r="N9" s="205">
        <f t="shared" si="4"/>
        <v>43679.740754999999</v>
      </c>
      <c r="O9" s="205">
        <f t="shared" si="4"/>
        <v>43679.740754999999</v>
      </c>
      <c r="P9" s="205">
        <f t="shared" si="4"/>
        <v>43679.740754999999</v>
      </c>
      <c r="Q9" s="205">
        <f t="shared" si="4"/>
        <v>43679.740754999999</v>
      </c>
      <c r="R9" s="205">
        <f t="shared" si="1"/>
        <v>611516.37056999991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2:41" x14ac:dyDescent="0.25">
      <c r="B10" s="376" t="s">
        <v>132</v>
      </c>
      <c r="C10" s="379" t="s">
        <v>307</v>
      </c>
      <c r="D10" s="205">
        <f>+'Deprec Plant'!B8*C4</f>
        <v>22311.709244999998</v>
      </c>
      <c r="E10" s="205">
        <f t="shared" ref="E10:Q10" si="5">+D10</f>
        <v>22311.709244999998</v>
      </c>
      <c r="F10" s="205">
        <f t="shared" si="5"/>
        <v>22311.709244999998</v>
      </c>
      <c r="G10" s="205">
        <f t="shared" si="5"/>
        <v>22311.709244999998</v>
      </c>
      <c r="H10" s="205">
        <f t="shared" si="5"/>
        <v>22311.709244999998</v>
      </c>
      <c r="I10" s="205">
        <f t="shared" si="5"/>
        <v>22311.709244999998</v>
      </c>
      <c r="J10" s="205">
        <f t="shared" si="5"/>
        <v>22311.709244999998</v>
      </c>
      <c r="K10" s="205">
        <f t="shared" si="5"/>
        <v>22311.709244999998</v>
      </c>
      <c r="L10" s="205">
        <f t="shared" si="5"/>
        <v>22311.709244999998</v>
      </c>
      <c r="M10" s="205">
        <f t="shared" si="5"/>
        <v>22311.709244999998</v>
      </c>
      <c r="N10" s="205">
        <f t="shared" si="5"/>
        <v>22311.709244999998</v>
      </c>
      <c r="O10" s="205">
        <f t="shared" si="5"/>
        <v>22311.709244999998</v>
      </c>
      <c r="P10" s="205">
        <f t="shared" si="5"/>
        <v>22311.709244999998</v>
      </c>
      <c r="Q10" s="205">
        <f t="shared" si="5"/>
        <v>22311.709244999998</v>
      </c>
      <c r="R10" s="205">
        <f t="shared" si="1"/>
        <v>312363.92942999996</v>
      </c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2:41" x14ac:dyDescent="0.25">
      <c r="B11" s="376" t="s">
        <v>331</v>
      </c>
      <c r="C11" s="379" t="s">
        <v>307</v>
      </c>
      <c r="D11" s="414" t="s">
        <v>372</v>
      </c>
      <c r="E11" s="205">
        <f t="array" ref="E11:Q11">TRANSPOSE('Gas AMI Additions'!E18:E30-'Gas AMI Additions'!E17)</f>
        <v>0</v>
      </c>
      <c r="F11" s="205">
        <v>0</v>
      </c>
      <c r="G11" s="205">
        <v>29010.284099999997</v>
      </c>
      <c r="H11" s="205">
        <v>29010.284099999997</v>
      </c>
      <c r="I11" s="205">
        <v>29010.284099999997</v>
      </c>
      <c r="J11" s="205">
        <v>29010.284099999997</v>
      </c>
      <c r="K11" s="205">
        <v>29010.284099999997</v>
      </c>
      <c r="L11" s="205">
        <v>29010.284099999997</v>
      </c>
      <c r="M11" s="205">
        <v>29010.284099999997</v>
      </c>
      <c r="N11" s="205">
        <v>29010.284099999997</v>
      </c>
      <c r="O11" s="205">
        <v>29010.284099999997</v>
      </c>
      <c r="P11" s="205">
        <v>29010.284099999997</v>
      </c>
      <c r="Q11" s="205">
        <v>29010.284099999997</v>
      </c>
      <c r="R11" s="205">
        <f t="shared" si="1"/>
        <v>319113.12509999995</v>
      </c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2:41" x14ac:dyDescent="0.25">
      <c r="B12" s="376" t="s">
        <v>330</v>
      </c>
      <c r="C12" s="379"/>
      <c r="D12" s="382">
        <f t="shared" ref="D12:R12" si="6">SUM(D6:D11)</f>
        <v>305725.31999999995</v>
      </c>
      <c r="E12" s="382">
        <f t="shared" si="6"/>
        <v>305725.31999999995</v>
      </c>
      <c r="F12" s="382">
        <f t="shared" si="6"/>
        <v>305725.31999999995</v>
      </c>
      <c r="G12" s="382">
        <f t="shared" si="6"/>
        <v>334735.60409999994</v>
      </c>
      <c r="H12" s="382">
        <f t="shared" si="6"/>
        <v>334735.60409999994</v>
      </c>
      <c r="I12" s="382">
        <f t="shared" si="6"/>
        <v>334735.60409999994</v>
      </c>
      <c r="J12" s="382">
        <f t="shared" si="6"/>
        <v>334735.60409999994</v>
      </c>
      <c r="K12" s="382">
        <f t="shared" si="6"/>
        <v>334735.60409999994</v>
      </c>
      <c r="L12" s="382">
        <f t="shared" si="6"/>
        <v>334735.60409999994</v>
      </c>
      <c r="M12" s="382">
        <f t="shared" si="6"/>
        <v>334735.60409999994</v>
      </c>
      <c r="N12" s="382">
        <f t="shared" si="6"/>
        <v>334735.60409999994</v>
      </c>
      <c r="O12" s="382">
        <f t="shared" si="6"/>
        <v>334735.60409999994</v>
      </c>
      <c r="P12" s="382">
        <f t="shared" si="6"/>
        <v>334735.60409999994</v>
      </c>
      <c r="Q12" s="382">
        <f t="shared" si="6"/>
        <v>334735.60409999994</v>
      </c>
      <c r="R12" s="382">
        <f t="shared" si="6"/>
        <v>4599267.6050999984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2:41" x14ac:dyDescent="0.25">
      <c r="B13" s="384"/>
      <c r="C13" s="383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</row>
    <row r="14" spans="2:41" x14ac:dyDescent="0.25">
      <c r="B14" s="381" t="s">
        <v>329</v>
      </c>
      <c r="C14" s="379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</row>
    <row r="15" spans="2:41" x14ac:dyDescent="0.25">
      <c r="B15" s="376" t="s">
        <v>328</v>
      </c>
      <c r="C15" s="379" t="s">
        <v>308</v>
      </c>
      <c r="D15" s="205">
        <f>+'Deprec Misc Intangible'!B4*C3</f>
        <v>22561.761684000001</v>
      </c>
      <c r="E15" s="205">
        <f t="shared" ref="E15:Q15" si="7">+D15</f>
        <v>22561.761684000001</v>
      </c>
      <c r="F15" s="205">
        <f t="shared" si="7"/>
        <v>22561.761684000001</v>
      </c>
      <c r="G15" s="205">
        <f t="shared" si="7"/>
        <v>22561.761684000001</v>
      </c>
      <c r="H15" s="205">
        <f t="shared" si="7"/>
        <v>22561.761684000001</v>
      </c>
      <c r="I15" s="205">
        <f t="shared" si="7"/>
        <v>22561.761684000001</v>
      </c>
      <c r="J15" s="205">
        <f t="shared" si="7"/>
        <v>22561.761684000001</v>
      </c>
      <c r="K15" s="205">
        <f t="shared" si="7"/>
        <v>22561.761684000001</v>
      </c>
      <c r="L15" s="205">
        <f t="shared" si="7"/>
        <v>22561.761684000001</v>
      </c>
      <c r="M15" s="205">
        <f t="shared" si="7"/>
        <v>22561.761684000001</v>
      </c>
      <c r="N15" s="205">
        <f t="shared" si="7"/>
        <v>22561.761684000001</v>
      </c>
      <c r="O15" s="205">
        <f t="shared" si="7"/>
        <v>22561.761684000001</v>
      </c>
      <c r="P15" s="205">
        <f t="shared" si="7"/>
        <v>22561.761684000001</v>
      </c>
      <c r="Q15" s="205">
        <f t="shared" si="7"/>
        <v>22561.761684000001</v>
      </c>
      <c r="R15" s="205">
        <f t="shared" ref="R15:R26" si="8">SUM(D15:Q15)</f>
        <v>315864.66357600008</v>
      </c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</row>
    <row r="16" spans="2:41" x14ac:dyDescent="0.25">
      <c r="B16" s="376" t="s">
        <v>327</v>
      </c>
      <c r="C16" s="379" t="s">
        <v>307</v>
      </c>
      <c r="D16" s="205">
        <f>+'Deprec Misc Intangible'!B4*C4</f>
        <v>11524.598316000001</v>
      </c>
      <c r="E16" s="205">
        <f t="shared" ref="E16:Q16" si="9">+D16</f>
        <v>11524.598316000001</v>
      </c>
      <c r="F16" s="205">
        <f t="shared" si="9"/>
        <v>11524.598316000001</v>
      </c>
      <c r="G16" s="205">
        <f t="shared" si="9"/>
        <v>11524.598316000001</v>
      </c>
      <c r="H16" s="205">
        <f t="shared" si="9"/>
        <v>11524.598316000001</v>
      </c>
      <c r="I16" s="205">
        <f t="shared" si="9"/>
        <v>11524.598316000001</v>
      </c>
      <c r="J16" s="205">
        <f t="shared" si="9"/>
        <v>11524.598316000001</v>
      </c>
      <c r="K16" s="205">
        <f t="shared" si="9"/>
        <v>11524.598316000001</v>
      </c>
      <c r="L16" s="205">
        <f t="shared" si="9"/>
        <v>11524.598316000001</v>
      </c>
      <c r="M16" s="205">
        <f t="shared" si="9"/>
        <v>11524.598316000001</v>
      </c>
      <c r="N16" s="205">
        <f t="shared" si="9"/>
        <v>11524.598316000001</v>
      </c>
      <c r="O16" s="205">
        <f t="shared" si="9"/>
        <v>11524.598316000001</v>
      </c>
      <c r="P16" s="205">
        <f t="shared" si="9"/>
        <v>11524.598316000001</v>
      </c>
      <c r="Q16" s="205">
        <f t="shared" si="9"/>
        <v>11524.598316000001</v>
      </c>
      <c r="R16" s="205">
        <f t="shared" si="8"/>
        <v>161344.37642399999</v>
      </c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</row>
    <row r="17" spans="2:41" x14ac:dyDescent="0.25">
      <c r="B17" s="376" t="s">
        <v>326</v>
      </c>
      <c r="C17" s="379" t="s">
        <v>308</v>
      </c>
      <c r="D17" s="205">
        <f>+'Deprec Misc Intangible'!B5*C3</f>
        <v>460609.20047900005</v>
      </c>
      <c r="E17" s="205">
        <f t="shared" ref="E17:Q17" si="10">+D17</f>
        <v>460609.20047900005</v>
      </c>
      <c r="F17" s="205">
        <f t="shared" si="10"/>
        <v>460609.20047900005</v>
      </c>
      <c r="G17" s="205">
        <f t="shared" si="10"/>
        <v>460609.20047900005</v>
      </c>
      <c r="H17" s="205">
        <f t="shared" si="10"/>
        <v>460609.20047900005</v>
      </c>
      <c r="I17" s="205">
        <f t="shared" si="10"/>
        <v>460609.20047900005</v>
      </c>
      <c r="J17" s="205">
        <f t="shared" si="10"/>
        <v>460609.20047900005</v>
      </c>
      <c r="K17" s="205">
        <f t="shared" si="10"/>
        <v>460609.20047900005</v>
      </c>
      <c r="L17" s="205">
        <f t="shared" si="10"/>
        <v>460609.20047900005</v>
      </c>
      <c r="M17" s="205">
        <f t="shared" si="10"/>
        <v>460609.20047900005</v>
      </c>
      <c r="N17" s="205">
        <f t="shared" si="10"/>
        <v>460609.20047900005</v>
      </c>
      <c r="O17" s="205">
        <f t="shared" si="10"/>
        <v>460609.20047900005</v>
      </c>
      <c r="P17" s="205">
        <f t="shared" si="10"/>
        <v>460609.20047900005</v>
      </c>
      <c r="Q17" s="205">
        <f t="shared" si="10"/>
        <v>460609.20047900005</v>
      </c>
      <c r="R17" s="205">
        <f t="shared" si="8"/>
        <v>6448528.8067059992</v>
      </c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</row>
    <row r="18" spans="2:41" x14ac:dyDescent="0.25">
      <c r="B18" s="376" t="s">
        <v>325</v>
      </c>
      <c r="C18" s="379" t="s">
        <v>307</v>
      </c>
      <c r="D18" s="205">
        <f>+'Deprec Misc Intangible'!B5*C4</f>
        <v>235280.20952100001</v>
      </c>
      <c r="E18" s="205">
        <f t="shared" ref="E18:Q18" si="11">+D18</f>
        <v>235280.20952100001</v>
      </c>
      <c r="F18" s="205">
        <f t="shared" si="11"/>
        <v>235280.20952100001</v>
      </c>
      <c r="G18" s="205">
        <f t="shared" si="11"/>
        <v>235280.20952100001</v>
      </c>
      <c r="H18" s="205">
        <f t="shared" si="11"/>
        <v>235280.20952100001</v>
      </c>
      <c r="I18" s="205">
        <f t="shared" si="11"/>
        <v>235280.20952100001</v>
      </c>
      <c r="J18" s="205">
        <f t="shared" si="11"/>
        <v>235280.20952100001</v>
      </c>
      <c r="K18" s="205">
        <f t="shared" si="11"/>
        <v>235280.20952100001</v>
      </c>
      <c r="L18" s="205">
        <f t="shared" si="11"/>
        <v>235280.20952100001</v>
      </c>
      <c r="M18" s="205">
        <f t="shared" si="11"/>
        <v>235280.20952100001</v>
      </c>
      <c r="N18" s="205">
        <f t="shared" si="11"/>
        <v>235280.20952100001</v>
      </c>
      <c r="O18" s="205">
        <f t="shared" si="11"/>
        <v>235280.20952100001</v>
      </c>
      <c r="P18" s="205">
        <f t="shared" si="11"/>
        <v>235280.20952100001</v>
      </c>
      <c r="Q18" s="205">
        <f t="shared" si="11"/>
        <v>235280.20952100001</v>
      </c>
      <c r="R18" s="205">
        <f t="shared" si="8"/>
        <v>3293922.9332939992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</row>
    <row r="19" spans="2:41" x14ac:dyDescent="0.25">
      <c r="B19" s="376" t="s">
        <v>324</v>
      </c>
      <c r="C19" s="379" t="s">
        <v>308</v>
      </c>
      <c r="D19" s="205">
        <f>+'Deprec Misc Intangible'!B6*C3</f>
        <v>8817.9509420000013</v>
      </c>
      <c r="E19" s="205">
        <f t="shared" ref="E19:Q19" si="12">+D19</f>
        <v>8817.9509420000013</v>
      </c>
      <c r="F19" s="205">
        <f t="shared" si="12"/>
        <v>8817.9509420000013</v>
      </c>
      <c r="G19" s="205">
        <f t="shared" si="12"/>
        <v>8817.9509420000013</v>
      </c>
      <c r="H19" s="205">
        <f t="shared" si="12"/>
        <v>8817.9509420000013</v>
      </c>
      <c r="I19" s="205">
        <f t="shared" si="12"/>
        <v>8817.9509420000013</v>
      </c>
      <c r="J19" s="205">
        <f t="shared" si="12"/>
        <v>8817.9509420000013</v>
      </c>
      <c r="K19" s="205">
        <f t="shared" si="12"/>
        <v>8817.9509420000013</v>
      </c>
      <c r="L19" s="205">
        <f t="shared" si="12"/>
        <v>8817.9509420000013</v>
      </c>
      <c r="M19" s="205">
        <f t="shared" si="12"/>
        <v>8817.9509420000013</v>
      </c>
      <c r="N19" s="205">
        <f t="shared" si="12"/>
        <v>8817.9509420000013</v>
      </c>
      <c r="O19" s="205">
        <f t="shared" si="12"/>
        <v>8817.9509420000013</v>
      </c>
      <c r="P19" s="205">
        <f t="shared" si="12"/>
        <v>8817.9509420000013</v>
      </c>
      <c r="Q19" s="205">
        <f t="shared" si="12"/>
        <v>8817.9509420000013</v>
      </c>
      <c r="R19" s="205">
        <f t="shared" si="8"/>
        <v>123451.31318799999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</row>
    <row r="20" spans="2:41" x14ac:dyDescent="0.25">
      <c r="B20" s="376" t="s">
        <v>323</v>
      </c>
      <c r="C20" s="379" t="s">
        <v>307</v>
      </c>
      <c r="D20" s="205">
        <f>+'Deprec Misc Intangible'!B6*C4</f>
        <v>4504.2290579999999</v>
      </c>
      <c r="E20" s="205">
        <f t="shared" ref="E20:Q20" si="13">+D20</f>
        <v>4504.2290579999999</v>
      </c>
      <c r="F20" s="205">
        <f t="shared" si="13"/>
        <v>4504.2290579999999</v>
      </c>
      <c r="G20" s="205">
        <f t="shared" si="13"/>
        <v>4504.2290579999999</v>
      </c>
      <c r="H20" s="205">
        <f t="shared" si="13"/>
        <v>4504.2290579999999</v>
      </c>
      <c r="I20" s="205">
        <f t="shared" si="13"/>
        <v>4504.2290579999999</v>
      </c>
      <c r="J20" s="205">
        <f t="shared" si="13"/>
        <v>4504.2290579999999</v>
      </c>
      <c r="K20" s="205">
        <f t="shared" si="13"/>
        <v>4504.2290579999999</v>
      </c>
      <c r="L20" s="205">
        <f t="shared" si="13"/>
        <v>4504.2290579999999</v>
      </c>
      <c r="M20" s="205">
        <f t="shared" si="13"/>
        <v>4504.2290579999999</v>
      </c>
      <c r="N20" s="205">
        <f t="shared" si="13"/>
        <v>4504.2290579999999</v>
      </c>
      <c r="O20" s="205">
        <f t="shared" si="13"/>
        <v>4504.2290579999999</v>
      </c>
      <c r="P20" s="205">
        <f t="shared" si="13"/>
        <v>4504.2290579999999</v>
      </c>
      <c r="Q20" s="205">
        <f t="shared" si="13"/>
        <v>4504.2290579999999</v>
      </c>
      <c r="R20" s="205">
        <f t="shared" si="8"/>
        <v>63059.206811999982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</row>
    <row r="21" spans="2:41" x14ac:dyDescent="0.25">
      <c r="B21" s="376" t="s">
        <v>322</v>
      </c>
      <c r="C21" s="379" t="s">
        <v>308</v>
      </c>
      <c r="D21" s="205">
        <f>+'Deprec Misc Intangible'!B7*C3</f>
        <v>26381.692488000001</v>
      </c>
      <c r="E21" s="205">
        <f t="shared" ref="E21:Q21" si="14">+D21</f>
        <v>26381.692488000001</v>
      </c>
      <c r="F21" s="205">
        <f t="shared" si="14"/>
        <v>26381.692488000001</v>
      </c>
      <c r="G21" s="205">
        <f t="shared" si="14"/>
        <v>26381.692488000001</v>
      </c>
      <c r="H21" s="205">
        <f t="shared" si="14"/>
        <v>26381.692488000001</v>
      </c>
      <c r="I21" s="205">
        <f t="shared" si="14"/>
        <v>26381.692488000001</v>
      </c>
      <c r="J21" s="205">
        <f t="shared" si="14"/>
        <v>26381.692488000001</v>
      </c>
      <c r="K21" s="205">
        <f t="shared" si="14"/>
        <v>26381.692488000001</v>
      </c>
      <c r="L21" s="205">
        <f t="shared" si="14"/>
        <v>26381.692488000001</v>
      </c>
      <c r="M21" s="205">
        <f t="shared" si="14"/>
        <v>26381.692488000001</v>
      </c>
      <c r="N21" s="205">
        <f t="shared" si="14"/>
        <v>26381.692488000001</v>
      </c>
      <c r="O21" s="205">
        <f t="shared" si="14"/>
        <v>26381.692488000001</v>
      </c>
      <c r="P21" s="205">
        <f t="shared" si="14"/>
        <v>26381.692488000001</v>
      </c>
      <c r="Q21" s="205">
        <f t="shared" si="14"/>
        <v>26381.692488000001</v>
      </c>
      <c r="R21" s="205">
        <f t="shared" si="8"/>
        <v>369343.69483200007</v>
      </c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</row>
    <row r="22" spans="2:41" x14ac:dyDescent="0.25">
      <c r="B22" s="376" t="s">
        <v>321</v>
      </c>
      <c r="C22" s="379" t="s">
        <v>307</v>
      </c>
      <c r="D22" s="205">
        <f>+'Deprec Misc Intangible'!B7*C4</f>
        <v>13475.827512</v>
      </c>
      <c r="E22" s="205">
        <f t="shared" ref="E22:Q22" si="15">+D22</f>
        <v>13475.827512</v>
      </c>
      <c r="F22" s="205">
        <f t="shared" si="15"/>
        <v>13475.827512</v>
      </c>
      <c r="G22" s="205">
        <f t="shared" si="15"/>
        <v>13475.827512</v>
      </c>
      <c r="H22" s="205">
        <f t="shared" si="15"/>
        <v>13475.827512</v>
      </c>
      <c r="I22" s="205">
        <f t="shared" si="15"/>
        <v>13475.827512</v>
      </c>
      <c r="J22" s="205">
        <f t="shared" si="15"/>
        <v>13475.827512</v>
      </c>
      <c r="K22" s="205">
        <f t="shared" si="15"/>
        <v>13475.827512</v>
      </c>
      <c r="L22" s="205">
        <f t="shared" si="15"/>
        <v>13475.827512</v>
      </c>
      <c r="M22" s="205">
        <f t="shared" si="15"/>
        <v>13475.827512</v>
      </c>
      <c r="N22" s="205">
        <f t="shared" si="15"/>
        <v>13475.827512</v>
      </c>
      <c r="O22" s="205">
        <f t="shared" si="15"/>
        <v>13475.827512</v>
      </c>
      <c r="P22" s="205">
        <f t="shared" si="15"/>
        <v>13475.827512</v>
      </c>
      <c r="Q22" s="205">
        <f t="shared" si="15"/>
        <v>13475.827512</v>
      </c>
      <c r="R22" s="205">
        <f t="shared" si="8"/>
        <v>188661.58516799996</v>
      </c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</row>
    <row r="23" spans="2:41" x14ac:dyDescent="0.25">
      <c r="B23" s="376" t="s">
        <v>320</v>
      </c>
      <c r="C23" s="379" t="s">
        <v>308</v>
      </c>
      <c r="D23" s="205">
        <f>+'Deprec Misc Intangible'!B8*C3</f>
        <v>1290.8572370000002</v>
      </c>
      <c r="E23" s="205">
        <f t="shared" ref="E23:Q23" si="16">+D23</f>
        <v>1290.8572370000002</v>
      </c>
      <c r="F23" s="205">
        <f t="shared" si="16"/>
        <v>1290.8572370000002</v>
      </c>
      <c r="G23" s="205">
        <f t="shared" si="16"/>
        <v>1290.8572370000002</v>
      </c>
      <c r="H23" s="205">
        <f t="shared" si="16"/>
        <v>1290.8572370000002</v>
      </c>
      <c r="I23" s="205">
        <f t="shared" si="16"/>
        <v>1290.8572370000002</v>
      </c>
      <c r="J23" s="205">
        <f t="shared" si="16"/>
        <v>1290.8572370000002</v>
      </c>
      <c r="K23" s="205">
        <f t="shared" si="16"/>
        <v>1290.8572370000002</v>
      </c>
      <c r="L23" s="205">
        <f t="shared" si="16"/>
        <v>1290.8572370000002</v>
      </c>
      <c r="M23" s="205">
        <f t="shared" si="16"/>
        <v>1290.8572370000002</v>
      </c>
      <c r="N23" s="205">
        <f t="shared" si="16"/>
        <v>1290.8572370000002</v>
      </c>
      <c r="O23" s="205">
        <f t="shared" si="16"/>
        <v>1290.8572370000002</v>
      </c>
      <c r="P23" s="205">
        <f t="shared" si="16"/>
        <v>1290.8572370000002</v>
      </c>
      <c r="Q23" s="205">
        <f t="shared" si="16"/>
        <v>1290.8572370000002</v>
      </c>
      <c r="R23" s="205">
        <f t="shared" si="8"/>
        <v>18072.001318000002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</row>
    <row r="24" spans="2:41" x14ac:dyDescent="0.25">
      <c r="B24" s="376" t="s">
        <v>319</v>
      </c>
      <c r="C24" s="379" t="s">
        <v>307</v>
      </c>
      <c r="D24" s="205">
        <f>+'Deprec Misc Intangible'!B8*C4</f>
        <v>659.37276300000008</v>
      </c>
      <c r="E24" s="205">
        <f t="shared" ref="E24:Q24" si="17">+D24</f>
        <v>659.37276300000008</v>
      </c>
      <c r="F24" s="205">
        <f t="shared" si="17"/>
        <v>659.37276300000008</v>
      </c>
      <c r="G24" s="205">
        <f t="shared" si="17"/>
        <v>659.37276300000008</v>
      </c>
      <c r="H24" s="205">
        <f t="shared" si="17"/>
        <v>659.37276300000008</v>
      </c>
      <c r="I24" s="205">
        <f t="shared" si="17"/>
        <v>659.37276300000008</v>
      </c>
      <c r="J24" s="205">
        <f t="shared" si="17"/>
        <v>659.37276300000008</v>
      </c>
      <c r="K24" s="205">
        <f t="shared" si="17"/>
        <v>659.37276300000008</v>
      </c>
      <c r="L24" s="205">
        <f t="shared" si="17"/>
        <v>659.37276300000008</v>
      </c>
      <c r="M24" s="205">
        <f t="shared" si="17"/>
        <v>659.37276300000008</v>
      </c>
      <c r="N24" s="205">
        <f t="shared" si="17"/>
        <v>659.37276300000008</v>
      </c>
      <c r="O24" s="205">
        <f t="shared" si="17"/>
        <v>659.37276300000008</v>
      </c>
      <c r="P24" s="205">
        <f t="shared" si="17"/>
        <v>659.37276300000008</v>
      </c>
      <c r="Q24" s="205">
        <f t="shared" si="17"/>
        <v>659.37276300000008</v>
      </c>
      <c r="R24" s="205">
        <f t="shared" si="8"/>
        <v>9231.2186820000024</v>
      </c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1" x14ac:dyDescent="0.25">
      <c r="B25" s="376" t="s">
        <v>318</v>
      </c>
      <c r="C25" s="379" t="s">
        <v>308</v>
      </c>
      <c r="D25" s="205">
        <f>+'Deprec Misc Intangible'!B9*C3</f>
        <v>11019.860577000001</v>
      </c>
      <c r="E25" s="205">
        <f t="shared" ref="E25:Q25" si="18">+D25</f>
        <v>11019.860577000001</v>
      </c>
      <c r="F25" s="205">
        <f t="shared" si="18"/>
        <v>11019.860577000001</v>
      </c>
      <c r="G25" s="205">
        <f t="shared" si="18"/>
        <v>11019.860577000001</v>
      </c>
      <c r="H25" s="205">
        <f t="shared" si="18"/>
        <v>11019.860577000001</v>
      </c>
      <c r="I25" s="205">
        <f t="shared" si="18"/>
        <v>11019.860577000001</v>
      </c>
      <c r="J25" s="205">
        <f t="shared" si="18"/>
        <v>11019.860577000001</v>
      </c>
      <c r="K25" s="205">
        <f t="shared" si="18"/>
        <v>11019.860577000001</v>
      </c>
      <c r="L25" s="205">
        <f t="shared" si="18"/>
        <v>11019.860577000001</v>
      </c>
      <c r="M25" s="205">
        <f t="shared" si="18"/>
        <v>11019.860577000001</v>
      </c>
      <c r="N25" s="205">
        <f t="shared" si="18"/>
        <v>11019.860577000001</v>
      </c>
      <c r="O25" s="205">
        <f t="shared" si="18"/>
        <v>11019.860577000001</v>
      </c>
      <c r="P25" s="205">
        <f t="shared" si="18"/>
        <v>11019.860577000001</v>
      </c>
      <c r="Q25" s="205">
        <f t="shared" si="18"/>
        <v>11019.860577000001</v>
      </c>
      <c r="R25" s="205">
        <f t="shared" si="8"/>
        <v>154278.04807800005</v>
      </c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</row>
    <row r="26" spans="2:41" x14ac:dyDescent="0.25">
      <c r="B26" s="376" t="s">
        <v>317</v>
      </c>
      <c r="C26" s="379" t="s">
        <v>307</v>
      </c>
      <c r="D26" s="205">
        <f>+'Deprec Misc Intangible'!B9*C4</f>
        <v>5628.9694230000005</v>
      </c>
      <c r="E26" s="205">
        <f t="shared" ref="E26:Q26" si="19">+D26</f>
        <v>5628.9694230000005</v>
      </c>
      <c r="F26" s="205">
        <f t="shared" si="19"/>
        <v>5628.9694230000005</v>
      </c>
      <c r="G26" s="205">
        <f t="shared" si="19"/>
        <v>5628.9694230000005</v>
      </c>
      <c r="H26" s="205">
        <f t="shared" si="19"/>
        <v>5628.9694230000005</v>
      </c>
      <c r="I26" s="205">
        <f t="shared" si="19"/>
        <v>5628.9694230000005</v>
      </c>
      <c r="J26" s="205">
        <f t="shared" si="19"/>
        <v>5628.9694230000005</v>
      </c>
      <c r="K26" s="205">
        <f t="shared" si="19"/>
        <v>5628.9694230000005</v>
      </c>
      <c r="L26" s="205">
        <f t="shared" si="19"/>
        <v>5628.9694230000005</v>
      </c>
      <c r="M26" s="205">
        <f t="shared" si="19"/>
        <v>5628.9694230000005</v>
      </c>
      <c r="N26" s="205">
        <f t="shared" si="19"/>
        <v>5628.9694230000005</v>
      </c>
      <c r="O26" s="205">
        <f t="shared" si="19"/>
        <v>5628.9694230000005</v>
      </c>
      <c r="P26" s="205">
        <f t="shared" si="19"/>
        <v>5628.9694230000005</v>
      </c>
      <c r="Q26" s="205">
        <f t="shared" si="19"/>
        <v>5628.9694230000005</v>
      </c>
      <c r="R26" s="205">
        <f t="shared" si="8"/>
        <v>78805.571922000017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</row>
    <row r="27" spans="2:41" x14ac:dyDescent="0.25">
      <c r="B27" s="376" t="s">
        <v>316</v>
      </c>
      <c r="C27" s="379"/>
      <c r="D27" s="382">
        <f t="shared" ref="D27:R27" si="20">SUM(D15:D26)</f>
        <v>801754.53</v>
      </c>
      <c r="E27" s="382">
        <f t="shared" si="20"/>
        <v>801754.53</v>
      </c>
      <c r="F27" s="382">
        <f t="shared" si="20"/>
        <v>801754.53</v>
      </c>
      <c r="G27" s="382">
        <f t="shared" si="20"/>
        <v>801754.53</v>
      </c>
      <c r="H27" s="382">
        <f t="shared" si="20"/>
        <v>801754.53</v>
      </c>
      <c r="I27" s="382">
        <f t="shared" si="20"/>
        <v>801754.53</v>
      </c>
      <c r="J27" s="382">
        <f t="shared" si="20"/>
        <v>801754.53</v>
      </c>
      <c r="K27" s="382">
        <f t="shared" si="20"/>
        <v>801754.53</v>
      </c>
      <c r="L27" s="382">
        <f t="shared" si="20"/>
        <v>801754.53</v>
      </c>
      <c r="M27" s="382">
        <f t="shared" si="20"/>
        <v>801754.53</v>
      </c>
      <c r="N27" s="382">
        <f t="shared" si="20"/>
        <v>801754.53</v>
      </c>
      <c r="O27" s="382">
        <f t="shared" si="20"/>
        <v>801754.53</v>
      </c>
      <c r="P27" s="382">
        <f t="shared" si="20"/>
        <v>801754.53</v>
      </c>
      <c r="Q27" s="382">
        <f t="shared" si="20"/>
        <v>801754.53</v>
      </c>
      <c r="R27" s="382">
        <f t="shared" si="20"/>
        <v>11224563.42</v>
      </c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</row>
    <row r="28" spans="2:41" x14ac:dyDescent="0.25">
      <c r="B28" s="381"/>
      <c r="C28" s="379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</row>
    <row r="29" spans="2:41" x14ac:dyDescent="0.25">
      <c r="C29" s="230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</row>
    <row r="30" spans="2:41" x14ac:dyDescent="0.25">
      <c r="B30" s="381"/>
      <c r="C30" s="379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</row>
    <row r="31" spans="2:41" x14ac:dyDescent="0.25">
      <c r="B31" s="163" t="s">
        <v>315</v>
      </c>
      <c r="C31" s="379" t="s">
        <v>307</v>
      </c>
      <c r="D31" s="205">
        <f>+'Deprec Other'!D16</f>
        <v>118.53764783333331</v>
      </c>
      <c r="E31" s="205">
        <f t="shared" ref="E31:Q31" si="21">+D31</f>
        <v>118.53764783333331</v>
      </c>
      <c r="F31" s="205">
        <f t="shared" si="21"/>
        <v>118.53764783333331</v>
      </c>
      <c r="G31" s="205">
        <f t="shared" si="21"/>
        <v>118.53764783333331</v>
      </c>
      <c r="H31" s="205">
        <f t="shared" si="21"/>
        <v>118.53764783333331</v>
      </c>
      <c r="I31" s="205">
        <f t="shared" si="21"/>
        <v>118.53764783333331</v>
      </c>
      <c r="J31" s="205">
        <f t="shared" si="21"/>
        <v>118.53764783333331</v>
      </c>
      <c r="K31" s="205">
        <f t="shared" si="21"/>
        <v>118.53764783333331</v>
      </c>
      <c r="L31" s="205">
        <f t="shared" si="21"/>
        <v>118.53764783333331</v>
      </c>
      <c r="M31" s="205">
        <f t="shared" si="21"/>
        <v>118.53764783333331</v>
      </c>
      <c r="N31" s="205">
        <f t="shared" si="21"/>
        <v>118.53764783333331</v>
      </c>
      <c r="O31" s="205">
        <f t="shared" si="21"/>
        <v>118.53764783333331</v>
      </c>
      <c r="P31" s="205">
        <f t="shared" si="21"/>
        <v>118.53764783333331</v>
      </c>
      <c r="Q31" s="205">
        <f t="shared" si="21"/>
        <v>118.53764783333331</v>
      </c>
      <c r="R31" s="205">
        <f>SUM(D31:Q31)</f>
        <v>1659.527069666666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</row>
    <row r="32" spans="2:41" x14ac:dyDescent="0.25">
      <c r="B32" s="163" t="s">
        <v>314</v>
      </c>
      <c r="C32" s="379" t="s">
        <v>307</v>
      </c>
      <c r="D32" s="205">
        <f>+'Deprec Other'!D24</f>
        <v>41.76466666666667</v>
      </c>
      <c r="E32" s="205">
        <f t="shared" ref="E32:Q32" si="22">+D32</f>
        <v>41.76466666666667</v>
      </c>
      <c r="F32" s="205">
        <f t="shared" si="22"/>
        <v>41.76466666666667</v>
      </c>
      <c r="G32" s="205">
        <f t="shared" si="22"/>
        <v>41.76466666666667</v>
      </c>
      <c r="H32" s="205">
        <f t="shared" si="22"/>
        <v>41.76466666666667</v>
      </c>
      <c r="I32" s="205">
        <f t="shared" si="22"/>
        <v>41.76466666666667</v>
      </c>
      <c r="J32" s="205">
        <f t="shared" si="22"/>
        <v>41.76466666666667</v>
      </c>
      <c r="K32" s="205">
        <f t="shared" si="22"/>
        <v>41.76466666666667</v>
      </c>
      <c r="L32" s="205">
        <f t="shared" si="22"/>
        <v>41.76466666666667</v>
      </c>
      <c r="M32" s="205">
        <f t="shared" si="22"/>
        <v>41.76466666666667</v>
      </c>
      <c r="N32" s="205">
        <f t="shared" si="22"/>
        <v>41.76466666666667</v>
      </c>
      <c r="O32" s="205">
        <f t="shared" si="22"/>
        <v>41.76466666666667</v>
      </c>
      <c r="P32" s="205">
        <f t="shared" si="22"/>
        <v>41.76466666666667</v>
      </c>
      <c r="Q32" s="205">
        <f t="shared" si="22"/>
        <v>41.76466666666667</v>
      </c>
      <c r="R32" s="205">
        <f>SUM(D32:Q32)</f>
        <v>584.70533333333356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</row>
    <row r="33" spans="2:41" x14ac:dyDescent="0.25">
      <c r="B33" s="163" t="s">
        <v>313</v>
      </c>
      <c r="C33" s="379" t="s">
        <v>307</v>
      </c>
      <c r="D33" s="205">
        <f>+'Deprec Other'!D32</f>
        <v>541.59766666666667</v>
      </c>
      <c r="E33" s="205">
        <f t="shared" ref="E33:Q33" si="23">+D33</f>
        <v>541.59766666666667</v>
      </c>
      <c r="F33" s="205">
        <f t="shared" si="23"/>
        <v>541.59766666666667</v>
      </c>
      <c r="G33" s="205">
        <f t="shared" si="23"/>
        <v>541.59766666666667</v>
      </c>
      <c r="H33" s="205">
        <f t="shared" si="23"/>
        <v>541.59766666666667</v>
      </c>
      <c r="I33" s="205">
        <f t="shared" si="23"/>
        <v>541.59766666666667</v>
      </c>
      <c r="J33" s="205">
        <f t="shared" si="23"/>
        <v>541.59766666666667</v>
      </c>
      <c r="K33" s="205">
        <f t="shared" si="23"/>
        <v>541.59766666666667</v>
      </c>
      <c r="L33" s="205">
        <f t="shared" si="23"/>
        <v>541.59766666666667</v>
      </c>
      <c r="M33" s="205">
        <f t="shared" si="23"/>
        <v>541.59766666666667</v>
      </c>
      <c r="N33" s="205">
        <f t="shared" si="23"/>
        <v>541.59766666666667</v>
      </c>
      <c r="O33" s="205">
        <f t="shared" si="23"/>
        <v>541.59766666666667</v>
      </c>
      <c r="P33" s="205">
        <f t="shared" si="23"/>
        <v>541.59766666666667</v>
      </c>
      <c r="Q33" s="205">
        <f t="shared" si="23"/>
        <v>541.59766666666667</v>
      </c>
      <c r="R33" s="205">
        <f>SUM(D33:Q33)</f>
        <v>7582.3673333333327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</row>
    <row r="34" spans="2:41" x14ac:dyDescent="0.25">
      <c r="B34" s="163" t="s">
        <v>312</v>
      </c>
      <c r="C34" s="379" t="s">
        <v>308</v>
      </c>
      <c r="D34" s="205">
        <f>+'Deprec Other'!D40*C3</f>
        <v>213.63760191666668</v>
      </c>
      <c r="E34" s="205">
        <f t="shared" ref="E34:Q34" si="24">+D34</f>
        <v>213.63760191666668</v>
      </c>
      <c r="F34" s="205">
        <f t="shared" si="24"/>
        <v>213.63760191666668</v>
      </c>
      <c r="G34" s="205">
        <f t="shared" si="24"/>
        <v>213.63760191666668</v>
      </c>
      <c r="H34" s="205">
        <f t="shared" si="24"/>
        <v>213.63760191666668</v>
      </c>
      <c r="I34" s="205">
        <f t="shared" si="24"/>
        <v>213.63760191666668</v>
      </c>
      <c r="J34" s="205">
        <f t="shared" si="24"/>
        <v>213.63760191666668</v>
      </c>
      <c r="K34" s="205">
        <f t="shared" si="24"/>
        <v>213.63760191666668</v>
      </c>
      <c r="L34" s="205">
        <f t="shared" si="24"/>
        <v>213.63760191666668</v>
      </c>
      <c r="M34" s="205">
        <f t="shared" si="24"/>
        <v>213.63760191666668</v>
      </c>
      <c r="N34" s="205">
        <f t="shared" si="24"/>
        <v>213.63760191666668</v>
      </c>
      <c r="O34" s="205">
        <f t="shared" si="24"/>
        <v>213.63760191666668</v>
      </c>
      <c r="P34" s="205">
        <f t="shared" si="24"/>
        <v>213.63760191666668</v>
      </c>
      <c r="Q34" s="205">
        <f t="shared" si="24"/>
        <v>213.63760191666668</v>
      </c>
      <c r="R34" s="205">
        <f>SUM(D34:Q34)</f>
        <v>2990.9264268333345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</row>
    <row r="35" spans="2:41" x14ac:dyDescent="0.25">
      <c r="B35" s="163" t="s">
        <v>311</v>
      </c>
      <c r="C35" s="379" t="s">
        <v>307</v>
      </c>
      <c r="D35" s="205">
        <f>+'Deprec Other'!D40*C4</f>
        <v>109.12656475</v>
      </c>
      <c r="E35" s="205">
        <f t="shared" ref="E35:Q35" si="25">+D35</f>
        <v>109.12656475</v>
      </c>
      <c r="F35" s="205">
        <f t="shared" si="25"/>
        <v>109.12656475</v>
      </c>
      <c r="G35" s="205">
        <f t="shared" si="25"/>
        <v>109.12656475</v>
      </c>
      <c r="H35" s="205">
        <f t="shared" si="25"/>
        <v>109.12656475</v>
      </c>
      <c r="I35" s="205">
        <f t="shared" si="25"/>
        <v>109.12656475</v>
      </c>
      <c r="J35" s="205">
        <f t="shared" si="25"/>
        <v>109.12656475</v>
      </c>
      <c r="K35" s="205">
        <f t="shared" si="25"/>
        <v>109.12656475</v>
      </c>
      <c r="L35" s="205">
        <f t="shared" si="25"/>
        <v>109.12656475</v>
      </c>
      <c r="M35" s="205">
        <f t="shared" si="25"/>
        <v>109.12656475</v>
      </c>
      <c r="N35" s="205">
        <f t="shared" si="25"/>
        <v>109.12656475</v>
      </c>
      <c r="O35" s="205">
        <f t="shared" si="25"/>
        <v>109.12656475</v>
      </c>
      <c r="P35" s="205">
        <f t="shared" si="25"/>
        <v>109.12656475</v>
      </c>
      <c r="Q35" s="205">
        <f t="shared" si="25"/>
        <v>109.12656475</v>
      </c>
      <c r="R35" s="205">
        <f>SUM(D35:Q35)</f>
        <v>1527.7719064999994</v>
      </c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</row>
    <row r="36" spans="2:41" ht="15.75" thickBot="1" x14ac:dyDescent="0.3">
      <c r="B36" s="376" t="s">
        <v>310</v>
      </c>
      <c r="C36" s="379"/>
      <c r="D36" s="246">
        <f t="shared" ref="D36:R36" si="26">SUM(D31:D35)</f>
        <v>1024.6641478333333</v>
      </c>
      <c r="E36" s="246">
        <f t="shared" si="26"/>
        <v>1024.6641478333333</v>
      </c>
      <c r="F36" s="246">
        <f t="shared" si="26"/>
        <v>1024.6641478333333</v>
      </c>
      <c r="G36" s="246">
        <f t="shared" si="26"/>
        <v>1024.6641478333333</v>
      </c>
      <c r="H36" s="246">
        <f t="shared" si="26"/>
        <v>1024.6641478333333</v>
      </c>
      <c r="I36" s="246">
        <f t="shared" si="26"/>
        <v>1024.6641478333333</v>
      </c>
      <c r="J36" s="246">
        <f t="shared" si="26"/>
        <v>1024.6641478333333</v>
      </c>
      <c r="K36" s="246">
        <f t="shared" si="26"/>
        <v>1024.6641478333333</v>
      </c>
      <c r="L36" s="246">
        <f t="shared" si="26"/>
        <v>1024.6641478333333</v>
      </c>
      <c r="M36" s="246">
        <f t="shared" si="26"/>
        <v>1024.6641478333333</v>
      </c>
      <c r="N36" s="246">
        <f t="shared" si="26"/>
        <v>1024.6641478333333</v>
      </c>
      <c r="O36" s="246">
        <f t="shared" si="26"/>
        <v>1024.6641478333333</v>
      </c>
      <c r="P36" s="246">
        <f t="shared" si="26"/>
        <v>1024.6641478333333</v>
      </c>
      <c r="Q36" s="246">
        <f t="shared" si="26"/>
        <v>1024.6641478333333</v>
      </c>
      <c r="R36" s="246">
        <f t="shared" si="26"/>
        <v>14345.298069666665</v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</row>
    <row r="37" spans="2:41" ht="15.75" thickTop="1" x14ac:dyDescent="0.25">
      <c r="B37" s="380"/>
      <c r="C37" s="379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</row>
    <row r="38" spans="2:41" x14ac:dyDescent="0.25">
      <c r="B38" s="376" t="s">
        <v>309</v>
      </c>
      <c r="C38" s="37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</row>
    <row r="39" spans="2:41" x14ac:dyDescent="0.25">
      <c r="B39" s="376" t="s">
        <v>367</v>
      </c>
      <c r="C39" s="379" t="s">
        <v>308</v>
      </c>
      <c r="D39" s="205">
        <f>+'AMR Retirements'!D14</f>
        <v>-3172.1567037500004</v>
      </c>
      <c r="E39" s="205">
        <f>+'AMR Retirements'!E14</f>
        <v>-349.9707447681435</v>
      </c>
      <c r="F39" s="205">
        <f>+'AMR Retirements'!F14</f>
        <v>0</v>
      </c>
      <c r="G39" s="205">
        <f>+'AMR Retirements'!G14</f>
        <v>-18635.942158903639</v>
      </c>
      <c r="H39" s="205">
        <f>AVERAGE('AMR Retirements'!$D$14:$G$14)</f>
        <v>-5539.5174018554462</v>
      </c>
      <c r="I39" s="205">
        <f>AVERAGE('AMR Retirements'!$D$14:$G$14)</f>
        <v>-5539.5174018554462</v>
      </c>
      <c r="J39" s="205">
        <f>AVERAGE('AMR Retirements'!$D$14:$G$14)</f>
        <v>-5539.5174018554462</v>
      </c>
      <c r="K39" s="205">
        <f>AVERAGE('AMR Retirements'!$D$14:$G$14)</f>
        <v>-5539.5174018554462</v>
      </c>
      <c r="L39" s="205">
        <f>AVERAGE('AMR Retirements'!$D$14:$G$14)</f>
        <v>-5539.5174018554462</v>
      </c>
      <c r="M39" s="205">
        <f>AVERAGE('AMR Retirements'!$D$14:$G$14)</f>
        <v>-5539.5174018554462</v>
      </c>
      <c r="N39" s="205">
        <f>AVERAGE('AMR Retirements'!$D$14:$G$14)</f>
        <v>-5539.5174018554462</v>
      </c>
      <c r="O39" s="205">
        <f>AVERAGE('AMR Retirements'!$D$14:$G$14)</f>
        <v>-5539.5174018554462</v>
      </c>
      <c r="P39" s="205">
        <f>AVERAGE('AMR Retirements'!$D$14:$G$14)</f>
        <v>-5539.5174018554462</v>
      </c>
      <c r="Q39" s="205">
        <f>AVERAGE('AMR Retirements'!$D$14:$G$14)</f>
        <v>-5539.5174018554462</v>
      </c>
      <c r="R39" s="205">
        <f>SUM(D39:Q39)</f>
        <v>-77553.243625976233</v>
      </c>
      <c r="S39" s="378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</row>
    <row r="40" spans="2:41" x14ac:dyDescent="0.25">
      <c r="B40" s="376" t="s">
        <v>368</v>
      </c>
      <c r="C40" s="379" t="s">
        <v>307</v>
      </c>
      <c r="D40" s="205">
        <f>+'AMR Retirements'!D16</f>
        <v>-826.82643749999988</v>
      </c>
      <c r="E40" s="205">
        <f>+'AMR Retirements'!E16</f>
        <v>0</v>
      </c>
      <c r="F40" s="205">
        <f>+'AMR Retirements'!F16</f>
        <v>0</v>
      </c>
      <c r="G40" s="205">
        <f>+'AMR Retirements'!G16</f>
        <v>-14437.644701464713</v>
      </c>
      <c r="H40" s="205">
        <f>AVERAGE('AMR Retirements'!$D$16:$G$16)</f>
        <v>-3816.1177847411782</v>
      </c>
      <c r="I40" s="205">
        <f>AVERAGE('AMR Retirements'!$D$16:$G$16)</f>
        <v>-3816.1177847411782</v>
      </c>
      <c r="J40" s="205">
        <f>AVERAGE('AMR Retirements'!$D$16:$G$16)</f>
        <v>-3816.1177847411782</v>
      </c>
      <c r="K40" s="205">
        <f>AVERAGE('AMR Retirements'!$D$16:$G$16)</f>
        <v>-3816.1177847411782</v>
      </c>
      <c r="L40" s="205">
        <f>AVERAGE('AMR Retirements'!$D$16:$G$16)</f>
        <v>-3816.1177847411782</v>
      </c>
      <c r="M40" s="205">
        <f>AVERAGE('AMR Retirements'!$D$16:$G$16)</f>
        <v>-3816.1177847411782</v>
      </c>
      <c r="N40" s="205">
        <f>AVERAGE('AMR Retirements'!$D$16:$G$16)</f>
        <v>-3816.1177847411782</v>
      </c>
      <c r="O40" s="205">
        <f>AVERAGE('AMR Retirements'!$D$16:$G$16)</f>
        <v>-3816.1177847411782</v>
      </c>
      <c r="P40" s="205">
        <f>AVERAGE('AMR Retirements'!$D$16:$G$16)</f>
        <v>-3816.1177847411782</v>
      </c>
      <c r="Q40" s="205">
        <f>AVERAGE('AMR Retirements'!$D$16:$G$16)</f>
        <v>-3816.1177847411782</v>
      </c>
      <c r="R40" s="205">
        <f>SUM(D40:Q40)</f>
        <v>-53425.648986376473</v>
      </c>
      <c r="S40" s="378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</row>
    <row r="41" spans="2:41" ht="15.75" thickBot="1" x14ac:dyDescent="0.3">
      <c r="D41" s="246">
        <f t="shared" ref="D41:R41" si="27">SUM(D39:D40)</f>
        <v>-3998.9831412500002</v>
      </c>
      <c r="E41" s="246">
        <f t="shared" si="27"/>
        <v>-349.9707447681435</v>
      </c>
      <c r="F41" s="246">
        <f t="shared" si="27"/>
        <v>0</v>
      </c>
      <c r="G41" s="246">
        <f t="shared" si="27"/>
        <v>-33073.586860368348</v>
      </c>
      <c r="H41" s="246">
        <f t="shared" si="27"/>
        <v>-9355.6351865966244</v>
      </c>
      <c r="I41" s="246">
        <f t="shared" si="27"/>
        <v>-9355.6351865966244</v>
      </c>
      <c r="J41" s="246">
        <f t="shared" si="27"/>
        <v>-9355.6351865966244</v>
      </c>
      <c r="K41" s="246">
        <f t="shared" si="27"/>
        <v>-9355.6351865966244</v>
      </c>
      <c r="L41" s="246">
        <f t="shared" si="27"/>
        <v>-9355.6351865966244</v>
      </c>
      <c r="M41" s="246">
        <f t="shared" si="27"/>
        <v>-9355.6351865966244</v>
      </c>
      <c r="N41" s="246">
        <f t="shared" si="27"/>
        <v>-9355.6351865966244</v>
      </c>
      <c r="O41" s="246">
        <f t="shared" si="27"/>
        <v>-9355.6351865966244</v>
      </c>
      <c r="P41" s="246">
        <f t="shared" si="27"/>
        <v>-9355.6351865966244</v>
      </c>
      <c r="Q41" s="246">
        <f t="shared" si="27"/>
        <v>-9355.6351865966244</v>
      </c>
      <c r="R41" s="246">
        <f t="shared" si="27"/>
        <v>-130978.89261235271</v>
      </c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</row>
    <row r="42" spans="2:41" ht="15.75" thickTop="1" x14ac:dyDescent="0.25"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</row>
    <row r="43" spans="2:41" ht="15.75" thickBot="1" x14ac:dyDescent="0.3">
      <c r="B43" s="376" t="s">
        <v>303</v>
      </c>
      <c r="D43" s="246">
        <f t="shared" ref="D43:R43" si="28">SUM(D12,D27,D36,D41)</f>
        <v>1104505.5310065835</v>
      </c>
      <c r="E43" s="246">
        <f t="shared" si="28"/>
        <v>1108154.5434030653</v>
      </c>
      <c r="F43" s="246">
        <f t="shared" si="28"/>
        <v>1108504.5141478335</v>
      </c>
      <c r="G43" s="246">
        <f t="shared" si="28"/>
        <v>1104441.211387465</v>
      </c>
      <c r="H43" s="246">
        <f t="shared" si="28"/>
        <v>1128159.1630612367</v>
      </c>
      <c r="I43" s="246">
        <f t="shared" si="28"/>
        <v>1128159.1630612367</v>
      </c>
      <c r="J43" s="246">
        <f t="shared" si="28"/>
        <v>1128159.1630612367</v>
      </c>
      <c r="K43" s="246">
        <f t="shared" si="28"/>
        <v>1128159.1630612367</v>
      </c>
      <c r="L43" s="246">
        <f t="shared" si="28"/>
        <v>1128159.1630612367</v>
      </c>
      <c r="M43" s="246">
        <f t="shared" si="28"/>
        <v>1128159.1630612367</v>
      </c>
      <c r="N43" s="246">
        <f t="shared" si="28"/>
        <v>1128159.1630612367</v>
      </c>
      <c r="O43" s="246">
        <f t="shared" si="28"/>
        <v>1128159.1630612367</v>
      </c>
      <c r="P43" s="246">
        <f t="shared" si="28"/>
        <v>1128159.1630612367</v>
      </c>
      <c r="Q43" s="246">
        <f t="shared" si="28"/>
        <v>1128159.1630612367</v>
      </c>
      <c r="R43" s="246">
        <f t="shared" si="28"/>
        <v>15707197.430557312</v>
      </c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</row>
    <row r="44" spans="2:41" ht="15.75" thickTop="1" x14ac:dyDescent="0.25"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</row>
    <row r="45" spans="2:41" x14ac:dyDescent="0.25">
      <c r="B45" s="376" t="s">
        <v>306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</row>
    <row r="46" spans="2:41" x14ac:dyDescent="0.25">
      <c r="B46" t="s">
        <v>305</v>
      </c>
      <c r="D46" s="377">
        <f t="shared" ref="D46:R46" si="29">SUMIF($C$6:$C$40,"E",D$6:D$40)</f>
        <v>765305.69506016676</v>
      </c>
      <c r="E46" s="377">
        <f t="shared" si="29"/>
        <v>768127.88101914863</v>
      </c>
      <c r="F46" s="377">
        <f t="shared" si="29"/>
        <v>768477.85176391678</v>
      </c>
      <c r="G46" s="377">
        <f t="shared" si="29"/>
        <v>749841.90960501309</v>
      </c>
      <c r="H46" s="377">
        <f t="shared" si="29"/>
        <v>762938.33436206135</v>
      </c>
      <c r="I46" s="377">
        <f t="shared" si="29"/>
        <v>762938.33436206135</v>
      </c>
      <c r="J46" s="377">
        <f t="shared" si="29"/>
        <v>762938.33436206135</v>
      </c>
      <c r="K46" s="377">
        <f t="shared" si="29"/>
        <v>762938.33436206135</v>
      </c>
      <c r="L46" s="377">
        <f t="shared" si="29"/>
        <v>762938.33436206135</v>
      </c>
      <c r="M46" s="377">
        <f t="shared" si="29"/>
        <v>762938.33436206135</v>
      </c>
      <c r="N46" s="377">
        <f t="shared" si="29"/>
        <v>762938.33436206135</v>
      </c>
      <c r="O46" s="377">
        <f t="shared" si="29"/>
        <v>762938.33436206135</v>
      </c>
      <c r="P46" s="377">
        <f t="shared" si="29"/>
        <v>762938.33436206135</v>
      </c>
      <c r="Q46" s="377">
        <f t="shared" si="29"/>
        <v>762938.33436206135</v>
      </c>
      <c r="R46" s="205">
        <f t="shared" si="29"/>
        <v>10681136.681068856</v>
      </c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</row>
    <row r="47" spans="2:41" x14ac:dyDescent="0.25">
      <c r="B47" t="s">
        <v>304</v>
      </c>
      <c r="D47" s="377">
        <f t="shared" ref="D47:R47" si="30">SUMIF($C$6:$C$40,"G",D$6:D$40)</f>
        <v>339199.83594641672</v>
      </c>
      <c r="E47" s="377">
        <f t="shared" si="30"/>
        <v>340026.66238391673</v>
      </c>
      <c r="F47" s="377">
        <f t="shared" si="30"/>
        <v>340026.66238391673</v>
      </c>
      <c r="G47" s="377">
        <f t="shared" si="30"/>
        <v>354599.30178245204</v>
      </c>
      <c r="H47" s="377">
        <f t="shared" si="30"/>
        <v>365220.82869917556</v>
      </c>
      <c r="I47" s="377">
        <f t="shared" si="30"/>
        <v>365220.82869917556</v>
      </c>
      <c r="J47" s="377">
        <f t="shared" si="30"/>
        <v>365220.82869917556</v>
      </c>
      <c r="K47" s="377">
        <f t="shared" si="30"/>
        <v>365220.82869917556</v>
      </c>
      <c r="L47" s="377">
        <f t="shared" si="30"/>
        <v>365220.82869917556</v>
      </c>
      <c r="M47" s="377">
        <f t="shared" si="30"/>
        <v>365220.82869917556</v>
      </c>
      <c r="N47" s="377">
        <f t="shared" si="30"/>
        <v>365220.82869917556</v>
      </c>
      <c r="O47" s="377">
        <f t="shared" si="30"/>
        <v>365220.82869917556</v>
      </c>
      <c r="P47" s="377">
        <f t="shared" si="30"/>
        <v>365220.82869917556</v>
      </c>
      <c r="Q47" s="377">
        <f t="shared" si="30"/>
        <v>365220.82869917556</v>
      </c>
      <c r="R47" s="205">
        <f t="shared" si="30"/>
        <v>5026060.7494884552</v>
      </c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</row>
    <row r="48" spans="2:41" ht="15.75" thickBot="1" x14ac:dyDescent="0.3">
      <c r="B48" s="376" t="s">
        <v>303</v>
      </c>
      <c r="D48" s="246">
        <f t="shared" ref="D48:R48" si="31">+D47+D46</f>
        <v>1104505.5310065835</v>
      </c>
      <c r="E48" s="246">
        <f t="shared" si="31"/>
        <v>1108154.5434030653</v>
      </c>
      <c r="F48" s="246">
        <f t="shared" si="31"/>
        <v>1108504.5141478335</v>
      </c>
      <c r="G48" s="246">
        <f t="shared" si="31"/>
        <v>1104441.2113874652</v>
      </c>
      <c r="H48" s="246">
        <f t="shared" si="31"/>
        <v>1128159.163061237</v>
      </c>
      <c r="I48" s="246">
        <f t="shared" si="31"/>
        <v>1128159.163061237</v>
      </c>
      <c r="J48" s="246">
        <f t="shared" si="31"/>
        <v>1128159.163061237</v>
      </c>
      <c r="K48" s="246">
        <f t="shared" si="31"/>
        <v>1128159.163061237</v>
      </c>
      <c r="L48" s="246">
        <f t="shared" si="31"/>
        <v>1128159.163061237</v>
      </c>
      <c r="M48" s="246">
        <f t="shared" si="31"/>
        <v>1128159.163061237</v>
      </c>
      <c r="N48" s="246">
        <f t="shared" si="31"/>
        <v>1128159.163061237</v>
      </c>
      <c r="O48" s="246">
        <f t="shared" si="31"/>
        <v>1128159.163061237</v>
      </c>
      <c r="P48" s="246">
        <f t="shared" si="31"/>
        <v>1128159.163061237</v>
      </c>
      <c r="Q48" s="246">
        <f t="shared" si="31"/>
        <v>1128159.163061237</v>
      </c>
      <c r="R48" s="246">
        <f t="shared" si="31"/>
        <v>15707197.430557311</v>
      </c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</row>
    <row r="49" spans="2:41" ht="15.75" thickTop="1" x14ac:dyDescent="0.25">
      <c r="D49" s="375">
        <f t="shared" ref="D49:R49" si="32">+D48-D43</f>
        <v>0</v>
      </c>
      <c r="E49" s="375">
        <f t="shared" si="32"/>
        <v>0</v>
      </c>
      <c r="F49" s="375">
        <f t="shared" si="32"/>
        <v>0</v>
      </c>
      <c r="G49" s="375">
        <f t="shared" si="32"/>
        <v>0</v>
      </c>
      <c r="H49" s="375">
        <f t="shared" si="32"/>
        <v>0</v>
      </c>
      <c r="I49" s="375">
        <f t="shared" si="32"/>
        <v>0</v>
      </c>
      <c r="J49" s="375">
        <f t="shared" si="32"/>
        <v>0</v>
      </c>
      <c r="K49" s="375">
        <f t="shared" si="32"/>
        <v>0</v>
      </c>
      <c r="L49" s="375">
        <f t="shared" si="32"/>
        <v>0</v>
      </c>
      <c r="M49" s="375">
        <f t="shared" si="32"/>
        <v>0</v>
      </c>
      <c r="N49" s="375">
        <f t="shared" si="32"/>
        <v>0</v>
      </c>
      <c r="O49" s="375">
        <f t="shared" si="32"/>
        <v>0</v>
      </c>
      <c r="P49" s="375">
        <f t="shared" si="32"/>
        <v>0</v>
      </c>
      <c r="Q49" s="375">
        <f t="shared" si="32"/>
        <v>0</v>
      </c>
      <c r="R49" s="375">
        <f t="shared" si="32"/>
        <v>0</v>
      </c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</row>
    <row r="51" spans="2:41" x14ac:dyDescent="0.25">
      <c r="B51" s="374" t="s">
        <v>369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O43" sqref="O43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226" t="s">
        <v>339</v>
      </c>
      <c r="B1" s="226"/>
    </row>
    <row r="2" spans="1:16" x14ac:dyDescent="0.25">
      <c r="A2" s="226"/>
      <c r="B2" s="226"/>
    </row>
    <row r="3" spans="1:16" x14ac:dyDescent="0.25">
      <c r="A3" s="227" t="s">
        <v>147</v>
      </c>
      <c r="B3" s="227" t="s">
        <v>150</v>
      </c>
    </row>
    <row r="4" spans="1:16" x14ac:dyDescent="0.25">
      <c r="A4" s="163"/>
      <c r="B4" s="186"/>
    </row>
    <row r="5" spans="1:16" x14ac:dyDescent="0.25">
      <c r="A5" s="163" t="s">
        <v>161</v>
      </c>
      <c r="B5" s="186">
        <v>193903.15</v>
      </c>
    </row>
    <row r="6" spans="1:16" x14ac:dyDescent="0.25">
      <c r="A6" s="163" t="s">
        <v>121</v>
      </c>
      <c r="B6" s="186">
        <v>43030.409999999996</v>
      </c>
    </row>
    <row r="7" spans="1:16" x14ac:dyDescent="0.25">
      <c r="A7" s="163" t="s">
        <v>122</v>
      </c>
      <c r="B7" s="186">
        <v>2800.31</v>
      </c>
    </row>
    <row r="8" spans="1:16" x14ac:dyDescent="0.25">
      <c r="A8" s="163" t="s">
        <v>132</v>
      </c>
      <c r="B8" s="186">
        <v>65991.45</v>
      </c>
    </row>
    <row r="9" spans="1:16" x14ac:dyDescent="0.25">
      <c r="A9" s="197" t="s">
        <v>146</v>
      </c>
      <c r="B9" s="198">
        <v>305725.32</v>
      </c>
    </row>
    <row r="10" spans="1:16" x14ac:dyDescent="0.25">
      <c r="N10" s="205"/>
      <c r="O10" s="205"/>
      <c r="P10" s="205"/>
    </row>
    <row r="11" spans="1:16" x14ac:dyDescent="0.25">
      <c r="O11" s="206"/>
    </row>
    <row r="12" spans="1:16" x14ac:dyDescent="0.25">
      <c r="A12" s="163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O28" sqref="O28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226" t="s">
        <v>340</v>
      </c>
      <c r="B1" s="226" t="s">
        <v>143</v>
      </c>
    </row>
    <row r="2" spans="1:2" x14ac:dyDescent="0.25">
      <c r="A2" s="226"/>
      <c r="B2" s="226" t="s">
        <v>145</v>
      </c>
    </row>
    <row r="3" spans="1:2" x14ac:dyDescent="0.25">
      <c r="A3" s="227" t="s">
        <v>147</v>
      </c>
      <c r="B3" s="227" t="s">
        <v>150</v>
      </c>
    </row>
    <row r="4" spans="1:2" x14ac:dyDescent="0.25">
      <c r="A4" s="163">
        <v>143002450</v>
      </c>
      <c r="B4" s="205">
        <v>34086.36</v>
      </c>
    </row>
    <row r="5" spans="1:2" x14ac:dyDescent="0.25">
      <c r="A5" s="163">
        <v>143002516</v>
      </c>
      <c r="B5" s="205">
        <v>695889.41</v>
      </c>
    </row>
    <row r="6" spans="1:2" x14ac:dyDescent="0.25">
      <c r="A6" s="163">
        <v>143002517</v>
      </c>
      <c r="B6" s="205">
        <v>13322.18</v>
      </c>
    </row>
    <row r="7" spans="1:2" x14ac:dyDescent="0.25">
      <c r="A7" s="163">
        <v>143003176</v>
      </c>
      <c r="B7" s="205">
        <v>39857.519999999997</v>
      </c>
    </row>
    <row r="8" spans="1:2" x14ac:dyDescent="0.25">
      <c r="A8" s="163">
        <v>143003178</v>
      </c>
      <c r="B8" s="205">
        <v>1950.23</v>
      </c>
    </row>
    <row r="9" spans="1:2" x14ac:dyDescent="0.25">
      <c r="A9" s="163">
        <v>143003226</v>
      </c>
      <c r="B9" s="205">
        <v>16648.830000000002</v>
      </c>
    </row>
    <row r="10" spans="1:2" x14ac:dyDescent="0.25">
      <c r="A10" s="197" t="s">
        <v>146</v>
      </c>
      <c r="B10" s="198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34" activePane="bottomRight" state="frozen"/>
      <selection activeCell="C20" sqref="C20"/>
      <selection pane="topRight" activeCell="C20" sqref="C20"/>
      <selection pane="bottomLeft" activeCell="C20" sqref="C20"/>
      <selection pane="bottomRight" activeCell="O37" sqref="O37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37" t="s">
        <v>358</v>
      </c>
      <c r="B1" s="237" t="s">
        <v>357</v>
      </c>
      <c r="C1" s="237" t="s">
        <v>356</v>
      </c>
      <c r="D1" s="237" t="s">
        <v>355</v>
      </c>
    </row>
    <row r="2" spans="1:5" x14ac:dyDescent="0.25">
      <c r="A2" t="s">
        <v>354</v>
      </c>
      <c r="B2" s="230">
        <v>142000986</v>
      </c>
      <c r="C2" s="397">
        <v>201710</v>
      </c>
      <c r="D2" s="188">
        <v>44814.38</v>
      </c>
      <c r="E2" s="389"/>
    </row>
    <row r="3" spans="1:5" x14ac:dyDescent="0.25">
      <c r="A3" t="s">
        <v>354</v>
      </c>
      <c r="B3" s="230">
        <v>142000986</v>
      </c>
      <c r="C3" s="397">
        <v>201711</v>
      </c>
      <c r="D3" s="188">
        <v>6352.95</v>
      </c>
      <c r="E3" s="389"/>
    </row>
    <row r="4" spans="1:5" x14ac:dyDescent="0.25">
      <c r="A4" t="s">
        <v>354</v>
      </c>
      <c r="B4" s="230">
        <v>142000986</v>
      </c>
      <c r="C4" s="397">
        <v>201712</v>
      </c>
      <c r="D4" s="188">
        <v>0</v>
      </c>
      <c r="E4" s="389"/>
    </row>
    <row r="5" spans="1:5" x14ac:dyDescent="0.25">
      <c r="A5" t="s">
        <v>354</v>
      </c>
      <c r="B5" s="230">
        <v>142000987</v>
      </c>
      <c r="C5" s="230">
        <v>201707</v>
      </c>
      <c r="D5" s="188">
        <v>10023.52</v>
      </c>
      <c r="E5" s="389"/>
    </row>
    <row r="6" spans="1:5" x14ac:dyDescent="0.25">
      <c r="A6" t="s">
        <v>354</v>
      </c>
      <c r="B6" s="230">
        <v>142000988</v>
      </c>
      <c r="C6" s="230">
        <v>201712</v>
      </c>
      <c r="D6" s="188">
        <v>32495.86</v>
      </c>
      <c r="E6" s="389"/>
    </row>
    <row r="7" spans="1:5" x14ac:dyDescent="0.25">
      <c r="A7" t="s">
        <v>354</v>
      </c>
      <c r="B7" s="230">
        <v>143003060</v>
      </c>
      <c r="C7" s="230">
        <v>201805</v>
      </c>
      <c r="D7" s="188">
        <v>19365.849999999999</v>
      </c>
      <c r="E7" s="389"/>
    </row>
    <row r="8" spans="1:5" ht="15.75" thickBot="1" x14ac:dyDescent="0.3">
      <c r="D8" s="388">
        <f>SUM(D2:D7)</f>
        <v>113052.56</v>
      </c>
    </row>
    <row r="9" spans="1:5" ht="15.75" thickTop="1" x14ac:dyDescent="0.25"/>
    <row r="10" spans="1:5" x14ac:dyDescent="0.25">
      <c r="A10" s="391" t="s">
        <v>346</v>
      </c>
      <c r="B10" s="391" t="s">
        <v>298</v>
      </c>
      <c r="D10" s="396">
        <v>43525</v>
      </c>
    </row>
    <row r="11" spans="1:5" x14ac:dyDescent="0.25">
      <c r="A11" s="163">
        <v>142000986</v>
      </c>
      <c r="B11" t="s">
        <v>345</v>
      </c>
      <c r="C11" s="393" t="s">
        <v>353</v>
      </c>
      <c r="D11" s="395">
        <v>51167.329999999994</v>
      </c>
    </row>
    <row r="12" spans="1:5" x14ac:dyDescent="0.25">
      <c r="A12" t="s">
        <v>119</v>
      </c>
      <c r="B12" s="163">
        <f>+B2</f>
        <v>142000986</v>
      </c>
      <c r="C12" s="393" t="s">
        <v>352</v>
      </c>
    </row>
    <row r="13" spans="1:5" x14ac:dyDescent="0.25">
      <c r="B13" t="s">
        <v>119</v>
      </c>
      <c r="C13" s="393" t="s">
        <v>351</v>
      </c>
      <c r="D13" s="182">
        <v>2.7799999999999998E-2</v>
      </c>
    </row>
    <row r="14" spans="1:5" x14ac:dyDescent="0.25">
      <c r="C14" s="393" t="s">
        <v>350</v>
      </c>
      <c r="D14" s="389">
        <f>D12*D13/12/2</f>
        <v>0</v>
      </c>
    </row>
    <row r="15" spans="1:5" x14ac:dyDescent="0.25">
      <c r="C15" s="393" t="s">
        <v>349</v>
      </c>
      <c r="D15" s="389">
        <f>D11*D13/12</f>
        <v>118.53764783333331</v>
      </c>
    </row>
    <row r="16" spans="1:5" ht="15.75" thickBot="1" x14ac:dyDescent="0.3">
      <c r="C16" s="237" t="s">
        <v>348</v>
      </c>
      <c r="D16" s="388">
        <f>D14+D15</f>
        <v>118.53764783333331</v>
      </c>
    </row>
    <row r="17" spans="1:5" ht="15.75" thickTop="1" x14ac:dyDescent="0.25"/>
    <row r="18" spans="1:5" x14ac:dyDescent="0.25">
      <c r="A18" s="391" t="s">
        <v>346</v>
      </c>
      <c r="B18" s="391" t="s">
        <v>298</v>
      </c>
      <c r="D18" s="396">
        <v>43525</v>
      </c>
    </row>
    <row r="19" spans="1:5" x14ac:dyDescent="0.25">
      <c r="A19" s="163">
        <v>142000987</v>
      </c>
      <c r="B19" t="s">
        <v>344</v>
      </c>
      <c r="C19" s="393" t="s">
        <v>353</v>
      </c>
      <c r="D19" s="395">
        <v>10023.52</v>
      </c>
    </row>
    <row r="20" spans="1:5" x14ac:dyDescent="0.25">
      <c r="A20" t="s">
        <v>119</v>
      </c>
      <c r="B20" s="163">
        <f>+B5</f>
        <v>142000987</v>
      </c>
      <c r="C20" s="393" t="s">
        <v>352</v>
      </c>
    </row>
    <row r="21" spans="1:5" x14ac:dyDescent="0.25">
      <c r="B21" t="s">
        <v>119</v>
      </c>
      <c r="C21" s="393" t="s">
        <v>351</v>
      </c>
      <c r="D21" s="394">
        <v>0.05</v>
      </c>
    </row>
    <row r="22" spans="1:5" x14ac:dyDescent="0.25">
      <c r="C22" s="393" t="s">
        <v>350</v>
      </c>
      <c r="D22">
        <f>D20*D21/12/2</f>
        <v>0</v>
      </c>
    </row>
    <row r="23" spans="1:5" x14ac:dyDescent="0.25">
      <c r="C23" s="393" t="s">
        <v>349</v>
      </c>
      <c r="D23">
        <f>D19*D21/12</f>
        <v>41.76466666666667</v>
      </c>
    </row>
    <row r="24" spans="1:5" ht="15.75" thickBot="1" x14ac:dyDescent="0.3">
      <c r="C24" s="237" t="s">
        <v>348</v>
      </c>
      <c r="D24" s="388">
        <f>D22+D23</f>
        <v>41.76466666666667</v>
      </c>
      <c r="E24" s="389"/>
    </row>
    <row r="25" spans="1:5" ht="15.75" thickTop="1" x14ac:dyDescent="0.25"/>
    <row r="26" spans="1:5" x14ac:dyDescent="0.25">
      <c r="A26" s="391" t="s">
        <v>346</v>
      </c>
      <c r="B26" s="391" t="s">
        <v>298</v>
      </c>
      <c r="D26" s="396">
        <v>43525</v>
      </c>
    </row>
    <row r="27" spans="1:5" x14ac:dyDescent="0.25">
      <c r="A27" s="163">
        <v>142000988</v>
      </c>
      <c r="B27" t="s">
        <v>343</v>
      </c>
      <c r="C27" s="393" t="s">
        <v>353</v>
      </c>
      <c r="D27" s="395">
        <v>32495.86</v>
      </c>
    </row>
    <row r="28" spans="1:5" x14ac:dyDescent="0.25">
      <c r="A28" t="s">
        <v>119</v>
      </c>
      <c r="B28" s="163">
        <f>+B6</f>
        <v>142000988</v>
      </c>
      <c r="C28" s="393" t="s">
        <v>352</v>
      </c>
    </row>
    <row r="29" spans="1:5" x14ac:dyDescent="0.25">
      <c r="B29" t="s">
        <v>119</v>
      </c>
      <c r="C29" s="393" t="s">
        <v>351</v>
      </c>
      <c r="D29" s="394">
        <v>0.2</v>
      </c>
    </row>
    <row r="30" spans="1:5" x14ac:dyDescent="0.25">
      <c r="C30" s="393" t="s">
        <v>350</v>
      </c>
      <c r="D30" s="389">
        <f>D28*D29/12/2</f>
        <v>0</v>
      </c>
    </row>
    <row r="31" spans="1:5" x14ac:dyDescent="0.25">
      <c r="C31" s="393" t="s">
        <v>349</v>
      </c>
      <c r="D31" s="389">
        <f>D27*D29/12</f>
        <v>541.59766666666667</v>
      </c>
    </row>
    <row r="32" spans="1:5" ht="15.75" thickBot="1" x14ac:dyDescent="0.3">
      <c r="C32" s="237" t="s">
        <v>348</v>
      </c>
      <c r="D32" s="388">
        <f>D30+D31</f>
        <v>541.59766666666667</v>
      </c>
    </row>
    <row r="33" spans="1:6" ht="15.75" thickTop="1" x14ac:dyDescent="0.25"/>
    <row r="34" spans="1:6" x14ac:dyDescent="0.25">
      <c r="A34" s="391" t="s">
        <v>346</v>
      </c>
      <c r="B34" s="391" t="s">
        <v>298</v>
      </c>
      <c r="D34" s="396">
        <v>43525</v>
      </c>
    </row>
    <row r="35" spans="1:6" x14ac:dyDescent="0.25">
      <c r="A35" s="163">
        <v>143003060</v>
      </c>
      <c r="B35" t="s">
        <v>342</v>
      </c>
      <c r="C35" s="393" t="s">
        <v>353</v>
      </c>
      <c r="D35" s="395">
        <v>19365.849999999999</v>
      </c>
    </row>
    <row r="36" spans="1:6" x14ac:dyDescent="0.25">
      <c r="A36" t="s">
        <v>128</v>
      </c>
      <c r="B36" s="163">
        <f>+B7</f>
        <v>143003060</v>
      </c>
      <c r="C36" s="393" t="s">
        <v>352</v>
      </c>
    </row>
    <row r="37" spans="1:6" x14ac:dyDescent="0.25">
      <c r="B37" t="s">
        <v>128</v>
      </c>
      <c r="C37" s="393" t="s">
        <v>351</v>
      </c>
      <c r="D37" s="394">
        <v>0.2</v>
      </c>
    </row>
    <row r="38" spans="1:6" x14ac:dyDescent="0.25">
      <c r="C38" s="393" t="s">
        <v>350</v>
      </c>
      <c r="D38" s="389">
        <f>D36*D37/12/2</f>
        <v>0</v>
      </c>
    </row>
    <row r="39" spans="1:6" x14ac:dyDescent="0.25">
      <c r="C39" s="393" t="s">
        <v>349</v>
      </c>
      <c r="D39" s="389">
        <f>D35*D37/12</f>
        <v>322.76416666666665</v>
      </c>
    </row>
    <row r="40" spans="1:6" ht="15.75" thickBot="1" x14ac:dyDescent="0.3">
      <c r="C40" s="237" t="s">
        <v>348</v>
      </c>
      <c r="D40" s="388">
        <f>D38+D39</f>
        <v>322.76416666666665</v>
      </c>
    </row>
    <row r="41" spans="1:6" ht="15.75" thickTop="1" x14ac:dyDescent="0.25"/>
    <row r="43" spans="1:6" x14ac:dyDescent="0.25">
      <c r="A43" s="429" t="s">
        <v>347</v>
      </c>
      <c r="B43" s="429"/>
      <c r="C43" s="429"/>
      <c r="D43" s="429"/>
      <c r="E43" s="429"/>
      <c r="F43" s="392"/>
    </row>
    <row r="44" spans="1:6" x14ac:dyDescent="0.25">
      <c r="A44" s="391" t="s">
        <v>346</v>
      </c>
      <c r="B44" s="391" t="s">
        <v>298</v>
      </c>
      <c r="C44" s="238">
        <v>43435</v>
      </c>
      <c r="D44" s="238">
        <v>43466</v>
      </c>
      <c r="E44" s="238">
        <v>43497</v>
      </c>
      <c r="F44" s="390">
        <v>43525</v>
      </c>
    </row>
    <row r="45" spans="1:6" x14ac:dyDescent="0.25">
      <c r="A45" s="163">
        <v>142000986</v>
      </c>
      <c r="B45" t="s">
        <v>345</v>
      </c>
      <c r="C45" s="389">
        <f>D2+D3+D4</f>
        <v>51167.329999999994</v>
      </c>
      <c r="D45" s="389">
        <f t="shared" ref="D45:F48" si="0">C45</f>
        <v>51167.329999999994</v>
      </c>
      <c r="E45" s="389">
        <f t="shared" si="0"/>
        <v>51167.329999999994</v>
      </c>
      <c r="F45" s="389">
        <f t="shared" si="0"/>
        <v>51167.329999999994</v>
      </c>
    </row>
    <row r="46" spans="1:6" x14ac:dyDescent="0.25">
      <c r="A46" s="163">
        <v>142000987</v>
      </c>
      <c r="B46" t="s">
        <v>344</v>
      </c>
      <c r="C46" s="389">
        <f>D5</f>
        <v>10023.52</v>
      </c>
      <c r="D46" s="389">
        <f t="shared" si="0"/>
        <v>10023.52</v>
      </c>
      <c r="E46" s="389">
        <f t="shared" si="0"/>
        <v>10023.52</v>
      </c>
      <c r="F46" s="389">
        <f t="shared" si="0"/>
        <v>10023.52</v>
      </c>
    </row>
    <row r="47" spans="1:6" x14ac:dyDescent="0.25">
      <c r="A47" s="163">
        <v>142000988</v>
      </c>
      <c r="B47" t="s">
        <v>343</v>
      </c>
      <c r="C47" s="389">
        <f>D6</f>
        <v>32495.86</v>
      </c>
      <c r="D47" s="389">
        <f t="shared" si="0"/>
        <v>32495.86</v>
      </c>
      <c r="E47" s="389">
        <f t="shared" si="0"/>
        <v>32495.86</v>
      </c>
      <c r="F47" s="389">
        <f t="shared" si="0"/>
        <v>32495.86</v>
      </c>
    </row>
    <row r="48" spans="1:6" x14ac:dyDescent="0.25">
      <c r="A48" s="163">
        <v>143003060</v>
      </c>
      <c r="B48" t="s">
        <v>342</v>
      </c>
      <c r="C48" s="389">
        <f>D7</f>
        <v>19365.849999999999</v>
      </c>
      <c r="D48" s="389">
        <f t="shared" si="0"/>
        <v>19365.849999999999</v>
      </c>
      <c r="E48" s="389">
        <f t="shared" si="0"/>
        <v>19365.849999999999</v>
      </c>
      <c r="F48" s="389">
        <f t="shared" si="0"/>
        <v>19365.849999999999</v>
      </c>
    </row>
    <row r="50" spans="3:7" ht="15.75" thickBot="1" x14ac:dyDescent="0.3">
      <c r="C50" s="388">
        <f>SUM(C45:C49)</f>
        <v>113052.56</v>
      </c>
      <c r="D50" s="388">
        <f>SUM(D45:D49)</f>
        <v>113052.56</v>
      </c>
      <c r="E50" s="388">
        <f>SUM(E45:E49)</f>
        <v>113052.56</v>
      </c>
      <c r="F50" s="388">
        <f>SUM(F45:F49)</f>
        <v>113052.56</v>
      </c>
      <c r="G50" s="237" t="s">
        <v>341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6D731D-5E41-46ED-910C-B12221BD5B57}"/>
</file>

<file path=customXml/itemProps4.xml><?xml version="1.0" encoding="utf-8"?>
<ds:datastoreItem xmlns:ds="http://schemas.openxmlformats.org/officeDocument/2006/customXml" ds:itemID="{C1DD808B-934A-45BA-A5FC-182030035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Lead G</vt:lpstr>
      <vt:lpstr>Gas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Gas Return on RB</vt:lpstr>
      <vt:lpstr>Return Def'd Mar19-Apr20</vt:lpstr>
      <vt:lpstr>Amort of Def'd Deprec=&gt;</vt:lpstr>
      <vt:lpstr>Amort of Gas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2017-01-04T16:48:07Z</cp:lastPrinted>
  <dcterms:created xsi:type="dcterms:W3CDTF">2013-03-08T01:16:38Z</dcterms:created>
  <dcterms:modified xsi:type="dcterms:W3CDTF">2019-07-31T15:17:33Z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