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01m107\c01m107\2016\2016_WA_Elec_and_Gas_GRC\Compliance Filing - Nov 1 Power Supply Update\"/>
    </mc:Choice>
  </mc:AlternateContent>
  <bookViews>
    <workbookView xWindow="-15" yWindow="-15" windowWidth="9690" windowHeight="7290" tabRatio="731"/>
  </bookViews>
  <sheets>
    <sheet name="Attachment A-pg 2" sheetId="19" r:id="rId1"/>
    <sheet name="Attchment C - pg 2" sheetId="20" r:id="rId2"/>
    <sheet name="Attachment G" sheetId="1" r:id="rId3"/>
    <sheet name="WGJ-4" sheetId="16" r:id="rId4"/>
    <sheet name="Index" sheetId="17" r:id="rId5"/>
    <sheet name="Aurora" sheetId="1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ctuals_Mo">[1]Tables!$B$19</definedName>
    <definedName name="Base1_Billing2">#REF!</definedName>
    <definedName name="BaseRev60_EntryLookup">INDEX('[2]Rev Summary'!$F$1176:$F$1177,2):'[2]Rev Summary'!$F$1221</definedName>
    <definedName name="Basic">'[2]Rev Summary'!$I$1279:$I$1322</definedName>
    <definedName name="BilledRev60_EntryLookup">INDEX('[2]Rev Summary'!$F$70:$F$71,2):'[2]Rev Summary'!$F$115</definedName>
    <definedName name="CalRev60_EntryLookup">INDEX('[2]Rev Summary'!$F$373:$F$374,2):'[2]Rev Summary'!$F$418</definedName>
    <definedName name="ClassEntry">'[2]Rev Summary'!$D$2</definedName>
    <definedName name="ClassEntryNo">'[2]Rev Summary'!$D$3</definedName>
    <definedName name="CopyClasses">'[2]Rev Summary'!$F$1279:INDEX('[2]Rev Summary'!$F$1279:$F$1323,COUNTA('[2]Rev Summary'!$F$1279:$F$1323))</definedName>
    <definedName name="CustMos">'[1]Cust Load'!$D$3</definedName>
    <definedName name="DSMFlag">'[2]Exp Summary'!$E$30</definedName>
    <definedName name="EndMo">[1]Tables!$B$16</definedName>
    <definedName name="ERM">'[3]Rate Design'!$D$45</definedName>
    <definedName name="GRCRev60_EntryLookup">INDEX('[2]Rev Summary'!$F$1075:$F$1076,2):'[2]Rev Summary'!$F$1120</definedName>
    <definedName name="GrossUnbillAccrRev60_EntryLookup">INDEX('[2]Rev Summary'!$F$873:$F$874,2):'[2]Rev Summary'!$F$918</definedName>
    <definedName name="GrossUnbillRevRev60_EntryLookup">INDEX('[2]Rev Summary'!$F$974:$F$975,2):'[2]Rev Summary'!$F$1019</definedName>
    <definedName name="ID">#REF!</definedName>
    <definedName name="ID_001b">#REF!</definedName>
    <definedName name="ID_011b">#REF!</definedName>
    <definedName name="ID_012b">#REF!</definedName>
    <definedName name="ID_021b">#REF!</definedName>
    <definedName name="ID_Gas">'[4]DEBT CALC'!#REF!</definedName>
    <definedName name="ID04X">[2]Rates!$O$121:$V$121</definedName>
    <definedName name="IDPPRider">[2]Rates!$O$124:$V$124</definedName>
    <definedName name="IDResEx">[2]Rates!$O$125:$V$125</definedName>
    <definedName name="IDSurch">[2]Rates!$O$122:$V$122</definedName>
    <definedName name="ManualSched">'[2]Rev Summary'!$B$36</definedName>
    <definedName name="Month1">[2]Setup!$B$3</definedName>
    <definedName name="NetUnbillRev60_EntryLookup">INDEX('[2]Rev Summary'!$F$272:$F$273,2):'[2]Rev Summary'!$F$317</definedName>
    <definedName name="PPRev60_EntryLookup">INDEX('[2]Rev Summary'!$F$671:$F$672,2):'[2]Rev Summary'!$F$716</definedName>
    <definedName name="_xlnm.Print_Area" localSheetId="0">'Attachment A-pg 2'!$A$1:$N$43</definedName>
    <definedName name="_xlnm.Print_Area" localSheetId="2">'Attachment G'!$A$1:$F$109</definedName>
    <definedName name="_xlnm.Print_Area" localSheetId="4">Index!$A$23:$O$58</definedName>
    <definedName name="_xlnm.Print_Area" localSheetId="3">'WGJ-4'!$A$1:$O$57</definedName>
    <definedName name="Print_for_Checking">'[4]ADJ SUMMARY'!#REF!:'[4]ADJ SUMMARY'!#REF!</definedName>
    <definedName name="_xlnm.Print_Titles" localSheetId="2">'Attachment G'!$1:$7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[5]Macro1!$A$92</definedName>
    <definedName name="ResExchRev60_EntryLookup">INDEX('[2]Rev Summary'!$F$772:$F$773,2):'[2]Rev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Sch">CHOOSE([1]Rev!$B$5, [1]!Rates_WA[St-Sch], [1]!Rates_ID[St-Sch])</definedName>
    <definedName name="Sch_2">CHOOSE('[1]Manual Rev'!$C1, [1]!Rates_WA[St-Sch], [1]!Rates_ID[St-Sch])</definedName>
    <definedName name="Sched">'[2]Rev Summary'!$E$2</definedName>
    <definedName name="SL_RateIncr">'[3]St Lts'!$AD$1</definedName>
    <definedName name="StartMo">[1]Tables!$B$13</definedName>
    <definedName name="Summary">#REF!</definedName>
    <definedName name="SurchRev60_EntryLookup">INDEX('[2]Rev Summary'!$F$474:$F$475,2):'[2]Rev Summary'!$F$519</definedName>
    <definedName name="TableName">"Dummy"</definedName>
    <definedName name="TaxCreditRev60_EntryLookup">INDEX('[2]Rev Summary'!$F$572:$F$621,2):'[2]Rev Summary'!$F$617</definedName>
    <definedName name="TaxRev60_EntryLookup">INDEX('[2]Rev Summary'!$F$171:$F$216,2):'[2]Rev Summary'!$F$216</definedName>
    <definedName name="Utility">[2]Setup!$B$1</definedName>
    <definedName name="vl_tbl_SchedClass">[1]!tbl_SchedAll[StClSch]</definedName>
    <definedName name="WA_001b">#REF!</definedName>
    <definedName name="WA_011b">#REF!</definedName>
    <definedName name="WA_012b">#REF!</definedName>
    <definedName name="WA_021b">#REF!</definedName>
    <definedName name="WA_Gas">'[4]DEBT CALC'!#REF!</definedName>
    <definedName name="WA04X">[2]Rates!$D$121:$K$121</definedName>
    <definedName name="WAPPRider">[2]Rates!$D$124:$K$124</definedName>
    <definedName name="WAResEx">[2]Rates!$D$125:$K$125</definedName>
    <definedName name="WASurch">[2]Rates!$D$122:$K$122</definedName>
    <definedName name="Year1">[2]Setup!$B$2</definedName>
  </definedNames>
  <calcPr calcId="152511"/>
</workbook>
</file>

<file path=xl/calcChain.xml><?xml version="1.0" encoding="utf-8"?>
<calcChain xmlns="http://schemas.openxmlformats.org/spreadsheetml/2006/main">
  <c r="S49" i="20" l="1"/>
  <c r="S47" i="20"/>
  <c r="S43" i="20"/>
  <c r="D14" i="20" l="1"/>
  <c r="L35" i="20"/>
  <c r="P33" i="20"/>
  <c r="L33" i="20"/>
  <c r="D33" i="20"/>
  <c r="P32" i="20"/>
  <c r="R32" i="20" s="1"/>
  <c r="N32" i="20"/>
  <c r="F32" i="20"/>
  <c r="R30" i="20"/>
  <c r="N30" i="20"/>
  <c r="F30" i="20"/>
  <c r="R29" i="20"/>
  <c r="N29" i="20"/>
  <c r="F29" i="20"/>
  <c r="R28" i="20"/>
  <c r="N28" i="20"/>
  <c r="F28" i="20"/>
  <c r="P26" i="20"/>
  <c r="R26" i="20" s="1"/>
  <c r="N26" i="20"/>
  <c r="F26" i="20"/>
  <c r="R25" i="20"/>
  <c r="N25" i="20"/>
  <c r="F25" i="20"/>
  <c r="P24" i="20"/>
  <c r="R24" i="20" s="1"/>
  <c r="N24" i="20"/>
  <c r="F24" i="20"/>
  <c r="R23" i="20"/>
  <c r="N23" i="20"/>
  <c r="F23" i="20"/>
  <c r="R22" i="20"/>
  <c r="P22" i="20"/>
  <c r="N22" i="20"/>
  <c r="N33" i="20" s="1"/>
  <c r="F22" i="20"/>
  <c r="F33" i="20" s="1"/>
  <c r="L19" i="20"/>
  <c r="R18" i="20"/>
  <c r="N18" i="20"/>
  <c r="F18" i="20"/>
  <c r="R17" i="20"/>
  <c r="N17" i="20"/>
  <c r="F17" i="20"/>
  <c r="R15" i="20"/>
  <c r="N15" i="20"/>
  <c r="F15" i="20"/>
  <c r="L14" i="20"/>
  <c r="N14" i="20" s="1"/>
  <c r="D19" i="20"/>
  <c r="D35" i="20" s="1"/>
  <c r="R13" i="20"/>
  <c r="N13" i="20"/>
  <c r="F13" i="20"/>
  <c r="R12" i="20"/>
  <c r="N12" i="20"/>
  <c r="F12" i="20"/>
  <c r="P11" i="20"/>
  <c r="N11" i="20"/>
  <c r="F11" i="20"/>
  <c r="N19" i="20" l="1"/>
  <c r="N35" i="20" s="1"/>
  <c r="R33" i="20"/>
  <c r="P14" i="20"/>
  <c r="R14" i="20" s="1"/>
  <c r="R11" i="20"/>
  <c r="F14" i="20"/>
  <c r="F19" i="20" s="1"/>
  <c r="F35" i="20" s="1"/>
  <c r="F37" i="20" l="1"/>
  <c r="F39" i="20" s="1"/>
  <c r="N37" i="20"/>
  <c r="N39" i="20"/>
  <c r="R19" i="20"/>
  <c r="R35" i="20" s="1"/>
  <c r="P19" i="20"/>
  <c r="P35" i="20" s="1"/>
  <c r="R37" i="20" l="1"/>
  <c r="R39" i="20"/>
  <c r="R41" i="20" s="1"/>
  <c r="R45" i="20" s="1"/>
  <c r="R47" i="20" s="1"/>
  <c r="B37" i="19" l="1"/>
  <c r="A42" i="19"/>
  <c r="B35" i="19"/>
  <c r="J17" i="1" l="1"/>
  <c r="Q13" i="1"/>
  <c r="R13" i="1"/>
  <c r="S13" i="1"/>
  <c r="T13" i="1"/>
  <c r="U13" i="1"/>
  <c r="V13" i="1"/>
  <c r="Q51" i="1" l="1"/>
  <c r="R51" i="1"/>
  <c r="S51" i="1"/>
  <c r="T51" i="1"/>
  <c r="U51" i="1"/>
  <c r="V51" i="1"/>
  <c r="D34" i="17" l="1"/>
  <c r="N18" i="18"/>
  <c r="N19" i="18"/>
  <c r="E34" i="1" l="1"/>
  <c r="J89" i="1"/>
  <c r="Q71" i="1"/>
  <c r="R71" i="1"/>
  <c r="S71" i="1"/>
  <c r="T71" i="1"/>
  <c r="U71" i="1"/>
  <c r="V71" i="1"/>
  <c r="Q65" i="1"/>
  <c r="R65" i="1"/>
  <c r="S65" i="1"/>
  <c r="T65" i="1"/>
  <c r="U65" i="1"/>
  <c r="V65" i="1"/>
  <c r="Q52" i="1" l="1"/>
  <c r="R52" i="1"/>
  <c r="S52" i="1"/>
  <c r="T52" i="1"/>
  <c r="U52" i="1"/>
  <c r="V52" i="1"/>
  <c r="Q53" i="1"/>
  <c r="R53" i="1"/>
  <c r="S53" i="1"/>
  <c r="T53" i="1"/>
  <c r="U53" i="1"/>
  <c r="V53" i="1"/>
  <c r="Q31" i="1" l="1"/>
  <c r="R31" i="1"/>
  <c r="S31" i="1"/>
  <c r="T31" i="1"/>
  <c r="U31" i="1"/>
  <c r="V31" i="1"/>
  <c r="E89" i="1" l="1"/>
  <c r="E19" i="17"/>
  <c r="F19" i="17"/>
  <c r="G19" i="17"/>
  <c r="H19" i="17"/>
  <c r="I19" i="17"/>
  <c r="J19" i="17"/>
  <c r="K19" i="17"/>
  <c r="L19" i="17"/>
  <c r="M19" i="17"/>
  <c r="N19" i="17"/>
  <c r="O19" i="17"/>
  <c r="D19" i="17"/>
  <c r="E33" i="1" l="1"/>
  <c r="D65" i="1" l="1"/>
  <c r="D10" i="1" l="1"/>
  <c r="Q100" i="1" l="1"/>
  <c r="R100" i="1"/>
  <c r="S100" i="1"/>
  <c r="T100" i="1"/>
  <c r="U100" i="1"/>
  <c r="V100" i="1"/>
  <c r="Q76" i="1"/>
  <c r="R76" i="1"/>
  <c r="S76" i="1"/>
  <c r="T76" i="1"/>
  <c r="U76" i="1"/>
  <c r="V76" i="1"/>
  <c r="J76" i="1" l="1"/>
  <c r="J100" i="1"/>
  <c r="C19" i="17"/>
  <c r="E20" i="17"/>
  <c r="E21" i="17" s="1"/>
  <c r="F20" i="17"/>
  <c r="F21" i="17" s="1"/>
  <c r="G20" i="17"/>
  <c r="G21" i="17" s="1"/>
  <c r="H20" i="17"/>
  <c r="H21" i="17" s="1"/>
  <c r="I20" i="17"/>
  <c r="I21" i="17" s="1"/>
  <c r="J20" i="17"/>
  <c r="J21" i="17" s="1"/>
  <c r="Q88" i="1" s="1"/>
  <c r="K20" i="17"/>
  <c r="K21" i="17" s="1"/>
  <c r="R88" i="1" s="1"/>
  <c r="L20" i="17"/>
  <c r="L21" i="17" s="1"/>
  <c r="S88" i="1" s="1"/>
  <c r="M20" i="17"/>
  <c r="M21" i="17" s="1"/>
  <c r="T88" i="1" s="1"/>
  <c r="N20" i="17"/>
  <c r="N21" i="17" s="1"/>
  <c r="U88" i="1" s="1"/>
  <c r="O20" i="17"/>
  <c r="O21" i="17" s="1"/>
  <c r="V88" i="1" s="1"/>
  <c r="D20" i="17"/>
  <c r="D21" i="17" s="1"/>
  <c r="C11" i="17"/>
  <c r="C21" i="17" l="1"/>
  <c r="Q37" i="1" l="1"/>
  <c r="R37" i="1"/>
  <c r="S37" i="1"/>
  <c r="T37" i="1"/>
  <c r="U37" i="1"/>
  <c r="V37" i="1"/>
  <c r="J37" i="1" l="1"/>
  <c r="Q70" i="1" l="1"/>
  <c r="R70" i="1"/>
  <c r="S70" i="1"/>
  <c r="T70" i="1"/>
  <c r="U70" i="1"/>
  <c r="V70" i="1"/>
  <c r="Q64" i="1" l="1"/>
  <c r="R64" i="1"/>
  <c r="S64" i="1"/>
  <c r="T64" i="1"/>
  <c r="U64" i="1"/>
  <c r="V64" i="1"/>
  <c r="Q50" i="1" l="1"/>
  <c r="R50" i="1"/>
  <c r="S50" i="1"/>
  <c r="T50" i="1"/>
  <c r="U50" i="1"/>
  <c r="V50" i="1"/>
  <c r="Q41" i="1"/>
  <c r="R41" i="1"/>
  <c r="S41" i="1"/>
  <c r="T41" i="1"/>
  <c r="U41" i="1"/>
  <c r="V41" i="1"/>
  <c r="J24" i="1"/>
  <c r="J25" i="1"/>
  <c r="J26" i="1"/>
  <c r="J27" i="1"/>
  <c r="E52" i="1" l="1"/>
  <c r="E26" i="17" l="1"/>
  <c r="F26" i="17"/>
  <c r="G26" i="17"/>
  <c r="H26" i="17"/>
  <c r="I26" i="17"/>
  <c r="J26" i="17"/>
  <c r="K26" i="17"/>
  <c r="L26" i="17"/>
  <c r="M26" i="17"/>
  <c r="N26" i="17"/>
  <c r="O26" i="17"/>
  <c r="D26" i="17"/>
  <c r="C10" i="17"/>
  <c r="E15" i="17" l="1"/>
  <c r="E16" i="17" s="1"/>
  <c r="F15" i="17"/>
  <c r="F16" i="17" s="1"/>
  <c r="G15" i="17"/>
  <c r="G16" i="17" s="1"/>
  <c r="M15" i="17"/>
  <c r="M16" i="17" s="1"/>
  <c r="N15" i="17"/>
  <c r="N16" i="17" s="1"/>
  <c r="E33" i="17" l="1"/>
  <c r="E56" i="17" s="1"/>
  <c r="F33" i="17"/>
  <c r="F56" i="17" s="1"/>
  <c r="G33" i="17"/>
  <c r="G56" i="17" s="1"/>
  <c r="H33" i="17"/>
  <c r="H56" i="17" s="1"/>
  <c r="I33" i="17"/>
  <c r="I56" i="17" s="1"/>
  <c r="J33" i="17"/>
  <c r="J56" i="17" s="1"/>
  <c r="K33" i="17"/>
  <c r="K56" i="17" s="1"/>
  <c r="L33" i="17"/>
  <c r="L56" i="17" s="1"/>
  <c r="M33" i="17"/>
  <c r="M56" i="17" s="1"/>
  <c r="N33" i="17"/>
  <c r="N56" i="17" s="1"/>
  <c r="O33" i="17"/>
  <c r="O56" i="17" s="1"/>
  <c r="D33" i="17"/>
  <c r="D56" i="17" s="1"/>
  <c r="E95" i="1" l="1"/>
  <c r="E32" i="1"/>
  <c r="E35" i="1"/>
  <c r="E27" i="1" l="1"/>
  <c r="E24" i="1" l="1"/>
  <c r="E24" i="17" l="1"/>
  <c r="F24" i="17"/>
  <c r="G24" i="17"/>
  <c r="H24" i="17"/>
  <c r="I24" i="17"/>
  <c r="J24" i="17"/>
  <c r="K24" i="17"/>
  <c r="L24" i="17"/>
  <c r="M24" i="17"/>
  <c r="N24" i="17"/>
  <c r="O24" i="17"/>
  <c r="D24" i="17"/>
  <c r="D33" i="19"/>
  <c r="E33" i="19"/>
  <c r="F33" i="19"/>
  <c r="G33" i="19"/>
  <c r="H33" i="19"/>
  <c r="I33" i="19"/>
  <c r="J33" i="19"/>
  <c r="K33" i="19"/>
  <c r="L33" i="19"/>
  <c r="M33" i="19"/>
  <c r="N33" i="19"/>
  <c r="C33" i="19"/>
  <c r="Q94" i="1" l="1"/>
  <c r="R94" i="1"/>
  <c r="S94" i="1"/>
  <c r="T94" i="1"/>
  <c r="U94" i="1"/>
  <c r="V94" i="1"/>
  <c r="D24" i="19" l="1"/>
  <c r="E24" i="19"/>
  <c r="F24" i="19"/>
  <c r="G24" i="19"/>
  <c r="H24" i="19"/>
  <c r="I24" i="19"/>
  <c r="J24" i="19"/>
  <c r="K24" i="19"/>
  <c r="L24" i="19"/>
  <c r="M24" i="19"/>
  <c r="N24" i="19"/>
  <c r="C24" i="19"/>
  <c r="J12" i="1" l="1"/>
  <c r="E53" i="1" l="1"/>
  <c r="E12" i="1"/>
  <c r="J51" i="1" l="1"/>
  <c r="J14" i="1"/>
  <c r="E51" i="1"/>
  <c r="B24" i="19"/>
  <c r="J83" i="1"/>
  <c r="E83" i="1"/>
  <c r="A9" i="1"/>
  <c r="A10" i="1" s="1"/>
  <c r="A11" i="1" s="1"/>
  <c r="A12" i="1" s="1"/>
  <c r="D33" i="16"/>
  <c r="E33" i="16"/>
  <c r="F33" i="16"/>
  <c r="G33" i="16"/>
  <c r="H33" i="16"/>
  <c r="I33" i="16"/>
  <c r="J33" i="16"/>
  <c r="Q18" i="1" s="1"/>
  <c r="K33" i="16"/>
  <c r="R18" i="1" s="1"/>
  <c r="L33" i="16"/>
  <c r="S18" i="1" s="1"/>
  <c r="M33" i="16"/>
  <c r="T18" i="1" s="1"/>
  <c r="N33" i="16"/>
  <c r="U18" i="1" s="1"/>
  <c r="O33" i="16"/>
  <c r="V18" i="1" s="1"/>
  <c r="D91" i="1"/>
  <c r="E14" i="1"/>
  <c r="E36" i="17"/>
  <c r="D6" i="17"/>
  <c r="D15" i="17" s="1"/>
  <c r="D16" i="17" s="1"/>
  <c r="H6" i="17"/>
  <c r="H15" i="17" s="1"/>
  <c r="I6" i="17"/>
  <c r="I15" i="17" s="1"/>
  <c r="I16" i="17" s="1"/>
  <c r="J6" i="17"/>
  <c r="J15" i="17" s="1"/>
  <c r="K6" i="17"/>
  <c r="K15" i="17" s="1"/>
  <c r="K16" i="17" s="1"/>
  <c r="R85" i="1" s="1"/>
  <c r="L6" i="17"/>
  <c r="L15" i="17" s="1"/>
  <c r="O6" i="17"/>
  <c r="O15" i="17" s="1"/>
  <c r="O16" i="17" s="1"/>
  <c r="V85" i="1" s="1"/>
  <c r="E48" i="17"/>
  <c r="F36" i="17"/>
  <c r="G36" i="17"/>
  <c r="H36" i="17"/>
  <c r="I36" i="17"/>
  <c r="J36" i="17"/>
  <c r="K36" i="17"/>
  <c r="L36" i="17"/>
  <c r="M36" i="17"/>
  <c r="N36" i="17"/>
  <c r="O36" i="17"/>
  <c r="D36" i="17"/>
  <c r="D20" i="19"/>
  <c r="E20" i="19"/>
  <c r="F20" i="19"/>
  <c r="G20" i="19"/>
  <c r="H20" i="19"/>
  <c r="Q73" i="1"/>
  <c r="I20" i="19" s="1"/>
  <c r="R73" i="1"/>
  <c r="J20" i="19" s="1"/>
  <c r="S73" i="1"/>
  <c r="K20" i="19" s="1"/>
  <c r="T73" i="1"/>
  <c r="L20" i="19" s="1"/>
  <c r="U73" i="1"/>
  <c r="M20" i="19" s="1"/>
  <c r="V73" i="1"/>
  <c r="N20" i="19" s="1"/>
  <c r="C20" i="19"/>
  <c r="B22" i="19"/>
  <c r="J90" i="1"/>
  <c r="J82" i="1"/>
  <c r="J19" i="1"/>
  <c r="J11" i="1"/>
  <c r="E35" i="16"/>
  <c r="F35" i="16"/>
  <c r="G35" i="16"/>
  <c r="H35" i="16"/>
  <c r="I35" i="16"/>
  <c r="J35" i="16"/>
  <c r="Q49" i="1" s="1"/>
  <c r="K35" i="16"/>
  <c r="R49" i="1" s="1"/>
  <c r="L35" i="16"/>
  <c r="S49" i="1" s="1"/>
  <c r="M35" i="16"/>
  <c r="T49" i="1" s="1"/>
  <c r="N35" i="16"/>
  <c r="U49" i="1" s="1"/>
  <c r="O35" i="16"/>
  <c r="V49" i="1" s="1"/>
  <c r="D35" i="16"/>
  <c r="J50" i="1"/>
  <c r="C29" i="17"/>
  <c r="C28" i="17"/>
  <c r="E11" i="1"/>
  <c r="D23" i="16"/>
  <c r="D27" i="16"/>
  <c r="D31" i="16"/>
  <c r="D39" i="16"/>
  <c r="D43" i="16"/>
  <c r="D47" i="16"/>
  <c r="D51" i="16"/>
  <c r="E23" i="16"/>
  <c r="E27" i="16"/>
  <c r="E31" i="16"/>
  <c r="E39" i="16"/>
  <c r="E43" i="16"/>
  <c r="E47" i="16"/>
  <c r="E51" i="16"/>
  <c r="F23" i="16"/>
  <c r="F27" i="16"/>
  <c r="F31" i="16"/>
  <c r="F39" i="16"/>
  <c r="F43" i="16"/>
  <c r="F47" i="16"/>
  <c r="F51" i="16"/>
  <c r="G23" i="16"/>
  <c r="G27" i="16"/>
  <c r="G31" i="16"/>
  <c r="G39" i="16"/>
  <c r="G43" i="16"/>
  <c r="G47" i="16"/>
  <c r="G51" i="16"/>
  <c r="H23" i="16"/>
  <c r="H27" i="16"/>
  <c r="H31" i="16"/>
  <c r="H39" i="16"/>
  <c r="H43" i="16"/>
  <c r="H47" i="16"/>
  <c r="H51" i="16"/>
  <c r="I23" i="16"/>
  <c r="I27" i="16"/>
  <c r="I31" i="16"/>
  <c r="I39" i="16"/>
  <c r="I43" i="16"/>
  <c r="I47" i="16"/>
  <c r="I51" i="16"/>
  <c r="J23" i="16"/>
  <c r="Q42" i="1" s="1"/>
  <c r="J27" i="16"/>
  <c r="Q40" i="1" s="1"/>
  <c r="J31" i="16"/>
  <c r="Q47" i="1" s="1"/>
  <c r="J39" i="16"/>
  <c r="Q56" i="1" s="1"/>
  <c r="J43" i="16"/>
  <c r="Q57" i="1" s="1"/>
  <c r="J47" i="16"/>
  <c r="Q54" i="1" s="1"/>
  <c r="J51" i="16"/>
  <c r="Q55" i="1" s="1"/>
  <c r="L23" i="16"/>
  <c r="S42" i="1" s="1"/>
  <c r="L27" i="16"/>
  <c r="S40" i="1" s="1"/>
  <c r="L31" i="16"/>
  <c r="L39" i="16"/>
  <c r="L43" i="16"/>
  <c r="L47" i="16"/>
  <c r="L51" i="16"/>
  <c r="M23" i="16"/>
  <c r="T42" i="1" s="1"/>
  <c r="M27" i="16"/>
  <c r="M31" i="16"/>
  <c r="T47" i="1" s="1"/>
  <c r="M39" i="16"/>
  <c r="T56" i="1" s="1"/>
  <c r="M43" i="16"/>
  <c r="T57" i="1" s="1"/>
  <c r="M47" i="16"/>
  <c r="T54" i="1" s="1"/>
  <c r="M51" i="16"/>
  <c r="T55" i="1" s="1"/>
  <c r="N23" i="16"/>
  <c r="U42" i="1" s="1"/>
  <c r="N27" i="16"/>
  <c r="U40" i="1" s="1"/>
  <c r="N31" i="16"/>
  <c r="N39" i="16"/>
  <c r="U56" i="1" s="1"/>
  <c r="N43" i="16"/>
  <c r="N47" i="16"/>
  <c r="U54" i="1" s="1"/>
  <c r="N51" i="16"/>
  <c r="U55" i="1" s="1"/>
  <c r="O23" i="16"/>
  <c r="O27" i="16"/>
  <c r="V40" i="1" s="1"/>
  <c r="O31" i="16"/>
  <c r="V47" i="1" s="1"/>
  <c r="O39" i="16"/>
  <c r="O43" i="16"/>
  <c r="V57" i="1" s="1"/>
  <c r="O47" i="16"/>
  <c r="V54" i="1" s="1"/>
  <c r="O51" i="16"/>
  <c r="V55" i="1" s="1"/>
  <c r="K23" i="16"/>
  <c r="R42" i="1" s="1"/>
  <c r="K27" i="16"/>
  <c r="R40" i="1" s="1"/>
  <c r="K31" i="16"/>
  <c r="K39" i="16"/>
  <c r="R56" i="1" s="1"/>
  <c r="K43" i="16"/>
  <c r="K47" i="16"/>
  <c r="R54" i="1" s="1"/>
  <c r="K51" i="16"/>
  <c r="E17" i="1"/>
  <c r="E50" i="1"/>
  <c r="K34" i="16"/>
  <c r="E44" i="17"/>
  <c r="F44" i="17"/>
  <c r="G44" i="17"/>
  <c r="H44" i="17"/>
  <c r="I44" i="17"/>
  <c r="J44" i="17"/>
  <c r="K44" i="17"/>
  <c r="L44" i="17"/>
  <c r="M44" i="17"/>
  <c r="N44" i="17"/>
  <c r="O44" i="17"/>
  <c r="D44" i="17"/>
  <c r="D21" i="16"/>
  <c r="E21" i="16"/>
  <c r="E22" i="16" s="1"/>
  <c r="F21" i="16"/>
  <c r="G21" i="16"/>
  <c r="H21" i="16"/>
  <c r="I21" i="16"/>
  <c r="I22" i="16" s="1"/>
  <c r="J21" i="16"/>
  <c r="K21" i="16"/>
  <c r="L21" i="16"/>
  <c r="M21" i="16"/>
  <c r="N21" i="16"/>
  <c r="O21" i="16"/>
  <c r="E82" i="1"/>
  <c r="E10" i="1"/>
  <c r="E90" i="1"/>
  <c r="D13" i="16"/>
  <c r="D9" i="16"/>
  <c r="E13" i="16"/>
  <c r="E9" i="16"/>
  <c r="F13" i="16"/>
  <c r="F9" i="16"/>
  <c r="G13" i="16"/>
  <c r="G9" i="16"/>
  <c r="H13" i="16"/>
  <c r="H9" i="16"/>
  <c r="I13" i="16"/>
  <c r="I9" i="16"/>
  <c r="J13" i="16"/>
  <c r="Q9" i="1" s="1"/>
  <c r="Q43" i="1"/>
  <c r="Q48" i="1"/>
  <c r="J9" i="16"/>
  <c r="Q81" i="1" s="1"/>
  <c r="Q86" i="1"/>
  <c r="Q87" i="1"/>
  <c r="K13" i="16"/>
  <c r="R9" i="1" s="1"/>
  <c r="R43" i="1"/>
  <c r="R47" i="1"/>
  <c r="R55" i="1"/>
  <c r="R57" i="1"/>
  <c r="R48" i="1"/>
  <c r="K9" i="16"/>
  <c r="R81" i="1" s="1"/>
  <c r="R86" i="1"/>
  <c r="R87" i="1"/>
  <c r="L13" i="16"/>
  <c r="S9" i="1" s="1"/>
  <c r="S43" i="1"/>
  <c r="S47" i="1"/>
  <c r="S54" i="1"/>
  <c r="S55" i="1"/>
  <c r="S56" i="1"/>
  <c r="S57" i="1"/>
  <c r="S48" i="1"/>
  <c r="L9" i="16"/>
  <c r="S81" i="1" s="1"/>
  <c r="S86" i="1"/>
  <c r="S87" i="1"/>
  <c r="M13" i="16"/>
  <c r="T9" i="1" s="1"/>
  <c r="T40" i="1"/>
  <c r="T43" i="1"/>
  <c r="T48" i="1"/>
  <c r="M9" i="16"/>
  <c r="T81" i="1" s="1"/>
  <c r="T85" i="1"/>
  <c r="T86" i="1"/>
  <c r="T87" i="1"/>
  <c r="N13" i="16"/>
  <c r="U9" i="1" s="1"/>
  <c r="U43" i="1"/>
  <c r="U47" i="1"/>
  <c r="U57" i="1"/>
  <c r="U48" i="1"/>
  <c r="N9" i="16"/>
  <c r="U81" i="1" s="1"/>
  <c r="U85" i="1"/>
  <c r="U86" i="1"/>
  <c r="U87" i="1"/>
  <c r="O13" i="16"/>
  <c r="V9" i="1" s="1"/>
  <c r="V43" i="1"/>
  <c r="V56" i="1"/>
  <c r="V48" i="1"/>
  <c r="O9" i="16"/>
  <c r="V81" i="1" s="1"/>
  <c r="V86" i="1"/>
  <c r="V87" i="1"/>
  <c r="F37" i="1"/>
  <c r="F73" i="1"/>
  <c r="F97" i="1"/>
  <c r="D28" i="1"/>
  <c r="D37" i="1"/>
  <c r="D44" i="1"/>
  <c r="D58" i="1"/>
  <c r="D73" i="1"/>
  <c r="D97" i="1"/>
  <c r="J36" i="1"/>
  <c r="J31" i="1"/>
  <c r="E26" i="1"/>
  <c r="E94" i="1"/>
  <c r="J65" i="1"/>
  <c r="J66" i="1"/>
  <c r="J67" i="1"/>
  <c r="J68" i="1"/>
  <c r="J69" i="1"/>
  <c r="J70" i="1"/>
  <c r="J71" i="1"/>
  <c r="J72" i="1"/>
  <c r="J64" i="1"/>
  <c r="J88" i="1"/>
  <c r="E88" i="1"/>
  <c r="J16" i="1"/>
  <c r="E70" i="1"/>
  <c r="E16" i="1"/>
  <c r="J13" i="1"/>
  <c r="J21" i="1"/>
  <c r="J22" i="1"/>
  <c r="J41" i="1"/>
  <c r="E48" i="1"/>
  <c r="E68" i="1"/>
  <c r="E69" i="1"/>
  <c r="E64" i="1"/>
  <c r="E65" i="1"/>
  <c r="E66" i="1"/>
  <c r="E67" i="1"/>
  <c r="E71" i="1"/>
  <c r="E72" i="1"/>
  <c r="E25" i="1"/>
  <c r="E22" i="1"/>
  <c r="E43" i="1"/>
  <c r="E13" i="1"/>
  <c r="E19" i="1"/>
  <c r="E21" i="1"/>
  <c r="E23" i="1"/>
  <c r="E36" i="1"/>
  <c r="E76" i="1"/>
  <c r="E84" i="1"/>
  <c r="E86" i="1"/>
  <c r="E87" i="1"/>
  <c r="E96" i="1"/>
  <c r="E100" i="1"/>
  <c r="E41" i="1"/>
  <c r="E31" i="1"/>
  <c r="N32" i="18"/>
  <c r="N33" i="18"/>
  <c r="N6" i="18"/>
  <c r="N7" i="18"/>
  <c r="O7" i="18" s="1"/>
  <c r="N8" i="18"/>
  <c r="O8" i="18" s="1"/>
  <c r="N9" i="18"/>
  <c r="O9" i="18" s="1"/>
  <c r="N11" i="18"/>
  <c r="O11" i="18" s="1"/>
  <c r="N12" i="18"/>
  <c r="O12" i="18" s="1"/>
  <c r="N5" i="18"/>
  <c r="O5" i="18" s="1"/>
  <c r="N29" i="18"/>
  <c r="N28" i="18"/>
  <c r="O19" i="18"/>
  <c r="N20" i="18"/>
  <c r="O20" i="18" s="1"/>
  <c r="N21" i="18"/>
  <c r="O21" i="18" s="1"/>
  <c r="N23" i="18"/>
  <c r="N24" i="18"/>
  <c r="N17" i="18"/>
  <c r="P7" i="18"/>
  <c r="N30" i="18"/>
  <c r="O30" i="18" s="1"/>
  <c r="N15" i="18"/>
  <c r="O6" i="18"/>
  <c r="E29" i="16"/>
  <c r="E30" i="16" s="1"/>
  <c r="F29" i="16"/>
  <c r="G29" i="16"/>
  <c r="G30" i="16" s="1"/>
  <c r="H29" i="16"/>
  <c r="I29" i="16"/>
  <c r="J29" i="16"/>
  <c r="K29" i="16"/>
  <c r="K30" i="16" s="1"/>
  <c r="L29" i="16"/>
  <c r="L30" i="16" s="1"/>
  <c r="M29" i="16"/>
  <c r="N29" i="16"/>
  <c r="O29" i="16"/>
  <c r="D29" i="16"/>
  <c r="E10" i="16"/>
  <c r="E11" i="16" s="1"/>
  <c r="F10" i="16"/>
  <c r="G10" i="16"/>
  <c r="G11" i="16" s="1"/>
  <c r="H10" i="16"/>
  <c r="I10" i="16"/>
  <c r="I11" i="16" s="1"/>
  <c r="J10" i="16"/>
  <c r="K10" i="16"/>
  <c r="L10" i="16"/>
  <c r="M10" i="16"/>
  <c r="M11" i="16" s="1"/>
  <c r="N10" i="16"/>
  <c r="O10" i="16"/>
  <c r="F11" i="16"/>
  <c r="E14" i="16"/>
  <c r="E16" i="16" s="1"/>
  <c r="F14" i="16"/>
  <c r="G14" i="16"/>
  <c r="G16" i="16" s="1"/>
  <c r="H14" i="16"/>
  <c r="H17" i="16" s="1"/>
  <c r="H18" i="16" s="1"/>
  <c r="I14" i="16"/>
  <c r="J14" i="16"/>
  <c r="K14" i="16"/>
  <c r="K16" i="16" s="1"/>
  <c r="L14" i="16"/>
  <c r="M14" i="16"/>
  <c r="M16" i="16" s="1"/>
  <c r="N14" i="16"/>
  <c r="O14" i="16"/>
  <c r="O16" i="16" s="1"/>
  <c r="D14" i="16"/>
  <c r="D10" i="16"/>
  <c r="D12" i="16" s="1"/>
  <c r="D37" i="16"/>
  <c r="D38" i="16" s="1"/>
  <c r="E37" i="16"/>
  <c r="E38" i="16" s="1"/>
  <c r="F37" i="16"/>
  <c r="G37" i="16"/>
  <c r="G38" i="16" s="1"/>
  <c r="H37" i="16"/>
  <c r="H38" i="16" s="1"/>
  <c r="I37" i="16"/>
  <c r="I38" i="16" s="1"/>
  <c r="J37" i="16"/>
  <c r="K37" i="16"/>
  <c r="K38" i="16" s="1"/>
  <c r="L37" i="16"/>
  <c r="M37" i="16"/>
  <c r="M38" i="16" s="1"/>
  <c r="N37" i="16"/>
  <c r="O37" i="16"/>
  <c r="O38" i="16" s="1"/>
  <c r="D41" i="16"/>
  <c r="E41" i="16"/>
  <c r="E42" i="16" s="1"/>
  <c r="F41" i="16"/>
  <c r="G41" i="16"/>
  <c r="G42" i="16" s="1"/>
  <c r="H41" i="16"/>
  <c r="I41" i="16"/>
  <c r="I42" i="16" s="1"/>
  <c r="J41" i="16"/>
  <c r="K41" i="16"/>
  <c r="K42" i="16" s="1"/>
  <c r="L41" i="16"/>
  <c r="L42" i="16" s="1"/>
  <c r="M41" i="16"/>
  <c r="M42" i="16" s="1"/>
  <c r="N41" i="16"/>
  <c r="O41" i="16"/>
  <c r="O42" i="16" s="1"/>
  <c r="D45" i="16"/>
  <c r="D46" i="16" s="1"/>
  <c r="E45" i="16"/>
  <c r="E46" i="16" s="1"/>
  <c r="F45" i="16"/>
  <c r="G45" i="16"/>
  <c r="G46" i="16" s="1"/>
  <c r="H45" i="16"/>
  <c r="H46" i="16" s="1"/>
  <c r="I45" i="16"/>
  <c r="I46" i="16" s="1"/>
  <c r="J45" i="16"/>
  <c r="K45" i="16"/>
  <c r="K46" i="16" s="1"/>
  <c r="L45" i="16"/>
  <c r="M45" i="16"/>
  <c r="N45" i="16"/>
  <c r="O45" i="16"/>
  <c r="D49" i="16"/>
  <c r="E49" i="16"/>
  <c r="E50" i="16" s="1"/>
  <c r="F49" i="16"/>
  <c r="F50" i="16" s="1"/>
  <c r="G49" i="16"/>
  <c r="G50" i="16" s="1"/>
  <c r="H49" i="16"/>
  <c r="I49" i="16"/>
  <c r="I50" i="16" s="1"/>
  <c r="J49" i="16"/>
  <c r="K49" i="16"/>
  <c r="K50" i="16" s="1"/>
  <c r="L49" i="16"/>
  <c r="L50" i="16" s="1"/>
  <c r="M49" i="16"/>
  <c r="M50" i="16" s="1"/>
  <c r="N49" i="16"/>
  <c r="O49" i="16"/>
  <c r="O50" i="16" s="1"/>
  <c r="D25" i="16"/>
  <c r="E25" i="16"/>
  <c r="F25" i="16"/>
  <c r="F26" i="16" s="1"/>
  <c r="G25" i="16"/>
  <c r="H25" i="16"/>
  <c r="H26" i="16" s="1"/>
  <c r="I25" i="16"/>
  <c r="J25" i="16"/>
  <c r="K25" i="16"/>
  <c r="L25" i="16"/>
  <c r="M25" i="16"/>
  <c r="M26" i="16" s="1"/>
  <c r="N25" i="16"/>
  <c r="O25" i="16"/>
  <c r="O26" i="16" s="1"/>
  <c r="N50" i="16"/>
  <c r="N42" i="16"/>
  <c r="F38" i="16"/>
  <c r="J38" i="16"/>
  <c r="I30" i="16"/>
  <c r="N30" i="16"/>
  <c r="G22" i="16"/>
  <c r="K22" i="16"/>
  <c r="J26" i="16"/>
  <c r="D26" i="16"/>
  <c r="C14" i="16"/>
  <c r="I15" i="16"/>
  <c r="C9" i="17"/>
  <c r="C44" i="17"/>
  <c r="J10" i="1"/>
  <c r="O15" i="16" l="1"/>
  <c r="L16" i="16"/>
  <c r="L11" i="16"/>
  <c r="J11" i="16"/>
  <c r="H11" i="16"/>
  <c r="F42" i="16"/>
  <c r="G19" i="16"/>
  <c r="J46" i="16"/>
  <c r="C37" i="16"/>
  <c r="P37" i="16" s="1"/>
  <c r="D16" i="16"/>
  <c r="N17" i="16"/>
  <c r="N18" i="16" s="1"/>
  <c r="F17" i="16"/>
  <c r="F18" i="16" s="1"/>
  <c r="O34" i="16"/>
  <c r="E15" i="16"/>
  <c r="E19" i="16"/>
  <c r="J17" i="16"/>
  <c r="J18" i="16" s="1"/>
  <c r="L12" i="16"/>
  <c r="L53" i="16"/>
  <c r="D15" i="16"/>
  <c r="L17" i="16"/>
  <c r="L18" i="16" s="1"/>
  <c r="C45" i="16"/>
  <c r="P45" i="16" s="1"/>
  <c r="C49" i="16"/>
  <c r="P49" i="16" s="1"/>
  <c r="F53" i="16"/>
  <c r="C15" i="17"/>
  <c r="D78" i="1"/>
  <c r="J48" i="1"/>
  <c r="O37" i="17"/>
  <c r="M37" i="17"/>
  <c r="K37" i="17"/>
  <c r="I37" i="17"/>
  <c r="G37" i="17"/>
  <c r="E37" i="17"/>
  <c r="D37" i="17"/>
  <c r="N37" i="17"/>
  <c r="L37" i="17"/>
  <c r="J37" i="17"/>
  <c r="H37" i="17"/>
  <c r="F37" i="17"/>
  <c r="C10" i="16"/>
  <c r="O17" i="16"/>
  <c r="O18" i="16" s="1"/>
  <c r="K17" i="16"/>
  <c r="K18" i="16" s="1"/>
  <c r="I17" i="16"/>
  <c r="I18" i="16" s="1"/>
  <c r="J43" i="1"/>
  <c r="J86" i="1"/>
  <c r="I12" i="16"/>
  <c r="G15" i="16"/>
  <c r="E17" i="16"/>
  <c r="E18" i="16" s="1"/>
  <c r="G17" i="16"/>
  <c r="G18" i="16" s="1"/>
  <c r="M17" i="16"/>
  <c r="M18" i="16" s="1"/>
  <c r="I19" i="16"/>
  <c r="G12" i="16"/>
  <c r="L19" i="16"/>
  <c r="D17" i="16"/>
  <c r="D18" i="16" s="1"/>
  <c r="L15" i="16"/>
  <c r="J12" i="16"/>
  <c r="M34" i="16"/>
  <c r="C39" i="16"/>
  <c r="E56" i="1" s="1"/>
  <c r="C27" i="16"/>
  <c r="E40" i="1" s="1"/>
  <c r="C13" i="16"/>
  <c r="E9" i="1" s="1"/>
  <c r="F46" i="16"/>
  <c r="O46" i="16"/>
  <c r="M46" i="16"/>
  <c r="C47" i="16"/>
  <c r="E54" i="1" s="1"/>
  <c r="D34" i="16"/>
  <c r="N34" i="16"/>
  <c r="L34" i="16"/>
  <c r="H34" i="16"/>
  <c r="M22" i="16"/>
  <c r="F34" i="16"/>
  <c r="T44" i="1"/>
  <c r="L12" i="19" s="1"/>
  <c r="O22" i="16"/>
  <c r="N26" i="16"/>
  <c r="E53" i="16"/>
  <c r="C23" i="16"/>
  <c r="E42" i="1" s="1"/>
  <c r="V42" i="1"/>
  <c r="V44" i="1" s="1"/>
  <c r="D30" i="16"/>
  <c r="J30" i="16"/>
  <c r="H30" i="16"/>
  <c r="F30" i="16"/>
  <c r="N38" i="16"/>
  <c r="J42" i="16"/>
  <c r="N46" i="16"/>
  <c r="J50" i="16"/>
  <c r="H50" i="16"/>
  <c r="D50" i="16"/>
  <c r="L46" i="16"/>
  <c r="H42" i="16"/>
  <c r="D42" i="16"/>
  <c r="L38" i="16"/>
  <c r="C43" i="16"/>
  <c r="E57" i="1" s="1"/>
  <c r="C51" i="16"/>
  <c r="E55" i="1" s="1"/>
  <c r="J22" i="16"/>
  <c r="H22" i="16"/>
  <c r="F22" i="16"/>
  <c r="D22" i="16"/>
  <c r="J53" i="16"/>
  <c r="I53" i="16"/>
  <c r="N53" i="16"/>
  <c r="L26" i="16"/>
  <c r="K26" i="16"/>
  <c r="G26" i="16"/>
  <c r="E26" i="16"/>
  <c r="D12" i="19"/>
  <c r="U58" i="1"/>
  <c r="M14" i="19" s="1"/>
  <c r="R58" i="1"/>
  <c r="J14" i="19" s="1"/>
  <c r="Q58" i="1"/>
  <c r="I14" i="19" s="1"/>
  <c r="S58" i="1"/>
  <c r="K14" i="19" s="1"/>
  <c r="H14" i="19"/>
  <c r="F14" i="19"/>
  <c r="E14" i="19"/>
  <c r="O53" i="16"/>
  <c r="G53" i="16"/>
  <c r="K53" i="16"/>
  <c r="I34" i="16"/>
  <c r="G34" i="16"/>
  <c r="E34" i="16"/>
  <c r="C35" i="16"/>
  <c r="E49" i="1" s="1"/>
  <c r="N22" i="16"/>
  <c r="L22" i="16"/>
  <c r="J34" i="16"/>
  <c r="L16" i="17"/>
  <c r="S85" i="1" s="1"/>
  <c r="S91" i="1" s="1"/>
  <c r="K16" i="19" s="1"/>
  <c r="J16" i="17"/>
  <c r="Q85" i="1" s="1"/>
  <c r="H16" i="17"/>
  <c r="G16" i="19" s="1"/>
  <c r="C25" i="16"/>
  <c r="P25" i="16" s="1"/>
  <c r="J57" i="1"/>
  <c r="K15" i="16"/>
  <c r="M15" i="16"/>
  <c r="H16" i="16"/>
  <c r="F16" i="16"/>
  <c r="N19" i="16"/>
  <c r="J19" i="16"/>
  <c r="H19" i="16"/>
  <c r="F19" i="16"/>
  <c r="N12" i="16"/>
  <c r="H12" i="16"/>
  <c r="F12" i="16"/>
  <c r="N25" i="18"/>
  <c r="N13" i="18"/>
  <c r="O13" i="18" s="1"/>
  <c r="C21" i="16"/>
  <c r="C41" i="16"/>
  <c r="C29" i="16"/>
  <c r="P29" i="16" s="1"/>
  <c r="E73" i="1"/>
  <c r="F15" i="16"/>
  <c r="H15" i="16"/>
  <c r="D11" i="16"/>
  <c r="N15" i="16"/>
  <c r="J15" i="16"/>
  <c r="N16" i="16"/>
  <c r="J16" i="16"/>
  <c r="D19" i="16"/>
  <c r="O19" i="16"/>
  <c r="M19" i="16"/>
  <c r="K19" i="16"/>
  <c r="O12" i="16"/>
  <c r="N11" i="16"/>
  <c r="O11" i="16"/>
  <c r="K11" i="16"/>
  <c r="N34" i="18"/>
  <c r="C6" i="17"/>
  <c r="C14" i="19"/>
  <c r="J42" i="1"/>
  <c r="J55" i="1"/>
  <c r="D14" i="19"/>
  <c r="H53" i="16"/>
  <c r="D103" i="1"/>
  <c r="E97" i="1"/>
  <c r="E37" i="1"/>
  <c r="R44" i="1"/>
  <c r="J87" i="1"/>
  <c r="J84" i="1"/>
  <c r="J23" i="1"/>
  <c r="J56" i="1"/>
  <c r="J54" i="1"/>
  <c r="J40" i="1"/>
  <c r="J73" i="1"/>
  <c r="S44" i="1"/>
  <c r="H16" i="19"/>
  <c r="F16" i="19"/>
  <c r="J47" i="1"/>
  <c r="D53" i="16"/>
  <c r="M53" i="16"/>
  <c r="O30" i="16"/>
  <c r="M30" i="16"/>
  <c r="C31" i="16"/>
  <c r="E47" i="1" s="1"/>
  <c r="C12" i="19"/>
  <c r="M48" i="17"/>
  <c r="V91" i="1"/>
  <c r="N16" i="19" s="1"/>
  <c r="I48" i="17"/>
  <c r="Q44" i="1"/>
  <c r="O48" i="17"/>
  <c r="K48" i="17"/>
  <c r="G48" i="17"/>
  <c r="D48" i="17"/>
  <c r="V58" i="1"/>
  <c r="N14" i="19" s="1"/>
  <c r="C16" i="19"/>
  <c r="C36" i="17"/>
  <c r="J49" i="1"/>
  <c r="B20" i="19"/>
  <c r="U44" i="1"/>
  <c r="T91" i="1"/>
  <c r="L16" i="19" s="1"/>
  <c r="R91" i="1"/>
  <c r="J16" i="19" s="1"/>
  <c r="E16" i="19"/>
  <c r="N48" i="17"/>
  <c r="L48" i="17"/>
  <c r="J48" i="17"/>
  <c r="H48" i="17"/>
  <c r="F48" i="17"/>
  <c r="C33" i="16"/>
  <c r="C17" i="16"/>
  <c r="C18" i="16" s="1"/>
  <c r="C16" i="16"/>
  <c r="M12" i="16"/>
  <c r="K12" i="16"/>
  <c r="E12" i="16"/>
  <c r="C9" i="16"/>
  <c r="U91" i="1"/>
  <c r="M16" i="19" s="1"/>
  <c r="J81" i="1"/>
  <c r="C56" i="17"/>
  <c r="J18" i="1"/>
  <c r="J9" i="1"/>
  <c r="C19" i="16" l="1"/>
  <c r="C15" i="16"/>
  <c r="C42" i="16"/>
  <c r="C46" i="16"/>
  <c r="C38" i="16"/>
  <c r="E34" i="17"/>
  <c r="F34" i="17" s="1"/>
  <c r="G34" i="17" s="1"/>
  <c r="H34" i="17" s="1"/>
  <c r="I34" i="17" s="1"/>
  <c r="J34" i="17" s="1"/>
  <c r="K34" i="17" s="1"/>
  <c r="L34" i="17" s="1"/>
  <c r="M34" i="17" s="1"/>
  <c r="N34" i="17" s="1"/>
  <c r="O34" i="17" s="1"/>
  <c r="C26" i="16"/>
  <c r="F44" i="1"/>
  <c r="E44" i="1" s="1"/>
  <c r="C50" i="16"/>
  <c r="I12" i="19"/>
  <c r="K12" i="19"/>
  <c r="M12" i="19"/>
  <c r="G12" i="19"/>
  <c r="J12" i="19"/>
  <c r="H12" i="19"/>
  <c r="F12" i="19"/>
  <c r="N12" i="19"/>
  <c r="E12" i="19"/>
  <c r="J85" i="1"/>
  <c r="Q91" i="1"/>
  <c r="I16" i="19" s="1"/>
  <c r="C16" i="17"/>
  <c r="E85" i="1" s="1"/>
  <c r="P41" i="16"/>
  <c r="Q37" i="16" s="1"/>
  <c r="N36" i="18"/>
  <c r="C37" i="17"/>
  <c r="C30" i="16"/>
  <c r="C22" i="16"/>
  <c r="P21" i="16"/>
  <c r="Q21" i="16" s="1"/>
  <c r="P33" i="16"/>
  <c r="D105" i="1"/>
  <c r="J44" i="1"/>
  <c r="J53" i="1"/>
  <c r="C53" i="16"/>
  <c r="C55" i="16" s="1"/>
  <c r="A13" i="1"/>
  <c r="A14" i="1" s="1"/>
  <c r="A15" i="1" s="1"/>
  <c r="A16" i="1" s="1"/>
  <c r="F58" i="1"/>
  <c r="E58" i="1" s="1"/>
  <c r="C48" i="17"/>
  <c r="E18" i="1"/>
  <c r="C34" i="16"/>
  <c r="C11" i="16"/>
  <c r="C12" i="16"/>
  <c r="C58" i="17"/>
  <c r="D16" i="19"/>
  <c r="O39" i="17" l="1"/>
  <c r="M39" i="17"/>
  <c r="K39" i="17"/>
  <c r="I39" i="17"/>
  <c r="G39" i="17"/>
  <c r="E39" i="17"/>
  <c r="D39" i="17"/>
  <c r="N39" i="17"/>
  <c r="L39" i="17"/>
  <c r="J39" i="17"/>
  <c r="H39" i="17"/>
  <c r="F39" i="17"/>
  <c r="B12" i="19"/>
  <c r="B16" i="19"/>
  <c r="J91" i="1"/>
  <c r="A17" i="1"/>
  <c r="A18" i="1" s="1"/>
  <c r="A19" i="1" s="1"/>
  <c r="F49" i="17"/>
  <c r="H49" i="17"/>
  <c r="J49" i="17"/>
  <c r="L49" i="17"/>
  <c r="N49" i="17"/>
  <c r="D49" i="17"/>
  <c r="E49" i="17"/>
  <c r="G49" i="17"/>
  <c r="I49" i="17"/>
  <c r="K49" i="17"/>
  <c r="M49" i="17"/>
  <c r="O49" i="17"/>
  <c r="F45" i="17"/>
  <c r="H45" i="17"/>
  <c r="J45" i="17"/>
  <c r="L45" i="17"/>
  <c r="N45" i="17"/>
  <c r="D45" i="17"/>
  <c r="E45" i="17"/>
  <c r="G45" i="17"/>
  <c r="I45" i="17"/>
  <c r="K45" i="17"/>
  <c r="M45" i="17"/>
  <c r="O45" i="17"/>
  <c r="E81" i="1"/>
  <c r="F91" i="1"/>
  <c r="F103" i="1" s="1"/>
  <c r="E46" i="17"/>
  <c r="G46" i="17"/>
  <c r="I46" i="17"/>
  <c r="K46" i="17"/>
  <c r="M46" i="17"/>
  <c r="O46" i="17"/>
  <c r="F46" i="17"/>
  <c r="H46" i="17"/>
  <c r="J46" i="17"/>
  <c r="L46" i="17"/>
  <c r="N46" i="17"/>
  <c r="D46" i="17"/>
  <c r="A20" i="1" l="1"/>
  <c r="A21" i="1" s="1"/>
  <c r="A22" i="1" s="1"/>
  <c r="A23" i="1" s="1"/>
  <c r="A24" i="1" s="1"/>
  <c r="A25" i="1" s="1"/>
  <c r="A26" i="1" s="1"/>
  <c r="C46" i="17"/>
  <c r="E103" i="1"/>
  <c r="E91" i="1"/>
  <c r="L41" i="17"/>
  <c r="L50" i="17"/>
  <c r="H41" i="17"/>
  <c r="H50" i="17"/>
  <c r="D50" i="17"/>
  <c r="M41" i="17"/>
  <c r="M50" i="17"/>
  <c r="I41" i="17"/>
  <c r="I50" i="17"/>
  <c r="E41" i="17"/>
  <c r="E50" i="17"/>
  <c r="N41" i="17"/>
  <c r="N50" i="17"/>
  <c r="J41" i="17"/>
  <c r="J50" i="17"/>
  <c r="F41" i="17"/>
  <c r="F50" i="17"/>
  <c r="O41" i="17"/>
  <c r="O50" i="17"/>
  <c r="K41" i="17"/>
  <c r="K50" i="17"/>
  <c r="G41" i="17"/>
  <c r="G50" i="17"/>
  <c r="H53" i="17" l="1"/>
  <c r="L53" i="17"/>
  <c r="S15" i="1" s="1"/>
  <c r="G53" i="17"/>
  <c r="N111" i="1" s="1"/>
  <c r="N113" i="1" s="1"/>
  <c r="K53" i="17"/>
  <c r="R15" i="1" s="1"/>
  <c r="O53" i="17"/>
  <c r="V15" i="1" s="1"/>
  <c r="F53" i="17"/>
  <c r="M111" i="1" s="1"/>
  <c r="M113" i="1" s="1"/>
  <c r="J53" i="17"/>
  <c r="Q15" i="1" s="1"/>
  <c r="N53" i="17"/>
  <c r="U15" i="1" s="1"/>
  <c r="E53" i="17"/>
  <c r="L111" i="1" s="1"/>
  <c r="L113" i="1" s="1"/>
  <c r="I53" i="17"/>
  <c r="P111" i="1" s="1"/>
  <c r="P113" i="1" s="1"/>
  <c r="M53" i="17"/>
  <c r="T15" i="1" s="1"/>
  <c r="K42" i="17"/>
  <c r="F42" i="17"/>
  <c r="J42" i="17"/>
  <c r="N42" i="17"/>
  <c r="E42" i="17"/>
  <c r="I42" i="17"/>
  <c r="M42" i="17"/>
  <c r="H42" i="17"/>
  <c r="L42" i="17"/>
  <c r="C50" i="17"/>
  <c r="C51" i="17" s="1"/>
  <c r="G42" i="17"/>
  <c r="O42" i="17"/>
  <c r="C39" i="17"/>
  <c r="D41" i="17"/>
  <c r="D53" i="17" s="1"/>
  <c r="A27" i="1" l="1"/>
  <c r="G10" i="19"/>
  <c r="H10" i="19"/>
  <c r="H18" i="19" s="1"/>
  <c r="H26" i="19" s="1"/>
  <c r="H28" i="19" s="1"/>
  <c r="E10" i="19"/>
  <c r="E18" i="19" s="1"/>
  <c r="E26" i="19" s="1"/>
  <c r="E28" i="19" s="1"/>
  <c r="D42" i="17"/>
  <c r="C41" i="17"/>
  <c r="C42" i="17" s="1"/>
  <c r="F10" i="19"/>
  <c r="F18" i="19" s="1"/>
  <c r="F26" i="19" s="1"/>
  <c r="F28" i="19" s="1"/>
  <c r="D10" i="19"/>
  <c r="D18" i="19" s="1"/>
  <c r="D26" i="19" s="1"/>
  <c r="D28" i="19" s="1"/>
  <c r="A28" i="1" l="1"/>
  <c r="A31" i="1" s="1"/>
  <c r="A32" i="1" s="1"/>
  <c r="A33" i="1" s="1"/>
  <c r="C53" i="17"/>
  <c r="A34" i="1" l="1"/>
  <c r="A35" i="1" s="1"/>
  <c r="A36" i="1" s="1"/>
  <c r="A37" i="1" s="1"/>
  <c r="A40" i="1" s="1"/>
  <c r="A41" i="1" s="1"/>
  <c r="A42" i="1" s="1"/>
  <c r="A43" i="1" s="1"/>
  <c r="A44" i="1" s="1"/>
  <c r="A47" i="1" s="1"/>
  <c r="A48" i="1" s="1"/>
  <c r="A49" i="1" s="1"/>
  <c r="A50" i="1" s="1"/>
  <c r="A51" i="1" s="1"/>
  <c r="A52" i="1" s="1"/>
  <c r="A53" i="1" s="1"/>
  <c r="A54" i="1" s="1"/>
  <c r="A55" i="1"/>
  <c r="A56" i="1" s="1"/>
  <c r="A57" i="1" s="1"/>
  <c r="A58" i="1" s="1"/>
  <c r="A64" i="1" s="1"/>
  <c r="J15" i="1"/>
  <c r="C54" i="17"/>
  <c r="A65" i="1" l="1"/>
  <c r="A66" i="1" s="1"/>
  <c r="A67" i="1" s="1"/>
  <c r="A68" i="1" s="1"/>
  <c r="A69" i="1" s="1"/>
  <c r="A70" i="1" s="1"/>
  <c r="A71" i="1" s="1"/>
  <c r="A72" i="1" s="1"/>
  <c r="A73" i="1" s="1"/>
  <c r="A76" i="1" s="1"/>
  <c r="E15" i="1"/>
  <c r="K111" i="1"/>
  <c r="K113" i="1" s="1"/>
  <c r="C10" i="19"/>
  <c r="C18" i="19" s="1"/>
  <c r="C26" i="19" s="1"/>
  <c r="C28" i="19" s="1"/>
  <c r="A78" i="1" l="1"/>
  <c r="A81" i="1" s="1"/>
  <c r="A82" i="1" s="1"/>
  <c r="A83" i="1" s="1"/>
  <c r="A84" i="1" s="1"/>
  <c r="A85" i="1" s="1"/>
  <c r="A86" i="1" s="1"/>
  <c r="A87" i="1" s="1"/>
  <c r="A88" i="1" l="1"/>
  <c r="A89" i="1" l="1"/>
  <c r="A90" i="1" s="1"/>
  <c r="A91" i="1" s="1"/>
  <c r="A94" i="1" s="1"/>
  <c r="A95" i="1" s="1"/>
  <c r="A96" i="1" s="1"/>
  <c r="A97" i="1" s="1"/>
  <c r="A100" i="1" s="1"/>
  <c r="A103" i="1" s="1"/>
  <c r="A105" i="1" s="1"/>
  <c r="O111" i="1"/>
  <c r="O113" i="1" s="1"/>
  <c r="J52" i="1"/>
  <c r="J58" i="1" s="1"/>
  <c r="G14" i="19" l="1"/>
  <c r="G18" i="19" s="1"/>
  <c r="G26" i="19" s="1"/>
  <c r="G28" i="19" s="1"/>
  <c r="T58" i="1"/>
  <c r="L14" i="19" l="1"/>
  <c r="B14" i="19" l="1"/>
  <c r="E20" i="1"/>
  <c r="T20" i="1"/>
  <c r="T28" i="1" s="1"/>
  <c r="R20" i="1"/>
  <c r="R28" i="1" s="1"/>
  <c r="U20" i="1"/>
  <c r="U28" i="1"/>
  <c r="U111" i="1" s="1"/>
  <c r="U113" i="1" s="1"/>
  <c r="S20" i="1"/>
  <c r="S28" i="1"/>
  <c r="S111" i="1" s="1"/>
  <c r="S113" i="1" s="1"/>
  <c r="V20" i="1"/>
  <c r="V28" i="1"/>
  <c r="V111" i="1" s="1"/>
  <c r="V113" i="1" s="1"/>
  <c r="F28" i="1"/>
  <c r="E28" i="1" s="1"/>
  <c r="Q28" i="1"/>
  <c r="Q20" i="1"/>
  <c r="J20" i="1"/>
  <c r="T111" i="1" l="1"/>
  <c r="T113" i="1" s="1"/>
  <c r="L10" i="19"/>
  <c r="L18" i="19" s="1"/>
  <c r="L26" i="19" s="1"/>
  <c r="L28" i="19" s="1"/>
  <c r="J28" i="1"/>
  <c r="R111" i="1"/>
  <c r="R113" i="1" s="1"/>
  <c r="J10" i="19"/>
  <c r="J18" i="19" s="1"/>
  <c r="J26" i="19" s="1"/>
  <c r="J28" i="19" s="1"/>
  <c r="M10" i="19"/>
  <c r="M18" i="19" s="1"/>
  <c r="M26" i="19" s="1"/>
  <c r="M28" i="19" s="1"/>
  <c r="Q111" i="1"/>
  <c r="K10" i="19"/>
  <c r="K18" i="19" s="1"/>
  <c r="K26" i="19" s="1"/>
  <c r="K28" i="19" s="1"/>
  <c r="I10" i="19"/>
  <c r="F78" i="1"/>
  <c r="N10" i="19"/>
  <c r="N18" i="19" s="1"/>
  <c r="N26" i="19" s="1"/>
  <c r="N28" i="19" s="1"/>
  <c r="B10" i="19" l="1"/>
  <c r="I18" i="19"/>
  <c r="I26" i="19" s="1"/>
  <c r="I28" i="19" s="1"/>
  <c r="B28" i="19" s="1"/>
  <c r="Q113" i="1"/>
  <c r="J113" i="1" s="1"/>
  <c r="J111" i="1"/>
  <c r="E78" i="1"/>
  <c r="F105" i="1"/>
  <c r="B18" i="19" l="1"/>
  <c r="B26" i="19" s="1"/>
  <c r="F111" i="1"/>
  <c r="E107" i="1"/>
  <c r="E105" i="1"/>
</calcChain>
</file>

<file path=xl/comments1.xml><?xml version="1.0" encoding="utf-8"?>
<comments xmlns="http://schemas.openxmlformats.org/spreadsheetml/2006/main">
  <authors>
    <author>gzhkw6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LMA: Per November Update Transmission Revenues. See Attachment E.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LMA:
Wheeling Revenue PF Transmission (Exh. No. BAC-2, page 2.)</t>
        </r>
      </text>
    </comment>
  </commentList>
</comments>
</file>

<file path=xl/sharedStrings.xml><?xml version="1.0" encoding="utf-8"?>
<sst xmlns="http://schemas.openxmlformats.org/spreadsheetml/2006/main" count="387" uniqueCount="292">
  <si>
    <t>Line</t>
  </si>
  <si>
    <t>No.</t>
  </si>
  <si>
    <t>Actuals</t>
  </si>
  <si>
    <t>Adjustment</t>
  </si>
  <si>
    <t>555 PURCHASED POWER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</si>
  <si>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</si>
  <si>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</si>
  <si>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</si>
  <si>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</si>
  <si>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</si>
  <si>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</si>
  <si>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</si>
  <si>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</si>
  <si>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</si>
  <si>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</si>
  <si>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</si>
  <si>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</si>
  <si>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</si>
  <si>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</si>
  <si>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</si>
  <si>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</si>
  <si>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</si>
  <si>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</si>
  <si>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</si>
  <si>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</si>
  <si>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</si>
  <si>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557 OTHER EXPENSES</t>
  </si>
  <si>
    <t>453 SALES OF WATER AND WATER POWER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</si>
  <si>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</si>
  <si>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</si>
  <si>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</si>
  <si>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</si>
  <si>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</si>
  <si>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</si>
  <si>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</si>
  <si>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</si>
  <si>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</si>
  <si>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</si>
  <si>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</si>
  <si>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</si>
  <si>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</si>
  <si>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</si>
  <si>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</si>
  <si>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</si>
  <si>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</si>
  <si>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Kettle Falls - Wood Fuel</t>
  </si>
  <si>
    <t>Colstrip - Coal</t>
  </si>
  <si>
    <t>501 THERMAL FUEL EXPENSE</t>
  </si>
  <si>
    <t>547 OTHER FUEL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</si>
  <si>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</si>
  <si>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</si>
  <si>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</si>
  <si>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</si>
  <si>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</si>
  <si>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</si>
  <si>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</si>
  <si>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</si>
  <si>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</si>
  <si>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</si>
  <si>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</si>
  <si>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</si>
  <si>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</si>
  <si>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</si>
  <si>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</si>
  <si>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</si>
  <si>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</si>
  <si>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</si>
  <si>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</si>
  <si>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</si>
  <si>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</si>
  <si>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</si>
  <si>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</si>
  <si>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</si>
  <si>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</si>
  <si>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</si>
  <si>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</si>
  <si>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</si>
  <si>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</si>
  <si>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</si>
  <si>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</si>
  <si>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</si>
  <si>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</si>
  <si>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</si>
  <si>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</si>
  <si>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</si>
  <si>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</si>
  <si>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</si>
  <si>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</si>
  <si>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</si>
  <si>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</si>
  <si>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</si>
  <si>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</si>
  <si>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</si>
  <si>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</si>
  <si>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</si>
  <si>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</si>
  <si>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</si>
  <si>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</si>
  <si>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</si>
  <si>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</si>
  <si>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</si>
  <si>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</si>
  <si>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</si>
  <si>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</si>
  <si>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</si>
  <si>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</si>
  <si>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</si>
  <si>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</si>
  <si>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</si>
  <si>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</si>
  <si>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</si>
  <si>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</si>
  <si>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</si>
  <si>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</si>
  <si>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</si>
  <si>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normal $0</t>
  </si>
  <si>
    <t>Comment</t>
  </si>
  <si>
    <t>Market Purchases and Sales, Plant Generation and Fuel Cost Summary</t>
  </si>
  <si>
    <t>Sovereign/Kaiser DES</t>
  </si>
  <si>
    <t>Douglas Settlement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</si>
  <si>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</si>
  <si>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</si>
  <si>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</si>
  <si>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</si>
  <si>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</si>
  <si>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</si>
  <si>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</si>
  <si>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Small Power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</si>
  <si>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</si>
  <si>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</si>
  <si>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</si>
  <si>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</si>
  <si>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</si>
  <si>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</si>
  <si>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</si>
  <si>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</si>
  <si>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</si>
  <si>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</si>
  <si>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</si>
  <si>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</si>
  <si>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</si>
  <si>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</si>
  <si>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</si>
  <si>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</si>
  <si>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</si>
  <si>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</si>
  <si>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</si>
  <si>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</si>
  <si>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</si>
  <si>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Surplus Conversion Cost per MWh</t>
  </si>
  <si>
    <t>Total Priest Rapids Product Cost</t>
  </si>
  <si>
    <t>Total Priest Rapids Product Cost per MWh</t>
  </si>
  <si>
    <t>Modeled Short-Term Market Sales</t>
  </si>
  <si>
    <t>Pro forma</t>
  </si>
  <si>
    <t>Natural Gas Fuel Purchases</t>
  </si>
  <si>
    <t>Avista Corp</t>
  </si>
  <si>
    <t>new rate</t>
  </si>
  <si>
    <t>check energy</t>
  </si>
  <si>
    <t>modeled MWh x Actual</t>
  </si>
  <si>
    <t xml:space="preserve">  Surplus</t>
  </si>
  <si>
    <t>Priest Rapids, MWh</t>
  </si>
  <si>
    <t>Wanpum, MWh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</si>
  <si>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</si>
  <si>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</si>
  <si>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</si>
  <si>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</si>
  <si>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</si>
  <si>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</si>
  <si>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</si>
  <si>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</si>
  <si>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</si>
  <si>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</si>
  <si>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</si>
  <si>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</si>
  <si>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</si>
  <si>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Wells - Avista Share</t>
  </si>
  <si>
    <t>Wells - Colville Tribe's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</si>
  <si>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</si>
  <si>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</si>
  <si>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</si>
  <si>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</si>
  <si>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</si>
  <si>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/MWh</t>
  </si>
  <si>
    <t>Actual Financial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</si>
  <si>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</si>
  <si>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</si>
  <si>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</si>
  <si>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</si>
  <si>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</si>
  <si>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</si>
  <si>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</si>
  <si>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</si>
  <si>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</si>
  <si>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</si>
  <si>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</si>
  <si>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</si>
  <si>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</si>
  <si>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</si>
  <si>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</si>
  <si>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</si>
  <si>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</si>
  <si>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</si>
  <si>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BPA PTP for Colstrip, Coyote &amp; Lancaster</t>
  </si>
  <si>
    <t>Northwestern for Colstrip</t>
  </si>
  <si>
    <t>Palouse Wind</t>
  </si>
  <si>
    <t>Spokane Waste-to-Energy</t>
  </si>
  <si>
    <t>Non-WA EIA REC Sales</t>
  </si>
  <si>
    <t>WA EIA REC Purchase - 100% WA Allocation</t>
  </si>
  <si>
    <t>Gas Transpot Optimization</t>
  </si>
  <si>
    <t>Pro Forma</t>
  </si>
  <si>
    <t>****LOAD NEW PRICES*****</t>
  </si>
  <si>
    <t>Modeled HLH Electric Price</t>
  </si>
  <si>
    <t>Modeled LLH Electric Price</t>
  </si>
  <si>
    <t>Predicted Auction Price</t>
  </si>
  <si>
    <t>ERM Authorized Washington Retail Sales (2)</t>
  </si>
  <si>
    <t>Modeled ST Market Purchases</t>
  </si>
  <si>
    <t>Actual ST Market Purchases</t>
  </si>
  <si>
    <t>Actual ST Purchases - Financial M-to-M</t>
  </si>
  <si>
    <t>Transmission Revenue</t>
  </si>
  <si>
    <t>Total Retail Sales, MWh (2)</t>
  </si>
  <si>
    <t>Intracompany Generation</t>
  </si>
  <si>
    <t>Short-term Transmission Purchases</t>
  </si>
  <si>
    <t>WA EIA REC Sales</t>
  </si>
  <si>
    <t>Pullman Battery</t>
  </si>
  <si>
    <t>Modeled Flat Electric Price</t>
  </si>
  <si>
    <t>Rate (Mid C plus $3/MWh)</t>
  </si>
  <si>
    <t>Energy America</t>
  </si>
  <si>
    <t>ERM Accounts</t>
  </si>
  <si>
    <t>All Accounts</t>
  </si>
  <si>
    <t>Oct 14 - Sep 15</t>
  </si>
  <si>
    <t>SMUD/Energy America</t>
  </si>
  <si>
    <t>Rathdrum Solar, Buck-a-Block</t>
  </si>
  <si>
    <t>REC Expenses (offset to REC Revenue)</t>
  </si>
  <si>
    <t>COB Optimization</t>
  </si>
  <si>
    <t>Spokane Energy Capacity Payment Adjustment</t>
  </si>
  <si>
    <t>Test Year Load, Nov 1 Update</t>
  </si>
  <si>
    <t>System Numbers - Oct 2014 - Sep 2015 Actual and Jul 2017 - Jun 2018 Pro Forma</t>
  </si>
  <si>
    <t>Jul 17 - Jun 18</t>
  </si>
  <si>
    <t>WA Share of System Costs</t>
  </si>
  <si>
    <t>(2) Twelve months ended September 2015 normalized monthly WA Retail Sales.</t>
  </si>
  <si>
    <t>Pro forma July 2017 - June 2018</t>
  </si>
  <si>
    <t>October 2014 - September 2015 Historic Normalized Loads</t>
  </si>
  <si>
    <t>Retail Revenue Adjustment Rate</t>
  </si>
  <si>
    <t>Avista Corporation</t>
  </si>
  <si>
    <t>WA Power Supply Pro Forma Net Cost</t>
  </si>
  <si>
    <t>Nov Update</t>
  </si>
  <si>
    <r>
      <t xml:space="preserve">Rate Case Power Supply Adjustment Pro Forma - </t>
    </r>
    <r>
      <rPr>
        <b/>
        <u/>
        <sz val="10"/>
        <rFont val="Arial"/>
        <family val="2"/>
      </rPr>
      <t>09.2015 Historical Loads</t>
    </r>
  </si>
  <si>
    <t>Rate Case Power Supply Adjustment Pro Forma - 09.2015 Historical Loads</t>
  </si>
  <si>
    <t>NET</t>
  </si>
  <si>
    <t>November 2016 PF Update</t>
  </si>
  <si>
    <t>Per Avista Rebuttal</t>
  </si>
  <si>
    <t>CHANGE</t>
  </si>
  <si>
    <t>2018 PF  (12ME 6/2018)</t>
  </si>
  <si>
    <t xml:space="preserve">2018 PF </t>
  </si>
  <si>
    <t>Power</t>
  </si>
  <si>
    <t>Supply</t>
  </si>
  <si>
    <t>Washington</t>
  </si>
  <si>
    <t>System</t>
  </si>
  <si>
    <t>Amounts</t>
  </si>
  <si>
    <t>P/T Allocation Percentages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</si>
  <si>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</si>
  <si>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</si>
  <si>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</si>
  <si>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</si>
  <si>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</si>
  <si>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</si>
  <si>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</si>
  <si>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</si>
  <si>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</si>
  <si>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</si>
  <si>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</si>
  <si>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</si>
  <si>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</si>
  <si>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</si>
  <si>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</si>
  <si>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</si>
  <si>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</si>
  <si>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</si>
  <si>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</si>
  <si>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</si>
  <si>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</si>
  <si>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</si>
  <si>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</si>
  <si>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</si>
  <si>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>Net Revenue Requirement Impact</t>
  </si>
  <si>
    <t>CF</t>
  </si>
  <si>
    <t>Change per 2017 Update</t>
  </si>
  <si>
    <t>Incremental Decrease for 2018</t>
  </si>
  <si>
    <t>Net Revenue Requirement Reduction Jan. - Jun. 2018  (Incremental) - Grossed Down</t>
  </si>
  <si>
    <t>Grossed Down</t>
  </si>
  <si>
    <t>Total Reduction over 18-month rate period.</t>
  </si>
  <si>
    <t>Washington Pro Forma July 2017 -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</si>
</sst>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  <numFmt numFmtId="169" formatCode="_(* #,##0_);_(* \(#,##0\);_(* &quot;-&quot;??_);_(@_)"/>
    <numFmt numFmtId="170" formatCode="_(&quot;$&quot;* #,##0_);_(&quot;$&quot;* \(#,##0\);_(&quot;$&quot;* &quot;-&quot;??_);_(@_)"/>
  </numFmts>
  <fonts count="23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  <font>
      <u/>
      <sz val="10"/>
      <name val="Arial"/>
      <family val="2"/>
    </font>
    <font>
      <b/>
      <sz val="11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b/>
      <u val="singleAccounting"/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</cellStyleXfs>
  <cellXfs count="20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166" fontId="0" fillId="0" borderId="0" xfId="0" applyNumberFormat="1" applyFill="1"/>
    <xf numFmtId="0" fontId="0" fillId="0" borderId="0" xfId="0" quotePrefix="1" applyFill="1"/>
    <xf numFmtId="3" fontId="2" fillId="0" borderId="1" xfId="0" applyNumberFormat="1" applyFont="1" applyFill="1" applyBorder="1" applyAlignment="1">
      <alignment horizontal="right"/>
    </xf>
    <xf numFmtId="10" fontId="0" fillId="0" borderId="0" xfId="2" applyNumberFormat="1" applyFont="1"/>
    <xf numFmtId="3" fontId="0" fillId="0" borderId="0" xfId="1" applyNumberFormat="1" applyFont="1"/>
    <xf numFmtId="4" fontId="0" fillId="0" borderId="0" xfId="0" applyNumberFormat="1"/>
    <xf numFmtId="10" fontId="0" fillId="0" borderId="0" xfId="2" applyNumberFormat="1" applyFont="1" applyFill="1"/>
    <xf numFmtId="3" fontId="0" fillId="6" borderId="0" xfId="0" applyNumberFormat="1" applyFont="1" applyFill="1" applyBorder="1" applyAlignment="1">
      <alignment horizontal="right"/>
    </xf>
    <xf numFmtId="3" fontId="0" fillId="6" borderId="0" xfId="0" applyNumberFormat="1" applyFill="1" applyBorder="1" applyAlignment="1">
      <alignment horizontal="right"/>
    </xf>
    <xf numFmtId="3" fontId="2" fillId="6" borderId="0" xfId="0" applyNumberFormat="1" applyFont="1" applyFill="1" applyBorder="1" applyAlignment="1">
      <alignment horizontal="right"/>
    </xf>
    <xf numFmtId="0" fontId="7" fillId="0" borderId="0" xfId="3" applyAlignment="1">
      <alignment horizontal="centerContinuous"/>
    </xf>
    <xf numFmtId="0" fontId="7" fillId="0" borderId="0" xfId="3"/>
    <xf numFmtId="0" fontId="9" fillId="6" borderId="0" xfId="3" applyFont="1" applyFill="1" applyAlignment="1">
      <alignment horizontal="center"/>
    </xf>
    <xf numFmtId="0" fontId="9" fillId="0" borderId="0" xfId="3" applyFont="1" applyAlignment="1">
      <alignment horizontal="center"/>
    </xf>
    <xf numFmtId="0" fontId="15" fillId="0" borderId="0" xfId="3" applyFont="1" applyAlignment="1">
      <alignment horizontal="centerContinuous"/>
    </xf>
    <xf numFmtId="0" fontId="7" fillId="0" borderId="0" xfId="3" applyBorder="1"/>
    <xf numFmtId="0" fontId="9" fillId="6" borderId="0" xfId="3" applyFont="1" applyFill="1"/>
    <xf numFmtId="169" fontId="17" fillId="0" borderId="0" xfId="4" applyNumberFormat="1" applyFont="1" applyFill="1" applyBorder="1" applyAlignment="1">
      <alignment horizontal="center"/>
    </xf>
    <xf numFmtId="0" fontId="7" fillId="0" borderId="0" xfId="3" applyAlignment="1">
      <alignment horizontal="center"/>
    </xf>
    <xf numFmtId="0" fontId="7" fillId="6" borderId="0" xfId="3" applyFill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 applyBorder="1" applyAlignment="1">
      <alignment horizontal="center"/>
    </xf>
    <xf numFmtId="0" fontId="15" fillId="6" borderId="0" xfId="3" applyFont="1" applyFill="1" applyAlignment="1">
      <alignment horizontal="center"/>
    </xf>
    <xf numFmtId="10" fontId="0" fillId="0" borderId="0" xfId="5" applyNumberFormat="1" applyFont="1" applyAlignment="1">
      <alignment horizontal="center"/>
    </xf>
    <xf numFmtId="10" fontId="0" fillId="0" borderId="0" xfId="5" applyNumberFormat="1" applyFont="1" applyFill="1" applyAlignment="1">
      <alignment horizontal="center"/>
    </xf>
    <xf numFmtId="10" fontId="7" fillId="0" borderId="0" xfId="5" applyNumberFormat="1" applyFont="1" applyBorder="1" applyAlignment="1">
      <alignment horizontal="left"/>
    </xf>
    <xf numFmtId="165" fontId="7" fillId="6" borderId="0" xfId="3" applyNumberFormat="1" applyFill="1"/>
    <xf numFmtId="165" fontId="7" fillId="0" borderId="0" xfId="3" applyNumberFormat="1"/>
    <xf numFmtId="165" fontId="7" fillId="0" borderId="0" xfId="3" applyNumberFormat="1" applyBorder="1"/>
    <xf numFmtId="3" fontId="7" fillId="0" borderId="0" xfId="3" applyNumberFormat="1"/>
    <xf numFmtId="3" fontId="7" fillId="0" borderId="0" xfId="3" applyNumberFormat="1" applyBorder="1"/>
    <xf numFmtId="3" fontId="7" fillId="6" borderId="0" xfId="3" applyNumberFormat="1" applyFill="1"/>
    <xf numFmtId="165" fontId="7" fillId="0" borderId="0" xfId="3" applyNumberFormat="1" applyFont="1" applyFill="1" applyAlignment="1">
      <alignment horizontal="center"/>
    </xf>
    <xf numFmtId="3" fontId="7" fillId="0" borderId="0" xfId="3" applyNumberFormat="1" applyFill="1"/>
    <xf numFmtId="0" fontId="7" fillId="0" borderId="0" xfId="6" applyFont="1" applyFill="1" applyAlignment="1">
      <alignment horizontal="center"/>
    </xf>
    <xf numFmtId="3" fontId="7" fillId="0" borderId="1" xfId="3" applyNumberFormat="1" applyBorder="1"/>
    <xf numFmtId="165" fontId="19" fillId="0" borderId="0" xfId="3" applyNumberFormat="1" applyFont="1" applyFill="1"/>
    <xf numFmtId="3" fontId="7" fillId="0" borderId="6" xfId="3" applyNumberFormat="1" applyBorder="1"/>
    <xf numFmtId="3" fontId="9" fillId="0" borderId="0" xfId="3" applyNumberFormat="1" applyFont="1"/>
    <xf numFmtId="9" fontId="7" fillId="0" borderId="0" xfId="3" applyNumberFormat="1"/>
    <xf numFmtId="0" fontId="9" fillId="0" borderId="0" xfId="3" applyFont="1"/>
    <xf numFmtId="0" fontId="7" fillId="0" borderId="0" xfId="3" applyFont="1"/>
    <xf numFmtId="0" fontId="7" fillId="0" borderId="0" xfId="3" applyAlignment="1">
      <alignment horizontal="right"/>
    </xf>
    <xf numFmtId="165" fontId="9" fillId="0" borderId="3" xfId="3" applyNumberFormat="1" applyFont="1" applyFill="1" applyBorder="1"/>
    <xf numFmtId="0" fontId="7" fillId="0" borderId="0" xfId="3" applyFill="1"/>
    <xf numFmtId="3" fontId="7" fillId="0" borderId="0" xfId="3" applyNumberFormat="1" applyFill="1" applyBorder="1"/>
    <xf numFmtId="0" fontId="9" fillId="6" borderId="11" xfId="3" applyFont="1" applyFill="1" applyBorder="1"/>
    <xf numFmtId="0" fontId="7" fillId="6" borderId="12" xfId="3" applyFill="1" applyBorder="1"/>
    <xf numFmtId="3" fontId="9" fillId="0" borderId="11" xfId="3" applyNumberFormat="1" applyFont="1" applyFill="1" applyBorder="1"/>
    <xf numFmtId="3" fontId="9" fillId="0" borderId="12" xfId="3" applyNumberFormat="1" applyFont="1" applyFill="1" applyBorder="1"/>
    <xf numFmtId="0" fontId="9" fillId="0" borderId="12" xfId="3" applyFont="1" applyFill="1" applyBorder="1"/>
    <xf numFmtId="3" fontId="9" fillId="0" borderId="13" xfId="3" applyNumberFormat="1" applyFont="1" applyFill="1" applyBorder="1"/>
    <xf numFmtId="165" fontId="9" fillId="0" borderId="0" xfId="3" applyNumberFormat="1" applyFont="1" applyFill="1" applyBorder="1"/>
    <xf numFmtId="170" fontId="21" fillId="6" borderId="13" xfId="7" applyNumberFormat="1" applyFont="1" applyFill="1" applyBorder="1"/>
    <xf numFmtId="165" fontId="7" fillId="0" borderId="0" xfId="3" applyNumberFormat="1" applyFont="1" applyFill="1" applyBorder="1"/>
    <xf numFmtId="0" fontId="22" fillId="0" borderId="0" xfId="3" applyFont="1"/>
    <xf numFmtId="0" fontId="22" fillId="0" borderId="0" xfId="3" applyFont="1" applyFill="1"/>
    <xf numFmtId="0" fontId="22" fillId="0" borderId="0" xfId="3" applyFont="1" applyAlignment="1">
      <alignment horizontal="right"/>
    </xf>
    <xf numFmtId="170" fontId="22" fillId="0" borderId="15" xfId="3" applyNumberFormat="1" applyFont="1" applyBorder="1"/>
    <xf numFmtId="170" fontId="22" fillId="0" borderId="0" xfId="7" applyNumberFormat="1" applyFont="1"/>
    <xf numFmtId="170" fontId="22" fillId="0" borderId="14" xfId="3" applyNumberFormat="1" applyFont="1" applyFill="1" applyBorder="1"/>
    <xf numFmtId="0" fontId="16" fillId="6" borderId="0" xfId="3" applyFont="1" applyFill="1" applyAlignment="1">
      <alignment horizontal="center"/>
    </xf>
    <xf numFmtId="0" fontId="22" fillId="0" borderId="0" xfId="3" applyFont="1" applyBorder="1" applyAlignment="1">
      <alignment horizontal="center" wrapText="1"/>
    </xf>
    <xf numFmtId="0" fontId="22" fillId="0" borderId="1" xfId="3" applyFont="1" applyBorder="1" applyAlignment="1">
      <alignment horizontal="center" wrapText="1"/>
    </xf>
  </cellXfs>
  <cellStyles count="8">
    <cellStyle name="Comma" xfId="1" builtinId="3"/>
    <cellStyle name="Comma 2" xfId="4"/>
    <cellStyle name="Currency" xfId="7" builtinId="4"/>
    <cellStyle name="Normal" xfId="0" builtinId="0"/>
    <cellStyle name="Normal 2 3" xfId="3"/>
    <cellStyle name="Normal 8" xfId="6"/>
    <cellStyle name="Percent" xfId="2" builtinId="5"/>
    <cellStyle name="Per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171450</xdr:colOff>
      <xdr:row>0</xdr:row>
      <xdr:rowOff>142875</xdr:rowOff>
    </xdr:from>
    <xdr:ext cx="1990725" cy="436786"/>
    <xdr:sp macro="" textlink="">
      <xdr:nvSpPr>
        <xdr:cNvPr id="2" name="TextBox 1"/>
        <xdr:cNvSpPr txBox="1"/>
      </xdr:nvSpPr>
      <xdr:spPr>
        <a:xfrm>
          <a:off x="10248900" y="142875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1381125</xdr:colOff>
      <xdr:row>40</xdr:row>
      <xdr:rowOff>66675</xdr:rowOff>
    </xdr:from>
    <xdr:ext cx="1990725" cy="436786"/>
    <xdr:sp macro="" textlink="">
      <xdr:nvSpPr>
        <xdr:cNvPr id="2" name="TextBox 1"/>
        <xdr:cNvSpPr txBox="1"/>
      </xdr:nvSpPr>
      <xdr:spPr>
        <a:xfrm>
          <a:off x="6657975" y="6572250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3</xdr:row>
      <xdr:rowOff>66675</xdr:rowOff>
    </xdr:from>
    <xdr:ext cx="1990725" cy="436786"/>
    <xdr:sp macro="" textlink="">
      <xdr:nvSpPr>
        <xdr:cNvPr id="2" name="TextBox 1"/>
        <xdr:cNvSpPr txBox="1"/>
      </xdr:nvSpPr>
      <xdr:spPr>
        <a:xfrm>
          <a:off x="390525" y="552450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2012%20WA%20Electric%20CBR%20Model%20%20(revised%20FI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2011 CBR FIT fix"/>
      <sheetName val="LEAD SHEETS-DO NOT ENTER"/>
      <sheetName val="CF "/>
      <sheetName val="ROO INPUT"/>
      <sheetName val="DEBT CALC"/>
      <sheetName val="not used PROPOSED RATES"/>
      <sheetName val="not used RR SUMMARY"/>
      <sheetName val="not used RETAIL REVENUE CREDI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43"/>
  <sheetViews>
    <sheetView tabSelected="1" zoomScaleNormal="100" zoomScaleSheetLayoutView="100" workbookViewId="0">
      <selection activeCell="D3" sqref="D3"/>
    </sheetView>
  </sheetViews>
  <sheetFormatPr defaultColWidth="9.140625" defaultRowHeight="12.75"/>
  <cols>
    <col min="1" max="1" width="32.5703125" style="115" customWidth="1"/>
    <col min="2" max="2" width="13.140625" style="115" customWidth="1"/>
    <col min="3" max="14" width="11.7109375" style="115" customWidth="1"/>
    <col min="15" max="16384" width="9.140625" style="115"/>
  </cols>
  <sheetData>
    <row r="1" spans="1:19" ht="15.75">
      <c r="A1" s="134" t="s">
        <v>155</v>
      </c>
      <c r="S1" s="147">
        <v>0.65629999999999999</v>
      </c>
    </row>
    <row r="2" spans="1:19" ht="15.75">
      <c r="A2" s="134" t="s">
        <v>240</v>
      </c>
    </row>
    <row r="3" spans="1:19" ht="15.75">
      <c r="A3" s="134" t="s">
        <v>173</v>
      </c>
    </row>
    <row r="4" spans="1:19" s="135" customFormat="1" ht="15.75">
      <c r="A4" s="134" t="s">
        <v>241</v>
      </c>
    </row>
    <row r="5" spans="1:19" ht="15.75">
      <c r="A5" s="134"/>
    </row>
    <row r="6" spans="1:19">
      <c r="A6" s="116" t="s">
        <v>185</v>
      </c>
    </row>
    <row r="7" spans="1:19">
      <c r="A7" s="116"/>
    </row>
    <row r="8" spans="1:19">
      <c r="B8" s="136" t="s">
        <v>32</v>
      </c>
      <c r="C8" s="137" t="s">
        <v>191</v>
      </c>
      <c r="D8" s="137" t="s">
        <v>192</v>
      </c>
      <c r="E8" s="137" t="s">
        <v>193</v>
      </c>
      <c r="F8" s="137" t="s">
        <v>194</v>
      </c>
      <c r="G8" s="137" t="s">
        <v>79</v>
      </c>
      <c r="H8" s="137" t="s">
        <v>195</v>
      </c>
      <c r="I8" s="137" t="s">
        <v>196</v>
      </c>
      <c r="J8" s="137" t="s">
        <v>197</v>
      </c>
      <c r="K8" s="137" t="s">
        <v>198</v>
      </c>
      <c r="L8" s="137" t="s">
        <v>199</v>
      </c>
      <c r="M8" s="137" t="s">
        <v>200</v>
      </c>
      <c r="N8" s="137" t="s">
        <v>201</v>
      </c>
    </row>
    <row r="10" spans="1:19">
      <c r="A10" s="115" t="s">
        <v>144</v>
      </c>
      <c r="B10" s="138">
        <f>SUM(C10:N10)</f>
        <v>111498954.66514036</v>
      </c>
      <c r="C10" s="138">
        <f>'Attachment G'!K28</f>
        <v>12193726.922826663</v>
      </c>
      <c r="D10" s="138">
        <f>'Attachment G'!L28</f>
        <v>11120737.400974918</v>
      </c>
      <c r="E10" s="138">
        <f>'Attachment G'!M28</f>
        <v>10017175.18465071</v>
      </c>
      <c r="F10" s="138">
        <f>'Attachment G'!N28</f>
        <v>9252264.6146335825</v>
      </c>
      <c r="G10" s="138">
        <f>'Attachment G'!O28</f>
        <v>7188344.245234143</v>
      </c>
      <c r="H10" s="138">
        <f>'Attachment G'!P28</f>
        <v>6955258.6487659803</v>
      </c>
      <c r="I10" s="138">
        <f>'Attachment G'!Q28</f>
        <v>7454506.8926453404</v>
      </c>
      <c r="J10" s="138">
        <f>'Attachment G'!R28</f>
        <v>8578546.9621014427</v>
      </c>
      <c r="K10" s="138">
        <f>'Attachment G'!S28</f>
        <v>7140296.1050638556</v>
      </c>
      <c r="L10" s="138">
        <f>'Attachment G'!T28</f>
        <v>7627423.2522062669</v>
      </c>
      <c r="M10" s="138">
        <f>'Attachment G'!U28</f>
        <v>11751535.384390738</v>
      </c>
      <c r="N10" s="138">
        <f>'Attachment G'!V28</f>
        <v>12219139.051646713</v>
      </c>
    </row>
    <row r="11" spans="1:19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  <row r="12" spans="1:19">
      <c r="A12" s="115" t="s">
        <v>143</v>
      </c>
      <c r="B12" s="138">
        <f>SUM(C12:N12)</f>
        <v>29154090.5338655</v>
      </c>
      <c r="C12" s="138">
        <f>'Attachment G'!K44</f>
        <v>2660586.8056917698</v>
      </c>
      <c r="D12" s="138">
        <f>'Attachment G'!L44</f>
        <v>2440654.5529985926</v>
      </c>
      <c r="E12" s="138">
        <f>'Attachment G'!M44</f>
        <v>2558845.5201769378</v>
      </c>
      <c r="F12" s="138">
        <f>'Attachment G'!N44</f>
        <v>2269807.0787096526</v>
      </c>
      <c r="G12" s="138">
        <f>'Attachment G'!O44</f>
        <v>1943968.2674074674</v>
      </c>
      <c r="H12" s="138">
        <f>'Attachment G'!P44</f>
        <v>1593033.1749702001</v>
      </c>
      <c r="I12" s="138">
        <f>'Attachment G'!Q44</f>
        <v>2438816.2069218531</v>
      </c>
      <c r="J12" s="138">
        <f>'Attachment G'!R44</f>
        <v>2629655.6451695338</v>
      </c>
      <c r="K12" s="138">
        <f>'Attachment G'!S44</f>
        <v>2637927.3752110368</v>
      </c>
      <c r="L12" s="138">
        <f>'Attachment G'!T44</f>
        <v>2673235.1297276388</v>
      </c>
      <c r="M12" s="138">
        <f>'Attachment G'!U44</f>
        <v>2614296.0470097438</v>
      </c>
      <c r="N12" s="138">
        <f>'Attachment G'!V44</f>
        <v>2693264.7298710709</v>
      </c>
    </row>
    <row r="13" spans="1:19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</row>
    <row r="14" spans="1:19">
      <c r="A14" s="115" t="s">
        <v>184</v>
      </c>
      <c r="B14" s="138">
        <f>SUM(C14:N14)</f>
        <v>74376873.032794178</v>
      </c>
      <c r="C14" s="138">
        <f>'Attachment G'!K58</f>
        <v>9103202.991342213</v>
      </c>
      <c r="D14" s="138">
        <f>'Attachment G'!L58</f>
        <v>7201014.436338909</v>
      </c>
      <c r="E14" s="138">
        <f>'Attachment G'!M58</f>
        <v>7480798.7578263236</v>
      </c>
      <c r="F14" s="138">
        <f>'Attachment G'!N58</f>
        <v>4569880.5227780258</v>
      </c>
      <c r="G14" s="138">
        <f>'Attachment G'!O58</f>
        <v>2406887.4704747424</v>
      </c>
      <c r="H14" s="138">
        <f>'Attachment G'!P58</f>
        <v>1904446.5303292423</v>
      </c>
      <c r="I14" s="138">
        <f>'Attachment G'!Q58</f>
        <v>4880492.994137641</v>
      </c>
      <c r="J14" s="138">
        <f>'Attachment G'!R58</f>
        <v>6737038.7927966546</v>
      </c>
      <c r="K14" s="138">
        <f>'Attachment G'!S58</f>
        <v>6905903.5979551785</v>
      </c>
      <c r="L14" s="138">
        <f>'Attachment G'!T58</f>
        <v>6937099.4849625258</v>
      </c>
      <c r="M14" s="138">
        <f>'Attachment G'!U58</f>
        <v>7385852.6687834105</v>
      </c>
      <c r="N14" s="138">
        <f>'Attachment G'!V58</f>
        <v>8864254.7850692943</v>
      </c>
    </row>
    <row r="15" spans="1:19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19">
      <c r="A16" s="139" t="s">
        <v>142</v>
      </c>
      <c r="B16" s="140">
        <f>SUM(C16:N16)</f>
        <v>54188896.704330564</v>
      </c>
      <c r="C16" s="140">
        <f>'Attachment G'!K91</f>
        <v>5255287.8822301896</v>
      </c>
      <c r="D16" s="140">
        <f>'Attachment G'!L91</f>
        <v>4091909.2594262874</v>
      </c>
      <c r="E16" s="140">
        <f>'Attachment G'!M91</f>
        <v>4829070.3316534851</v>
      </c>
      <c r="F16" s="140">
        <f>'Attachment G'!N91</f>
        <v>6269053.5953295268</v>
      </c>
      <c r="G16" s="140">
        <f>'Attachment G'!O91</f>
        <v>5052028.4585680831</v>
      </c>
      <c r="H16" s="140">
        <f>'Attachment G'!P91</f>
        <v>3623226.5713436506</v>
      </c>
      <c r="I16" s="140">
        <f>'Attachment G'!Q91</f>
        <v>4415923.4075097535</v>
      </c>
      <c r="J16" s="140">
        <f>'Attachment G'!R91</f>
        <v>3014389.6883371188</v>
      </c>
      <c r="K16" s="140">
        <f>'Attachment G'!S91</f>
        <v>4110283.7581490725</v>
      </c>
      <c r="L16" s="140">
        <f>'Attachment G'!T91</f>
        <v>3422584.2213970679</v>
      </c>
      <c r="M16" s="140">
        <f>'Attachment G'!U91</f>
        <v>4422707.6440135511</v>
      </c>
      <c r="N16" s="140">
        <f>'Attachment G'!V91</f>
        <v>5682431.8863727814</v>
      </c>
    </row>
    <row r="17" spans="1:14" ht="12.75" customHeight="1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4">
      <c r="A18" s="133" t="s">
        <v>139</v>
      </c>
      <c r="B18" s="138">
        <f>SUM(C18:N18)</f>
        <v>160841021.52746943</v>
      </c>
      <c r="C18" s="138">
        <f>SUM(C10:C14)-C16</f>
        <v>18702228.837630454</v>
      </c>
      <c r="D18" s="138">
        <f t="shared" ref="D18:N18" si="0">SUM(D10:D14)-D16</f>
        <v>16670497.13088613</v>
      </c>
      <c r="E18" s="138">
        <f t="shared" si="0"/>
        <v>15227749.131000487</v>
      </c>
      <c r="F18" s="138">
        <f t="shared" si="0"/>
        <v>9822898.6207917333</v>
      </c>
      <c r="G18" s="138">
        <f t="shared" si="0"/>
        <v>6487171.5245482698</v>
      </c>
      <c r="H18" s="138">
        <f t="shared" si="0"/>
        <v>6829511.7827217709</v>
      </c>
      <c r="I18" s="138">
        <f t="shared" si="0"/>
        <v>10357892.686195081</v>
      </c>
      <c r="J18" s="138">
        <f t="shared" si="0"/>
        <v>14930851.711730512</v>
      </c>
      <c r="K18" s="138">
        <f t="shared" si="0"/>
        <v>12573843.320080999</v>
      </c>
      <c r="L18" s="138">
        <f t="shared" si="0"/>
        <v>13815173.645499364</v>
      </c>
      <c r="M18" s="138">
        <f t="shared" si="0"/>
        <v>17328976.456170343</v>
      </c>
      <c r="N18" s="138">
        <f t="shared" si="0"/>
        <v>18094226.680214297</v>
      </c>
    </row>
    <row r="19" spans="1:14" ht="12.75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  <row r="20" spans="1:14" ht="12.75" customHeight="1">
      <c r="A20" s="133" t="s">
        <v>174</v>
      </c>
      <c r="B20" s="138">
        <f>SUM(C20:N20)</f>
        <v>17595441.8752</v>
      </c>
      <c r="C20" s="138">
        <f>'Attachment G'!K73</f>
        <v>1500385.6650666669</v>
      </c>
      <c r="D20" s="138">
        <f>'Attachment G'!L73</f>
        <v>1481527.9710986668</v>
      </c>
      <c r="E20" s="138">
        <f>'Attachment G'!M73</f>
        <v>1469284.9736746668</v>
      </c>
      <c r="F20" s="138">
        <f>'Attachment G'!N73</f>
        <v>1475475.4303866669</v>
      </c>
      <c r="G20" s="138">
        <f>'Attachment G'!O73</f>
        <v>1459846.1763066668</v>
      </c>
      <c r="H20" s="138">
        <f>'Attachment G'!P73</f>
        <v>1431636.4290266668</v>
      </c>
      <c r="I20" s="138">
        <f>'Attachment G'!Q73</f>
        <v>1480659.8669733333</v>
      </c>
      <c r="J20" s="138">
        <f>'Attachment G'!R73</f>
        <v>1475260.0469333334</v>
      </c>
      <c r="K20" s="138">
        <f>'Attachment G'!S73</f>
        <v>1456461.9428933335</v>
      </c>
      <c r="L20" s="138">
        <f>'Attachment G'!T73</f>
        <v>1433291.2437733335</v>
      </c>
      <c r="M20" s="138">
        <f>'Attachment G'!U73</f>
        <v>1439980.0369653334</v>
      </c>
      <c r="N20" s="138">
        <f>'Attachment G'!V73</f>
        <v>1491632.0921013334</v>
      </c>
    </row>
    <row r="21" spans="1:14" ht="12.75" customHeight="1">
      <c r="A21" s="133"/>
    </row>
    <row r="22" spans="1:14" ht="12.75" customHeight="1">
      <c r="A22" s="133" t="s">
        <v>218</v>
      </c>
      <c r="B22" s="119">
        <f>SUM(C22:N22)</f>
        <v>16015348.880000001</v>
      </c>
      <c r="C22" s="119">
        <v>1304329.49</v>
      </c>
      <c r="D22" s="119">
        <v>1105921.49</v>
      </c>
      <c r="E22" s="119">
        <v>1123977.49</v>
      </c>
      <c r="F22" s="119">
        <v>1154782.49</v>
      </c>
      <c r="G22" s="119">
        <v>1377232.49</v>
      </c>
      <c r="H22" s="119">
        <v>1552357.49</v>
      </c>
      <c r="I22" s="119">
        <v>1659835.49</v>
      </c>
      <c r="J22" s="119">
        <v>1502892.49</v>
      </c>
      <c r="K22" s="119">
        <v>1306364.49</v>
      </c>
      <c r="L22" s="119">
        <v>1460291.49</v>
      </c>
      <c r="M22" s="119">
        <v>1241936.49</v>
      </c>
      <c r="N22" s="119">
        <v>1225427.49</v>
      </c>
    </row>
    <row r="23" spans="1:14" ht="12.75" customHeight="1">
      <c r="A23" s="133"/>
      <c r="B23" s="119"/>
    </row>
    <row r="24" spans="1:14" ht="12.75" customHeight="1">
      <c r="A24" s="133" t="s">
        <v>181</v>
      </c>
      <c r="B24" s="119">
        <f>SUM(C24:N24)</f>
        <v>407000.00000000006</v>
      </c>
      <c r="C24" s="138">
        <f>'Attachment G'!K31</f>
        <v>33916.666666666664</v>
      </c>
      <c r="D24" s="138">
        <f>'Attachment G'!L31</f>
        <v>33916.666666666664</v>
      </c>
      <c r="E24" s="138">
        <f>'Attachment G'!M31</f>
        <v>33916.666666666664</v>
      </c>
      <c r="F24" s="138">
        <f>'Attachment G'!N31</f>
        <v>33916.666666666664</v>
      </c>
      <c r="G24" s="138">
        <f>'Attachment G'!O31</f>
        <v>33916.666666666664</v>
      </c>
      <c r="H24" s="138">
        <f>'Attachment G'!P31</f>
        <v>33916.666666666664</v>
      </c>
      <c r="I24" s="138">
        <f>'Attachment G'!Q31</f>
        <v>33916.666666666664</v>
      </c>
      <c r="J24" s="138">
        <f>'Attachment G'!R31</f>
        <v>33916.666666666664</v>
      </c>
      <c r="K24" s="138">
        <f>'Attachment G'!S31</f>
        <v>33916.666666666664</v>
      </c>
      <c r="L24" s="138">
        <f>'Attachment G'!T31</f>
        <v>33916.666666666664</v>
      </c>
      <c r="M24" s="138">
        <f>'Attachment G'!U31</f>
        <v>33916.666666666664</v>
      </c>
      <c r="N24" s="138">
        <f>'Attachment G'!V31</f>
        <v>33916.666666666664</v>
      </c>
    </row>
    <row r="25" spans="1:14" ht="12.75" customHeight="1">
      <c r="A25" s="133"/>
    </row>
    <row r="26" spans="1:14" ht="12.75" customHeight="1">
      <c r="A26" s="133" t="s">
        <v>32</v>
      </c>
      <c r="B26" s="138">
        <f>B18+B20-B22+B24</f>
        <v>162828114.52266943</v>
      </c>
      <c r="C26" s="138">
        <f t="shared" ref="C26:N26" si="1">C18+C20-C22+C24</f>
        <v>18932201.679363791</v>
      </c>
      <c r="D26" s="138">
        <f t="shared" si="1"/>
        <v>17080020.278651465</v>
      </c>
      <c r="E26" s="138">
        <f t="shared" si="1"/>
        <v>15606973.281341819</v>
      </c>
      <c r="F26" s="138">
        <f t="shared" si="1"/>
        <v>10177508.227845065</v>
      </c>
      <c r="G26" s="138">
        <f t="shared" si="1"/>
        <v>6603701.8775216034</v>
      </c>
      <c r="H26" s="138">
        <f t="shared" si="1"/>
        <v>6742707.3884151047</v>
      </c>
      <c r="I26" s="138">
        <f t="shared" si="1"/>
        <v>10212633.72983508</v>
      </c>
      <c r="J26" s="138">
        <f t="shared" si="1"/>
        <v>14937135.93533051</v>
      </c>
      <c r="K26" s="138">
        <f t="shared" si="1"/>
        <v>12757857.439640999</v>
      </c>
      <c r="L26" s="138">
        <f t="shared" si="1"/>
        <v>13822090.065939363</v>
      </c>
      <c r="M26" s="138">
        <f t="shared" si="1"/>
        <v>17560936.669802345</v>
      </c>
      <c r="N26" s="138">
        <f t="shared" si="1"/>
        <v>18394347.948982298</v>
      </c>
    </row>
    <row r="27" spans="1:14" ht="12.75" customHeight="1">
      <c r="A27" s="133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</row>
    <row r="28" spans="1:14" ht="12.75" customHeight="1">
      <c r="A28" s="133" t="s">
        <v>238</v>
      </c>
      <c r="B28" s="119">
        <f>SUM(C28:N28)</f>
        <v>106864091.56122795</v>
      </c>
      <c r="C28" s="138">
        <f>C26*$S$1</f>
        <v>12425203.962166457</v>
      </c>
      <c r="D28" s="138">
        <f t="shared" ref="D28:N28" si="2">D26*$S$1</f>
        <v>11209617.308878956</v>
      </c>
      <c r="E28" s="138">
        <f t="shared" si="2"/>
        <v>10242856.564544635</v>
      </c>
      <c r="F28" s="138">
        <f t="shared" si="2"/>
        <v>6679498.6499347165</v>
      </c>
      <c r="G28" s="138">
        <f t="shared" si="2"/>
        <v>4334009.5422174279</v>
      </c>
      <c r="H28" s="138">
        <f t="shared" si="2"/>
        <v>4425238.8590168329</v>
      </c>
      <c r="I28" s="138">
        <f t="shared" si="2"/>
        <v>6702551.5168907633</v>
      </c>
      <c r="J28" s="138">
        <f t="shared" si="2"/>
        <v>9803242.314357413</v>
      </c>
      <c r="K28" s="138">
        <f t="shared" si="2"/>
        <v>8372981.8376363879</v>
      </c>
      <c r="L28" s="138">
        <f t="shared" si="2"/>
        <v>9071437.7102760039</v>
      </c>
      <c r="M28" s="138">
        <f t="shared" si="2"/>
        <v>11525242.73639128</v>
      </c>
      <c r="N28" s="138">
        <f t="shared" si="2"/>
        <v>12072210.558917083</v>
      </c>
    </row>
    <row r="31" spans="1:14">
      <c r="A31" s="116" t="s">
        <v>214</v>
      </c>
    </row>
    <row r="33" spans="1:14">
      <c r="B33" s="136" t="s">
        <v>32</v>
      </c>
      <c r="C33" s="137" t="str">
        <f>C8</f>
        <v>January</v>
      </c>
      <c r="D33" s="137" t="str">
        <f t="shared" ref="D33:N33" si="3">D8</f>
        <v>February</v>
      </c>
      <c r="E33" s="137" t="str">
        <f t="shared" si="3"/>
        <v>March</v>
      </c>
      <c r="F33" s="137" t="str">
        <f t="shared" si="3"/>
        <v>April</v>
      </c>
      <c r="G33" s="137" t="str">
        <f t="shared" si="3"/>
        <v>May</v>
      </c>
      <c r="H33" s="137" t="str">
        <f t="shared" si="3"/>
        <v>June</v>
      </c>
      <c r="I33" s="137" t="str">
        <f t="shared" si="3"/>
        <v>July</v>
      </c>
      <c r="J33" s="137" t="str">
        <f t="shared" si="3"/>
        <v>August</v>
      </c>
      <c r="K33" s="137" t="str">
        <f t="shared" si="3"/>
        <v>September</v>
      </c>
      <c r="L33" s="137" t="str">
        <f t="shared" si="3"/>
        <v>October</v>
      </c>
      <c r="M33" s="137" t="str">
        <f t="shared" si="3"/>
        <v>November</v>
      </c>
      <c r="N33" s="137" t="str">
        <f t="shared" si="3"/>
        <v>December</v>
      </c>
    </row>
    <row r="35" spans="1:14">
      <c r="A35" s="133" t="s">
        <v>219</v>
      </c>
      <c r="B35" s="132">
        <f>SUM(C35:N35)</f>
        <v>5687562.6260000002</v>
      </c>
      <c r="C35" s="132">
        <v>539781.76899999997</v>
      </c>
      <c r="D35" s="132">
        <v>480360.23100000003</v>
      </c>
      <c r="E35" s="132">
        <v>488540.853</v>
      </c>
      <c r="F35" s="132">
        <v>438785.73200000002</v>
      </c>
      <c r="G35" s="132">
        <v>426014.61</v>
      </c>
      <c r="H35" s="132">
        <v>431765.58799999999</v>
      </c>
      <c r="I35" s="132">
        <v>489661.777</v>
      </c>
      <c r="J35" s="132">
        <v>477851.777</v>
      </c>
      <c r="K35" s="132">
        <v>422173.81900000002</v>
      </c>
      <c r="L35" s="132">
        <v>452820.05200000003</v>
      </c>
      <c r="M35" s="132">
        <v>489500.18599999999</v>
      </c>
      <c r="N35" s="132">
        <v>550306.23199999996</v>
      </c>
    </row>
    <row r="37" spans="1:14">
      <c r="A37" s="133" t="s">
        <v>242</v>
      </c>
      <c r="B37" s="141">
        <f>B28/B35</f>
        <v>18.789083934251863</v>
      </c>
      <c r="C37" s="142" t="s">
        <v>182</v>
      </c>
    </row>
    <row r="42" spans="1:14">
      <c r="A42" s="147" t="str">
        <f>"(1)  Multiply system numbers by "&amp;TEXT(S1,"00.00%")&amp;" to determine Washington share."</f>
        <v>(1)  Multiply system numbers by 65.63% to determine Washington share.</v>
      </c>
    </row>
    <row r="43" spans="1:14">
      <c r="A43" s="115" t="s">
        <v>239</v>
      </c>
    </row>
  </sheetData>
  <phoneticPr fontId="6" type="noConversion"/>
  <pageMargins left="0.75" right="0.75" top="1" bottom="1" header="0.5" footer="0.5"/>
  <pageSetup scale="66" orientation="landscape" r:id="rId1"/>
  <headerFooter scaleWithDoc="0" alignWithMargins="0">
    <oddHeader>&amp;CAttachment A&amp;R&amp;"Times New Roman,Regular"&amp;12Revised Exhibit No. __(WGJ-5)</oddHeader>
    <oddFooter>&amp;CNOVEMBER 2016 POWER SUPPLY UPDATE&amp;R&amp;"Arial,Regular"&amp;11Page 2 of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50"/>
  <sheetViews>
    <sheetView zoomScaleNormal="100" workbookViewId="0">
      <selection activeCell="C44" sqref="C44"/>
    </sheetView>
  </sheetViews>
  <sheetFormatPr defaultColWidth="9.140625" defaultRowHeight="12.75"/>
  <cols>
    <col min="1" max="1" width="22.140625" style="152" customWidth="1"/>
    <col min="2" max="2" width="9.140625" style="152"/>
    <col min="3" max="3" width="11.28515625" style="152" customWidth="1"/>
    <col min="4" max="4" width="9.85546875" style="152" customWidth="1"/>
    <col min="5" max="5" width="8" style="152" customWidth="1"/>
    <col min="6" max="6" width="12.140625" style="152" customWidth="1"/>
    <col min="7" max="7" width="3.7109375" style="152" customWidth="1"/>
    <col min="8" max="8" width="2.85546875" style="152" customWidth="1"/>
    <col min="9" max="9" width="22.140625" style="152" customWidth="1"/>
    <col min="10" max="10" width="9.140625" style="152"/>
    <col min="11" max="11" width="11.28515625" style="152" customWidth="1"/>
    <col min="12" max="12" width="9.85546875" style="152" customWidth="1"/>
    <col min="13" max="13" width="8" style="152" customWidth="1"/>
    <col min="14" max="14" width="12.140625" style="152" customWidth="1"/>
    <col min="15" max="15" width="3.7109375" style="152" customWidth="1"/>
    <col min="16" max="16" width="11.42578125" style="152" bestFit="1" customWidth="1"/>
    <col min="17" max="17" width="1.85546875" style="152" customWidth="1"/>
    <col min="18" max="18" width="12.140625" style="152" customWidth="1"/>
    <col min="19" max="16384" width="9.140625" style="152"/>
  </cols>
  <sheetData>
    <row r="1" spans="1:18">
      <c r="A1" s="151" t="s">
        <v>243</v>
      </c>
      <c r="B1" s="151"/>
      <c r="C1" s="151"/>
      <c r="D1" s="151"/>
      <c r="E1" s="151"/>
      <c r="F1" s="151"/>
      <c r="G1" s="151"/>
      <c r="H1" s="151"/>
      <c r="I1" s="151" t="s">
        <v>243</v>
      </c>
      <c r="J1" s="151"/>
      <c r="K1" s="151"/>
      <c r="L1" s="151"/>
      <c r="M1" s="151"/>
      <c r="N1" s="151"/>
      <c r="O1" s="151"/>
      <c r="P1" s="151"/>
      <c r="R1" s="151"/>
    </row>
    <row r="2" spans="1:18">
      <c r="A2" s="151" t="s">
        <v>244</v>
      </c>
      <c r="B2" s="151"/>
      <c r="C2" s="151"/>
      <c r="D2" s="151"/>
      <c r="E2" s="151"/>
      <c r="F2" s="151"/>
      <c r="G2" s="151"/>
      <c r="H2" s="151"/>
      <c r="I2" s="151" t="s">
        <v>244</v>
      </c>
      <c r="J2" s="151"/>
      <c r="K2" s="151"/>
      <c r="L2" s="151"/>
      <c r="M2" s="151"/>
      <c r="N2" s="151"/>
      <c r="O2" s="151"/>
      <c r="P2" s="153" t="s">
        <v>245</v>
      </c>
      <c r="Q2" s="154"/>
      <c r="R2" s="153" t="s">
        <v>245</v>
      </c>
    </row>
    <row r="3" spans="1:18">
      <c r="A3" s="155" t="s">
        <v>246</v>
      </c>
      <c r="B3" s="151"/>
      <c r="C3" s="151"/>
      <c r="D3" s="151"/>
      <c r="E3" s="151"/>
      <c r="F3" s="151"/>
      <c r="G3" s="151"/>
      <c r="H3" s="151"/>
      <c r="I3" s="155" t="s">
        <v>247</v>
      </c>
      <c r="J3" s="151"/>
      <c r="K3" s="151"/>
      <c r="L3" s="151"/>
      <c r="M3" s="151"/>
      <c r="N3" s="151"/>
      <c r="O3" s="151"/>
      <c r="P3" s="153" t="s">
        <v>248</v>
      </c>
      <c r="Q3" s="154"/>
      <c r="R3" s="153" t="s">
        <v>248</v>
      </c>
    </row>
    <row r="4" spans="1:18" ht="15">
      <c r="A4" s="202" t="s">
        <v>249</v>
      </c>
      <c r="B4" s="202"/>
      <c r="C4" s="202"/>
      <c r="D4" s="202"/>
      <c r="E4" s="202"/>
      <c r="F4" s="202"/>
      <c r="G4" s="156"/>
      <c r="I4" s="202" t="s">
        <v>250</v>
      </c>
      <c r="J4" s="202"/>
      <c r="K4" s="202"/>
      <c r="L4" s="202"/>
      <c r="M4" s="202"/>
      <c r="N4" s="202"/>
      <c r="O4" s="156"/>
      <c r="P4" s="153" t="s">
        <v>251</v>
      </c>
      <c r="Q4" s="154"/>
      <c r="R4" s="153" t="s">
        <v>251</v>
      </c>
    </row>
    <row r="5" spans="1:18">
      <c r="C5" s="157"/>
      <c r="D5" s="153" t="s">
        <v>252</v>
      </c>
      <c r="E5" s="157"/>
      <c r="G5" s="156"/>
      <c r="H5" s="158"/>
      <c r="K5" s="157"/>
      <c r="L5" s="153" t="s">
        <v>252</v>
      </c>
      <c r="M5" s="157"/>
      <c r="O5" s="156"/>
      <c r="P5" s="153" t="s">
        <v>253</v>
      </c>
      <c r="R5" s="153" t="s">
        <v>253</v>
      </c>
    </row>
    <row r="6" spans="1:18">
      <c r="D6" s="159" t="s">
        <v>254</v>
      </c>
      <c r="E6" s="159"/>
      <c r="F6" s="159" t="s">
        <v>32</v>
      </c>
      <c r="G6" s="156"/>
      <c r="L6" s="159" t="s">
        <v>254</v>
      </c>
      <c r="M6" s="159"/>
      <c r="N6" s="159" t="s">
        <v>32</v>
      </c>
      <c r="O6" s="156"/>
      <c r="P6" s="160" t="s">
        <v>254</v>
      </c>
      <c r="R6" s="160" t="s">
        <v>32</v>
      </c>
    </row>
    <row r="7" spans="1:18">
      <c r="D7" s="159" t="s">
        <v>255</v>
      </c>
      <c r="E7" s="159"/>
      <c r="F7" s="159" t="s">
        <v>256</v>
      </c>
      <c r="G7" s="156"/>
      <c r="L7" s="159" t="s">
        <v>255</v>
      </c>
      <c r="M7" s="159"/>
      <c r="N7" s="159" t="s">
        <v>256</v>
      </c>
      <c r="O7" s="156"/>
      <c r="P7" s="160" t="s">
        <v>255</v>
      </c>
      <c r="R7" s="160" t="s">
        <v>256</v>
      </c>
    </row>
    <row r="8" spans="1:18">
      <c r="D8" s="161" t="s">
        <v>257</v>
      </c>
      <c r="E8" s="161"/>
      <c r="F8" s="161" t="s">
        <v>258</v>
      </c>
      <c r="G8" s="162"/>
      <c r="L8" s="161" t="s">
        <v>257</v>
      </c>
      <c r="M8" s="161"/>
      <c r="N8" s="161" t="s">
        <v>258</v>
      </c>
      <c r="O8" s="162"/>
      <c r="P8" s="163" t="s">
        <v>257</v>
      </c>
      <c r="R8" s="163" t="s">
        <v>258</v>
      </c>
    </row>
    <row r="9" spans="1:18">
      <c r="A9" s="152" t="s">
        <v>259</v>
      </c>
      <c r="E9" s="164"/>
      <c r="F9" s="165">
        <v>0.65629999999999999</v>
      </c>
      <c r="G9" s="166"/>
      <c r="H9" s="165"/>
      <c r="I9" s="152" t="s">
        <v>259</v>
      </c>
      <c r="M9" s="164"/>
      <c r="N9" s="165">
        <v>0.65629999999999999</v>
      </c>
      <c r="O9" s="166"/>
      <c r="R9" s="165">
        <v>0.65629999999999999</v>
      </c>
    </row>
    <row r="10" spans="1:18">
      <c r="G10" s="156"/>
      <c r="O10" s="156"/>
    </row>
    <row r="11" spans="1:18">
      <c r="A11" s="152" t="s">
        <v>260</v>
      </c>
      <c r="D11" s="167">
        <v>54189</v>
      </c>
      <c r="E11" s="168"/>
      <c r="F11" s="167">
        <f>F$9*D11</f>
        <v>35564.240700000002</v>
      </c>
      <c r="G11" s="169"/>
      <c r="H11" s="168"/>
      <c r="I11" s="152" t="s">
        <v>260</v>
      </c>
      <c r="L11" s="168">
        <v>57362</v>
      </c>
      <c r="M11" s="168"/>
      <c r="N11" s="168">
        <f>N$9*L11</f>
        <v>37646.6806</v>
      </c>
      <c r="O11" s="169"/>
      <c r="P11" s="168">
        <f>D11-L11</f>
        <v>-3173</v>
      </c>
      <c r="R11" s="168">
        <f>R$9*P11</f>
        <v>-2082.4398999999999</v>
      </c>
    </row>
    <row r="12" spans="1:18">
      <c r="A12" s="152" t="s">
        <v>261</v>
      </c>
      <c r="D12" s="170">
        <v>466</v>
      </c>
      <c r="E12" s="170"/>
      <c r="F12" s="170">
        <f>F$9*D12</f>
        <v>305.83580000000001</v>
      </c>
      <c r="G12" s="171"/>
      <c r="H12" s="168"/>
      <c r="I12" s="152" t="s">
        <v>261</v>
      </c>
      <c r="L12" s="170">
        <v>466</v>
      </c>
      <c r="M12" s="170"/>
      <c r="N12" s="170">
        <f>N$9*L12</f>
        <v>305.83580000000001</v>
      </c>
      <c r="O12" s="171"/>
      <c r="P12" s="170"/>
      <c r="R12" s="170">
        <f>R$9*P12</f>
        <v>0</v>
      </c>
    </row>
    <row r="13" spans="1:18">
      <c r="A13" s="152" t="s">
        <v>262</v>
      </c>
      <c r="D13" s="170">
        <v>0</v>
      </c>
      <c r="E13" s="170"/>
      <c r="F13" s="170">
        <f>F$9*D13</f>
        <v>0</v>
      </c>
      <c r="G13" s="171"/>
      <c r="H13" s="168"/>
      <c r="I13" s="152" t="s">
        <v>262</v>
      </c>
      <c r="L13" s="170">
        <v>0</v>
      </c>
      <c r="M13" s="170"/>
      <c r="N13" s="170">
        <f>N$9*L13</f>
        <v>0</v>
      </c>
      <c r="O13" s="171"/>
      <c r="P13" s="170"/>
      <c r="R13" s="170">
        <f>R$9*P13</f>
        <v>0</v>
      </c>
    </row>
    <row r="14" spans="1:18">
      <c r="A14" s="152" t="s">
        <v>263</v>
      </c>
      <c r="C14" s="152" t="s">
        <v>257</v>
      </c>
      <c r="D14" s="172">
        <f>16428-D15-D16-300+1394</f>
        <v>17522</v>
      </c>
      <c r="E14" s="170"/>
      <c r="F14" s="172">
        <f>F$9*D14</f>
        <v>11499.688599999999</v>
      </c>
      <c r="G14" s="171"/>
      <c r="H14" s="173"/>
      <c r="I14" s="152" t="s">
        <v>263</v>
      </c>
      <c r="K14" s="152" t="s">
        <v>257</v>
      </c>
      <c r="L14" s="174">
        <f>16428-L15-L16-300</f>
        <v>16128</v>
      </c>
      <c r="M14" s="170"/>
      <c r="N14" s="170">
        <f>N$9*L14</f>
        <v>10584.806399999999</v>
      </c>
      <c r="O14" s="171"/>
      <c r="P14" s="168">
        <f>D14-L14</f>
        <v>1394</v>
      </c>
      <c r="R14" s="168">
        <f>R$9*P14</f>
        <v>914.88220000000001</v>
      </c>
    </row>
    <row r="15" spans="1:18">
      <c r="A15" s="152" t="s">
        <v>263</v>
      </c>
      <c r="C15" s="152" t="s">
        <v>264</v>
      </c>
      <c r="D15" s="174">
        <v>0</v>
      </c>
      <c r="E15" s="170"/>
      <c r="F15" s="171">
        <f>D15</f>
        <v>0</v>
      </c>
      <c r="G15" s="171"/>
      <c r="H15" s="175"/>
      <c r="I15" s="152" t="s">
        <v>263</v>
      </c>
      <c r="K15" s="152" t="s">
        <v>264</v>
      </c>
      <c r="L15" s="174">
        <v>0</v>
      </c>
      <c r="M15" s="170"/>
      <c r="N15" s="171">
        <f>L15</f>
        <v>0</v>
      </c>
      <c r="O15" s="171"/>
      <c r="P15" s="174"/>
      <c r="R15" s="171">
        <f>P15</f>
        <v>0</v>
      </c>
    </row>
    <row r="16" spans="1:18">
      <c r="A16" s="152" t="s">
        <v>263</v>
      </c>
      <c r="C16" s="152" t="s">
        <v>265</v>
      </c>
      <c r="D16" s="174">
        <v>0</v>
      </c>
      <c r="E16" s="170"/>
      <c r="F16" s="171">
        <v>0</v>
      </c>
      <c r="G16" s="171"/>
      <c r="H16" s="175"/>
      <c r="I16" s="152" t="s">
        <v>263</v>
      </c>
      <c r="K16" s="152" t="s">
        <v>265</v>
      </c>
      <c r="L16" s="174">
        <v>0</v>
      </c>
      <c r="M16" s="170"/>
      <c r="N16" s="171">
        <v>0</v>
      </c>
      <c r="O16" s="171"/>
      <c r="P16" s="174"/>
      <c r="R16" s="171">
        <v>0</v>
      </c>
    </row>
    <row r="17" spans="1:18">
      <c r="A17" s="152" t="s">
        <v>266</v>
      </c>
      <c r="D17" s="170">
        <v>0</v>
      </c>
      <c r="E17" s="170"/>
      <c r="F17" s="170">
        <f>F$9*D17</f>
        <v>0</v>
      </c>
      <c r="G17" s="171"/>
      <c r="H17" s="168"/>
      <c r="I17" s="152" t="s">
        <v>266</v>
      </c>
      <c r="L17" s="170">
        <v>0</v>
      </c>
      <c r="M17" s="170"/>
      <c r="N17" s="170">
        <f>N$9*L17</f>
        <v>0</v>
      </c>
      <c r="O17" s="171"/>
      <c r="P17" s="170"/>
      <c r="R17" s="170">
        <f>R$9*P17</f>
        <v>0</v>
      </c>
    </row>
    <row r="18" spans="1:18">
      <c r="A18" s="152" t="s">
        <v>267</v>
      </c>
      <c r="D18" s="176">
        <v>0</v>
      </c>
      <c r="E18" s="171"/>
      <c r="F18" s="176">
        <f>D18</f>
        <v>0</v>
      </c>
      <c r="G18" s="171"/>
      <c r="H18" s="168"/>
      <c r="I18" s="152" t="s">
        <v>267</v>
      </c>
      <c r="L18" s="176">
        <v>0</v>
      </c>
      <c r="M18" s="171"/>
      <c r="N18" s="176">
        <f>L18</f>
        <v>0</v>
      </c>
      <c r="O18" s="171"/>
      <c r="P18" s="176"/>
      <c r="R18" s="176">
        <f>P18</f>
        <v>0</v>
      </c>
    </row>
    <row r="19" spans="1:18">
      <c r="A19" s="152" t="s">
        <v>268</v>
      </c>
      <c r="D19" s="170">
        <f>SUM(D11:D18)</f>
        <v>72177</v>
      </c>
      <c r="E19" s="171"/>
      <c r="F19" s="170">
        <f>SUM(F11:F18)</f>
        <v>47369.765100000004</v>
      </c>
      <c r="G19" s="171"/>
      <c r="H19" s="168"/>
      <c r="I19" s="152" t="s">
        <v>268</v>
      </c>
      <c r="L19" s="170">
        <f>SUM(L11:L18)</f>
        <v>73956</v>
      </c>
      <c r="M19" s="171"/>
      <c r="N19" s="170">
        <f>SUM(N11:N18)</f>
        <v>48537.322800000002</v>
      </c>
      <c r="O19" s="171"/>
      <c r="P19" s="170">
        <f>SUM(P11:P18)</f>
        <v>-1779</v>
      </c>
      <c r="R19" s="170">
        <f>SUM(R11:R18)</f>
        <v>-1167.5576999999998</v>
      </c>
    </row>
    <row r="20" spans="1:18">
      <c r="D20" s="170"/>
      <c r="E20" s="171"/>
      <c r="F20" s="170"/>
      <c r="G20" s="171"/>
      <c r="H20" s="168"/>
      <c r="L20" s="170"/>
      <c r="M20" s="171"/>
      <c r="N20" s="170"/>
      <c r="O20" s="171"/>
      <c r="P20" s="170"/>
      <c r="R20" s="170"/>
    </row>
    <row r="21" spans="1:18">
      <c r="D21" s="170"/>
      <c r="E21" s="171"/>
      <c r="F21" s="170"/>
      <c r="G21" s="171"/>
      <c r="H21" s="168"/>
      <c r="L21" s="170"/>
      <c r="M21" s="171"/>
      <c r="N21" s="170"/>
      <c r="O21" s="171"/>
      <c r="P21" s="170"/>
      <c r="R21" s="170"/>
    </row>
    <row r="22" spans="1:18">
      <c r="A22" s="152" t="s">
        <v>269</v>
      </c>
      <c r="D22" s="172">
        <v>29154</v>
      </c>
      <c r="E22" s="171"/>
      <c r="F22" s="172">
        <f t="shared" ref="F22:F30" si="0">F$9*D22</f>
        <v>19133.770199999999</v>
      </c>
      <c r="G22" s="171"/>
      <c r="H22" s="168"/>
      <c r="I22" s="152" t="s">
        <v>269</v>
      </c>
      <c r="L22" s="170">
        <v>29255</v>
      </c>
      <c r="M22" s="171"/>
      <c r="N22" s="170">
        <f t="shared" ref="N22:N30" si="1">N$9*L22</f>
        <v>19200.056499999999</v>
      </c>
      <c r="O22" s="171"/>
      <c r="P22" s="168">
        <f>D22-L22</f>
        <v>-101</v>
      </c>
      <c r="R22" s="170">
        <f t="shared" ref="R22:R26" si="2">R$9*P22</f>
        <v>-66.286299999999997</v>
      </c>
    </row>
    <row r="23" spans="1:18">
      <c r="A23" s="152" t="s">
        <v>270</v>
      </c>
      <c r="D23" s="170">
        <v>0</v>
      </c>
      <c r="E23" s="171"/>
      <c r="F23" s="170">
        <f t="shared" si="0"/>
        <v>0</v>
      </c>
      <c r="G23" s="171"/>
      <c r="H23" s="168"/>
      <c r="I23" s="152" t="s">
        <v>270</v>
      </c>
      <c r="L23" s="170">
        <v>0</v>
      </c>
      <c r="M23" s="171"/>
      <c r="N23" s="170">
        <f t="shared" si="1"/>
        <v>0</v>
      </c>
      <c r="O23" s="171"/>
      <c r="P23" s="170"/>
      <c r="R23" s="170">
        <f t="shared" si="2"/>
        <v>0</v>
      </c>
    </row>
    <row r="24" spans="1:18">
      <c r="A24" s="152" t="s">
        <v>271</v>
      </c>
      <c r="D24" s="172">
        <v>74377</v>
      </c>
      <c r="E24" s="171"/>
      <c r="F24" s="172">
        <f t="shared" si="0"/>
        <v>48813.625099999997</v>
      </c>
      <c r="G24" s="171"/>
      <c r="H24" s="168"/>
      <c r="I24" s="152" t="s">
        <v>271</v>
      </c>
      <c r="L24" s="170">
        <v>78650</v>
      </c>
      <c r="M24" s="171"/>
      <c r="N24" s="170">
        <f t="shared" si="1"/>
        <v>51617.995000000003</v>
      </c>
      <c r="O24" s="171"/>
      <c r="P24" s="168">
        <f>D24-L24</f>
        <v>-4273</v>
      </c>
      <c r="R24" s="170">
        <f t="shared" si="2"/>
        <v>-2804.3699000000001</v>
      </c>
    </row>
    <row r="25" spans="1:18">
      <c r="A25" s="152" t="s">
        <v>272</v>
      </c>
      <c r="D25" s="170">
        <v>1029</v>
      </c>
      <c r="E25" s="171"/>
      <c r="F25" s="170">
        <f t="shared" si="0"/>
        <v>675.33270000000005</v>
      </c>
      <c r="G25" s="171"/>
      <c r="H25" s="168"/>
      <c r="I25" s="152" t="s">
        <v>272</v>
      </c>
      <c r="L25" s="170">
        <v>1029</v>
      </c>
      <c r="M25" s="171"/>
      <c r="N25" s="170">
        <f t="shared" si="1"/>
        <v>675.33270000000005</v>
      </c>
      <c r="O25" s="171"/>
      <c r="P25" s="170"/>
      <c r="R25" s="170">
        <f t="shared" si="2"/>
        <v>0</v>
      </c>
    </row>
    <row r="26" spans="1:18">
      <c r="A26" s="152" t="s">
        <v>273</v>
      </c>
      <c r="D26" s="172">
        <v>111499</v>
      </c>
      <c r="E26" s="171"/>
      <c r="F26" s="172">
        <f t="shared" si="0"/>
        <v>73176.793699999995</v>
      </c>
      <c r="G26" s="171"/>
      <c r="H26" s="168"/>
      <c r="I26" s="152" t="s">
        <v>273</v>
      </c>
      <c r="L26" s="170">
        <v>111447</v>
      </c>
      <c r="M26" s="171"/>
      <c r="N26" s="170">
        <f t="shared" si="1"/>
        <v>73142.666100000002</v>
      </c>
      <c r="O26" s="171"/>
      <c r="P26" s="168">
        <f>D26-L26</f>
        <v>52</v>
      </c>
      <c r="R26" s="170">
        <f t="shared" si="2"/>
        <v>34.127600000000001</v>
      </c>
    </row>
    <row r="27" spans="1:18">
      <c r="A27" s="152" t="s">
        <v>274</v>
      </c>
      <c r="D27" s="170">
        <v>0</v>
      </c>
      <c r="E27" s="171"/>
      <c r="F27" s="174">
        <v>0</v>
      </c>
      <c r="G27" s="171"/>
      <c r="I27" s="152" t="s">
        <v>274</v>
      </c>
      <c r="L27" s="170">
        <v>0</v>
      </c>
      <c r="M27" s="171"/>
      <c r="N27" s="174">
        <v>0</v>
      </c>
      <c r="O27" s="171"/>
      <c r="P27" s="170"/>
      <c r="R27" s="174">
        <v>0</v>
      </c>
    </row>
    <row r="28" spans="1:18">
      <c r="A28" s="152" t="s">
        <v>275</v>
      </c>
      <c r="D28" s="170">
        <v>0</v>
      </c>
      <c r="E28" s="171"/>
      <c r="F28" s="170">
        <f t="shared" si="0"/>
        <v>0</v>
      </c>
      <c r="G28" s="171"/>
      <c r="H28" s="168"/>
      <c r="I28" s="152" t="s">
        <v>275</v>
      </c>
      <c r="L28" s="170">
        <v>0</v>
      </c>
      <c r="M28" s="171"/>
      <c r="N28" s="170">
        <f t="shared" si="1"/>
        <v>0</v>
      </c>
      <c r="O28" s="171"/>
      <c r="P28" s="170"/>
      <c r="R28" s="170">
        <f t="shared" ref="R28:R30" si="3">R$9*P28</f>
        <v>0</v>
      </c>
    </row>
    <row r="29" spans="1:18">
      <c r="A29" s="152" t="s">
        <v>276</v>
      </c>
      <c r="D29" s="170">
        <v>0</v>
      </c>
      <c r="E29" s="171"/>
      <c r="F29" s="170">
        <f t="shared" si="0"/>
        <v>0</v>
      </c>
      <c r="G29" s="171"/>
      <c r="H29" s="168"/>
      <c r="I29" s="152" t="s">
        <v>276</v>
      </c>
      <c r="L29" s="170">
        <v>0</v>
      </c>
      <c r="M29" s="171"/>
      <c r="N29" s="170">
        <f t="shared" si="1"/>
        <v>0</v>
      </c>
      <c r="O29" s="171"/>
      <c r="P29" s="170"/>
      <c r="R29" s="170">
        <f t="shared" si="3"/>
        <v>0</v>
      </c>
    </row>
    <row r="30" spans="1:18">
      <c r="A30" s="152" t="s">
        <v>277</v>
      </c>
      <c r="D30" s="170">
        <v>407</v>
      </c>
      <c r="E30" s="171"/>
      <c r="F30" s="170">
        <f t="shared" si="0"/>
        <v>267.11410000000001</v>
      </c>
      <c r="G30" s="171"/>
      <c r="H30" s="168"/>
      <c r="I30" s="152" t="s">
        <v>277</v>
      </c>
      <c r="L30" s="170">
        <v>407</v>
      </c>
      <c r="M30" s="171"/>
      <c r="N30" s="170">
        <f t="shared" si="1"/>
        <v>267.11410000000001</v>
      </c>
      <c r="O30" s="171"/>
      <c r="P30" s="170"/>
      <c r="R30" s="170">
        <f t="shared" si="3"/>
        <v>0</v>
      </c>
    </row>
    <row r="31" spans="1:18">
      <c r="A31" s="152" t="s">
        <v>278</v>
      </c>
      <c r="D31" s="170">
        <v>0</v>
      </c>
      <c r="E31" s="171"/>
      <c r="F31" s="174">
        <v>0</v>
      </c>
      <c r="G31" s="171"/>
      <c r="H31" s="177"/>
      <c r="I31" s="152" t="s">
        <v>278</v>
      </c>
      <c r="L31" s="170">
        <v>0</v>
      </c>
      <c r="M31" s="171"/>
      <c r="N31" s="174">
        <v>0</v>
      </c>
      <c r="O31" s="171"/>
      <c r="P31" s="170"/>
      <c r="R31" s="174">
        <v>0</v>
      </c>
    </row>
    <row r="32" spans="1:18">
      <c r="A32" s="152" t="s">
        <v>279</v>
      </c>
      <c r="D32" s="172">
        <v>17595</v>
      </c>
      <c r="E32" s="171"/>
      <c r="F32" s="172">
        <f>F$9*D32</f>
        <v>11547.5985</v>
      </c>
      <c r="G32" s="171"/>
      <c r="H32" s="168"/>
      <c r="I32" s="152" t="s">
        <v>279</v>
      </c>
      <c r="L32" s="170">
        <v>18169</v>
      </c>
      <c r="M32" s="171"/>
      <c r="N32" s="170">
        <f>N$9*L32</f>
        <v>11924.314699999999</v>
      </c>
      <c r="O32" s="171"/>
      <c r="P32" s="168">
        <f>D32-L32</f>
        <v>-574</v>
      </c>
      <c r="R32" s="170">
        <f>R$9*P32</f>
        <v>-376.71620000000001</v>
      </c>
    </row>
    <row r="33" spans="1:20">
      <c r="A33" s="152" t="s">
        <v>280</v>
      </c>
      <c r="D33" s="178">
        <f>SUM(D22:D32)</f>
        <v>234061</v>
      </c>
      <c r="E33" s="171"/>
      <c r="F33" s="178">
        <f>SUM(F22:F32)</f>
        <v>153614.23429999998</v>
      </c>
      <c r="G33" s="171"/>
      <c r="H33" s="168"/>
      <c r="I33" s="152" t="s">
        <v>280</v>
      </c>
      <c r="L33" s="178">
        <f>SUM(L22:L32)</f>
        <v>238957</v>
      </c>
      <c r="M33" s="171"/>
      <c r="N33" s="178">
        <f>SUM(N22:N32)</f>
        <v>156827.4791</v>
      </c>
      <c r="O33" s="171"/>
      <c r="P33" s="178">
        <f>SUM(P22:P32)</f>
        <v>-4896</v>
      </c>
      <c r="R33" s="178">
        <f>SUM(R22:R32)</f>
        <v>-3213.2448000000004</v>
      </c>
    </row>
    <row r="34" spans="1:20">
      <c r="G34" s="156"/>
      <c r="H34" s="168"/>
      <c r="O34" s="156"/>
    </row>
    <row r="35" spans="1:20">
      <c r="A35" s="152" t="s">
        <v>281</v>
      </c>
      <c r="D35" s="170">
        <f>D19-D33</f>
        <v>-161884</v>
      </c>
      <c r="E35" s="170"/>
      <c r="F35" s="170">
        <f>F19-F33</f>
        <v>-106244.46919999998</v>
      </c>
      <c r="G35" s="171"/>
      <c r="H35" s="168"/>
      <c r="I35" s="152" t="s">
        <v>281</v>
      </c>
      <c r="L35" s="170">
        <f>L19-L33</f>
        <v>-165001</v>
      </c>
      <c r="M35" s="170"/>
      <c r="N35" s="170">
        <f>N19-N33</f>
        <v>-108290.1563</v>
      </c>
      <c r="O35" s="171"/>
      <c r="P35" s="179">
        <f>P19-P33</f>
        <v>3117</v>
      </c>
      <c r="R35" s="179">
        <f>R19-R33</f>
        <v>2045.6871000000006</v>
      </c>
    </row>
    <row r="36" spans="1:20">
      <c r="E36" s="170"/>
      <c r="F36" s="170"/>
      <c r="G36" s="170"/>
      <c r="M36" s="170"/>
      <c r="N36" s="170"/>
      <c r="O36" s="170"/>
      <c r="R36" s="170"/>
    </row>
    <row r="37" spans="1:20">
      <c r="A37" s="152" t="s">
        <v>282</v>
      </c>
      <c r="C37" s="180">
        <v>0.35</v>
      </c>
      <c r="E37" s="169"/>
      <c r="F37" s="176">
        <f>C37*F35</f>
        <v>-37185.564219999993</v>
      </c>
      <c r="G37" s="168"/>
      <c r="I37" s="152" t="s">
        <v>282</v>
      </c>
      <c r="K37" s="180">
        <v>0.35</v>
      </c>
      <c r="M37" s="169"/>
      <c r="N37" s="176">
        <f>K37*N35</f>
        <v>-37901.554704999995</v>
      </c>
      <c r="O37" s="168"/>
      <c r="R37" s="176">
        <f>K37*R35</f>
        <v>715.99048500000015</v>
      </c>
    </row>
    <row r="38" spans="1:20">
      <c r="E38" s="169"/>
      <c r="F38" s="168"/>
      <c r="G38" s="168"/>
      <c r="M38" s="169"/>
      <c r="N38" s="168"/>
      <c r="O38" s="168"/>
      <c r="R38" s="168"/>
    </row>
    <row r="39" spans="1:20">
      <c r="A39" s="152" t="s">
        <v>283</v>
      </c>
      <c r="E39" s="170"/>
      <c r="F39" s="168">
        <f>F35-F37-1</f>
        <v>-69059.904979999992</v>
      </c>
      <c r="G39" s="170"/>
      <c r="I39" s="152" t="s">
        <v>283</v>
      </c>
      <c r="M39" s="170"/>
      <c r="N39" s="168">
        <f>N35-N37-1</f>
        <v>-70389.601595000015</v>
      </c>
      <c r="O39" s="170"/>
      <c r="R39" s="184">
        <f>R35-R37</f>
        <v>1329.6966150000003</v>
      </c>
    </row>
    <row r="40" spans="1:20">
      <c r="E40" s="170"/>
      <c r="F40" s="170"/>
      <c r="G40" s="170"/>
      <c r="M40" s="170"/>
      <c r="N40" s="170"/>
      <c r="O40" s="170"/>
      <c r="R40" s="170"/>
    </row>
    <row r="41" spans="1:20">
      <c r="A41" s="181" t="s">
        <v>284</v>
      </c>
      <c r="I41" s="182"/>
      <c r="M41" s="183" t="s">
        <v>285</v>
      </c>
      <c r="N41" s="152">
        <v>0.61931000000000003</v>
      </c>
      <c r="R41" s="184">
        <f>R39/N41</f>
        <v>2147.0614312702851</v>
      </c>
      <c r="S41" s="203" t="s">
        <v>289</v>
      </c>
    </row>
    <row r="42" spans="1:20">
      <c r="A42" s="181"/>
      <c r="I42" s="182"/>
      <c r="M42" s="183"/>
      <c r="R42" s="193"/>
      <c r="S42" s="204"/>
      <c r="T42" s="196"/>
    </row>
    <row r="43" spans="1:20">
      <c r="A43" s="182"/>
      <c r="I43" s="182"/>
      <c r="N43" s="181" t="s">
        <v>286</v>
      </c>
      <c r="O43" s="181"/>
      <c r="P43" s="181"/>
      <c r="Q43" s="181"/>
      <c r="R43" s="195">
        <v>620</v>
      </c>
      <c r="S43" s="200">
        <f>R43/1.015632+1</f>
        <v>611.45733100178006</v>
      </c>
      <c r="T43" s="196"/>
    </row>
    <row r="44" spans="1:20" ht="13.5" thickBot="1">
      <c r="A44" s="182"/>
      <c r="I44" s="182"/>
      <c r="N44" s="181"/>
      <c r="O44" s="181"/>
      <c r="P44" s="181"/>
      <c r="Q44" s="181"/>
      <c r="R44" s="193"/>
      <c r="S44" s="196"/>
      <c r="T44" s="196"/>
    </row>
    <row r="45" spans="1:20" s="185" customFormat="1" ht="13.5" thickBot="1">
      <c r="D45" s="174"/>
      <c r="E45" s="186"/>
      <c r="F45" s="174"/>
      <c r="G45" s="186"/>
      <c r="H45" s="177"/>
      <c r="L45" s="174"/>
      <c r="M45" s="186"/>
      <c r="N45" s="189" t="s">
        <v>287</v>
      </c>
      <c r="O45" s="190"/>
      <c r="P45" s="190"/>
      <c r="Q45" s="191"/>
      <c r="R45" s="192">
        <f>R41-R43</f>
        <v>1527.0614312702851</v>
      </c>
      <c r="S45" s="197"/>
      <c r="T45" s="197"/>
    </row>
    <row r="46" spans="1:20" s="185" customFormat="1" ht="13.5" thickBot="1">
      <c r="D46" s="174"/>
      <c r="E46" s="186"/>
      <c r="F46" s="174"/>
      <c r="G46" s="186"/>
      <c r="H46" s="177"/>
      <c r="L46" s="174"/>
      <c r="M46" s="186"/>
      <c r="N46" s="174"/>
      <c r="O46" s="186"/>
      <c r="P46" s="174"/>
      <c r="R46" s="174"/>
      <c r="S46" s="197"/>
      <c r="T46" s="197"/>
    </row>
    <row r="47" spans="1:20" s="185" customFormat="1" ht="15.75" thickBot="1">
      <c r="A47" s="187" t="s">
        <v>288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94">
        <f>R45/1.018986-1</f>
        <v>1497.6088437626083</v>
      </c>
      <c r="S47" s="201">
        <f>R47</f>
        <v>1497.6088437626083</v>
      </c>
      <c r="T47" s="197"/>
    </row>
    <row r="48" spans="1:20">
      <c r="S48" s="196"/>
      <c r="T48" s="196"/>
    </row>
    <row r="49" spans="18:20" ht="13.5" thickBot="1">
      <c r="R49" s="198" t="s">
        <v>290</v>
      </c>
      <c r="S49" s="199">
        <f>S43+S47</f>
        <v>2109.0661747643885</v>
      </c>
      <c r="T49" s="196"/>
    </row>
    <row r="50" spans="18:20" ht="13.5" thickTop="1">
      <c r="S50" s="182"/>
      <c r="T50" s="182"/>
    </row>
  </sheetData>
  <mergeCells count="3">
    <mergeCell ref="A4:F4"/>
    <mergeCell ref="I4:N4"/>
    <mergeCell ref="S41:S42"/>
  </mergeCells>
  <pageMargins left="1.05" right="0.34" top="0.75" bottom="0.77" header="0.5" footer="0.52"/>
  <pageSetup scale="65" orientation="landscape" r:id="rId1"/>
  <headerFooter scaleWithDoc="0" alignWithMargins="0">
    <oddHeader>&amp;CAttachment C</oddHeader>
    <oddFooter>&amp;CNOVEMBER 2016 POWER SUPPLY UPDATE&amp;RPage 2 of 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684"/>
  <sheetViews>
    <sheetView view="pageBreakPreview" zoomScale="115" zoomScaleNormal="100" zoomScaleSheetLayoutView="115" workbookViewId="0">
      <selection activeCell="B11" sqref="B11"/>
    </sheetView>
  </sheetViews>
  <sheetFormatPr defaultColWidth="11.42578125" defaultRowHeight="12.75"/>
  <cols>
    <col min="1" max="1" width="6.140625" style="4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18.7109375" style="20" customWidth="1"/>
    <col min="10" max="10" width="15.85546875" customWidth="1"/>
    <col min="11" max="11" width="12" customWidth="1"/>
  </cols>
  <sheetData>
    <row r="1" spans="1:22">
      <c r="A1" s="8"/>
      <c r="B1" s="8"/>
      <c r="C1" s="14" t="s">
        <v>31</v>
      </c>
      <c r="F1"/>
      <c r="G1"/>
      <c r="H1"/>
      <c r="I1"/>
    </row>
    <row r="2" spans="1:22">
      <c r="A2" s="8"/>
      <c r="B2" s="8"/>
      <c r="C2" s="14" t="s">
        <v>172</v>
      </c>
      <c r="F2"/>
      <c r="G2"/>
      <c r="H2"/>
      <c r="I2"/>
    </row>
    <row r="3" spans="1:22">
      <c r="A3" s="10"/>
      <c r="B3" s="8"/>
      <c r="C3" s="14" t="s">
        <v>236</v>
      </c>
      <c r="F3"/>
      <c r="G3"/>
      <c r="H3"/>
      <c r="I3" s="72"/>
      <c r="K3">
        <v>-367.49129001798519</v>
      </c>
      <c r="L3">
        <v>-217.95841131731828</v>
      </c>
      <c r="M3">
        <v>95.716790636442511</v>
      </c>
      <c r="N3">
        <v>20.853349544480498</v>
      </c>
      <c r="O3">
        <v>151.78331407271318</v>
      </c>
      <c r="P3">
        <v>164.82384604662656</v>
      </c>
      <c r="Q3">
        <v>13.003959042578842</v>
      </c>
      <c r="R3">
        <v>-68.733011397978302</v>
      </c>
      <c r="S3">
        <v>-73.169138980656712</v>
      </c>
      <c r="T3">
        <v>-65.480886194761695</v>
      </c>
      <c r="U3">
        <v>-67.801545360684301</v>
      </c>
      <c r="V3">
        <v>-104.7795808488502</v>
      </c>
    </row>
    <row r="4" spans="1:22">
      <c r="A4" s="10"/>
      <c r="B4" s="8"/>
      <c r="C4" s="126" t="s">
        <v>235</v>
      </c>
      <c r="F4"/>
      <c r="G4"/>
      <c r="H4"/>
      <c r="I4" s="72"/>
    </row>
    <row r="5" spans="1:22" ht="12.75" customHeight="1">
      <c r="A5" s="5"/>
      <c r="C5" s="126"/>
      <c r="D5" s="11"/>
      <c r="E5" s="11"/>
      <c r="F5" s="11"/>
      <c r="G5" s="11"/>
      <c r="H5" s="11" t="s">
        <v>126</v>
      </c>
      <c r="I5" s="82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229</v>
      </c>
      <c r="E6" s="11"/>
      <c r="F6" s="11" t="s">
        <v>237</v>
      </c>
      <c r="G6" s="53"/>
      <c r="H6" s="53" t="s">
        <v>125</v>
      </c>
      <c r="I6" s="83"/>
    </row>
    <row r="7" spans="1:22">
      <c r="A7" s="45" t="s">
        <v>1</v>
      </c>
      <c r="D7" s="15" t="s">
        <v>2</v>
      </c>
      <c r="E7" s="1" t="s">
        <v>3</v>
      </c>
      <c r="F7" s="15" t="s">
        <v>209</v>
      </c>
      <c r="G7" s="15"/>
      <c r="H7" s="15" t="s">
        <v>153</v>
      </c>
      <c r="I7" s="86" t="s">
        <v>116</v>
      </c>
      <c r="J7" s="79" t="s">
        <v>32</v>
      </c>
      <c r="K7" s="47">
        <v>41639</v>
      </c>
      <c r="L7" s="47">
        <v>41670</v>
      </c>
      <c r="M7" s="47">
        <v>41698</v>
      </c>
      <c r="N7" s="47">
        <v>41729</v>
      </c>
      <c r="O7" s="47">
        <v>41759</v>
      </c>
      <c r="P7" s="47">
        <v>41790</v>
      </c>
      <c r="Q7" s="47">
        <v>41455</v>
      </c>
      <c r="R7" s="47">
        <v>41486</v>
      </c>
      <c r="S7" s="47">
        <v>41517</v>
      </c>
      <c r="T7" s="47">
        <v>41547</v>
      </c>
      <c r="U7" s="47">
        <v>41578</v>
      </c>
      <c r="V7" s="47">
        <v>41608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6" si="0">A8+1</f>
        <v>1</v>
      </c>
      <c r="B9" t="s">
        <v>215</v>
      </c>
      <c r="D9" s="18">
        <v>0</v>
      </c>
      <c r="E9" s="18">
        <f t="shared" ref="E9:E15" si="1">F9-D9</f>
        <v>8203.1184865326431</v>
      </c>
      <c r="F9" s="18">
        <v>8203.1184865326431</v>
      </c>
      <c r="G9" s="18"/>
      <c r="H9" s="18">
        <v>20917.018981429192</v>
      </c>
      <c r="I9" s="94" t="s">
        <v>121</v>
      </c>
      <c r="J9" s="3">
        <f t="shared" ref="J9:J14" si="2">SUM(K9:V9)/1000</f>
        <v>8203.1184865326431</v>
      </c>
      <c r="K9" s="56">
        <v>326824.851631</v>
      </c>
      <c r="L9" s="56">
        <v>434655.39400149102</v>
      </c>
      <c r="M9" s="56">
        <v>342882.89102315903</v>
      </c>
      <c r="N9" s="56">
        <v>59463.102008821399</v>
      </c>
      <c r="O9" s="56">
        <v>17650.528671767097</v>
      </c>
      <c r="P9" s="56">
        <v>336115.88123454695</v>
      </c>
      <c r="Q9" s="56">
        <f>'WGJ-4'!J13</f>
        <v>994662.84832954395</v>
      </c>
      <c r="R9" s="56">
        <f>'WGJ-4'!K13</f>
        <v>2295339.81351852</v>
      </c>
      <c r="S9" s="56">
        <f>'WGJ-4'!L13</f>
        <v>986610.35695783701</v>
      </c>
      <c r="T9" s="56">
        <f>'WGJ-4'!M13</f>
        <v>957912.55381992005</v>
      </c>
      <c r="U9" s="56">
        <f>'WGJ-4'!N13</f>
        <v>845349.97408389999</v>
      </c>
      <c r="V9" s="56">
        <f>'WGJ-4'!O13</f>
        <v>605650.291252136</v>
      </c>
    </row>
    <row r="10" spans="1:22">
      <c r="A10" s="5">
        <f t="shared" si="0"/>
        <v>2</v>
      </c>
      <c r="B10" t="s">
        <v>216</v>
      </c>
      <c r="D10" s="88">
        <f>84386+1</f>
        <v>84387</v>
      </c>
      <c r="E10" s="19">
        <f t="shared" si="1"/>
        <v>-84387</v>
      </c>
      <c r="F10" s="148">
        <v>0</v>
      </c>
      <c r="G10" s="18"/>
      <c r="H10" s="18"/>
      <c r="I10" s="94"/>
      <c r="J10" s="3">
        <f t="shared" si="2"/>
        <v>0</v>
      </c>
      <c r="K10" s="56"/>
      <c r="L10" s="56"/>
      <c r="M10" s="56"/>
      <c r="N10" s="56"/>
      <c r="O10" s="56"/>
      <c r="P10" s="56"/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</row>
    <row r="11" spans="1:22">
      <c r="A11" s="5">
        <f t="shared" si="0"/>
        <v>3</v>
      </c>
      <c r="B11" t="s">
        <v>217</v>
      </c>
      <c r="D11" s="88">
        <v>0</v>
      </c>
      <c r="E11" s="19">
        <f t="shared" si="1"/>
        <v>-366.96020374035243</v>
      </c>
      <c r="F11" s="148">
        <v>-366.96020374035243</v>
      </c>
      <c r="G11" s="18"/>
      <c r="H11" s="18"/>
      <c r="I11" s="94"/>
      <c r="J11" s="3">
        <f t="shared" si="2"/>
        <v>-366.96020374035243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13003.959042578841</v>
      </c>
      <c r="R11" s="56">
        <v>-68733.011397978305</v>
      </c>
      <c r="S11" s="56">
        <v>-73169.138980656717</v>
      </c>
      <c r="T11" s="56">
        <v>-65480.886194761697</v>
      </c>
      <c r="U11" s="56">
        <v>-67801.545360684308</v>
      </c>
      <c r="V11" s="56">
        <v>-104779.58084885021</v>
      </c>
    </row>
    <row r="12" spans="1:22">
      <c r="A12" s="5">
        <f t="shared" si="0"/>
        <v>4</v>
      </c>
      <c r="B12" t="s">
        <v>186</v>
      </c>
      <c r="D12" s="88">
        <v>13315</v>
      </c>
      <c r="E12" s="19">
        <f t="shared" si="1"/>
        <v>923.17459999999846</v>
      </c>
      <c r="F12" s="88">
        <v>14238.174599999998</v>
      </c>
      <c r="G12" s="22"/>
      <c r="H12" s="22"/>
      <c r="I12" s="19"/>
      <c r="J12" s="3">
        <f t="shared" si="2"/>
        <v>14238.174599999998</v>
      </c>
      <c r="K12" s="55">
        <v>1216938</v>
      </c>
      <c r="L12" s="55">
        <v>1216938</v>
      </c>
      <c r="M12" s="55">
        <v>1216938</v>
      </c>
      <c r="N12" s="55">
        <v>1216938</v>
      </c>
      <c r="O12" s="55">
        <v>1216938</v>
      </c>
      <c r="P12" s="55">
        <v>1216938</v>
      </c>
      <c r="Q12" s="55">
        <v>1156091.0999999999</v>
      </c>
      <c r="R12" s="55">
        <v>1156091.0999999999</v>
      </c>
      <c r="S12" s="55">
        <v>1156091.0999999999</v>
      </c>
      <c r="T12" s="55">
        <v>1156091.0999999999</v>
      </c>
      <c r="U12" s="55">
        <v>1156091.0999999999</v>
      </c>
      <c r="V12" s="55">
        <v>1156091.0999999999</v>
      </c>
    </row>
    <row r="13" spans="1:22">
      <c r="A13" s="5">
        <f t="shared" si="0"/>
        <v>5</v>
      </c>
      <c r="B13" t="s">
        <v>175</v>
      </c>
      <c r="D13" s="88">
        <v>1703</v>
      </c>
      <c r="E13" s="19">
        <f t="shared" si="1"/>
        <v>194.54552499999977</v>
      </c>
      <c r="F13" s="149">
        <v>1897.5455249999998</v>
      </c>
      <c r="G13" s="22"/>
      <c r="H13" s="22">
        <v>1177</v>
      </c>
      <c r="I13" s="19"/>
      <c r="J13" s="3">
        <f t="shared" si="2"/>
        <v>1897.5455249999998</v>
      </c>
      <c r="K13" s="55">
        <v>158915.50416666668</v>
      </c>
      <c r="L13" s="55">
        <v>158915.50416666668</v>
      </c>
      <c r="M13" s="55">
        <v>158915.50416666668</v>
      </c>
      <c r="N13" s="55">
        <v>158915.50416666668</v>
      </c>
      <c r="O13" s="55">
        <v>158915.50416666668</v>
      </c>
      <c r="P13" s="55">
        <v>158915.50416666668</v>
      </c>
      <c r="Q13" s="55">
        <f t="shared" ref="Q13:V13" si="3">1888105/12</f>
        <v>157342.08333333334</v>
      </c>
      <c r="R13" s="55">
        <f t="shared" si="3"/>
        <v>157342.08333333334</v>
      </c>
      <c r="S13" s="55">
        <f t="shared" si="3"/>
        <v>157342.08333333334</v>
      </c>
      <c r="T13" s="55">
        <f t="shared" si="3"/>
        <v>157342.08333333334</v>
      </c>
      <c r="U13" s="55">
        <f t="shared" si="3"/>
        <v>157342.08333333334</v>
      </c>
      <c r="V13" s="55">
        <f t="shared" si="3"/>
        <v>157342.08333333334</v>
      </c>
    </row>
    <row r="14" spans="1:22">
      <c r="A14" s="5">
        <f t="shared" si="0"/>
        <v>6</v>
      </c>
      <c r="B14" t="s">
        <v>176</v>
      </c>
      <c r="D14" s="88">
        <v>2482</v>
      </c>
      <c r="E14" s="19">
        <f t="shared" si="1"/>
        <v>-2482</v>
      </c>
      <c r="F14" s="90">
        <v>0</v>
      </c>
      <c r="G14" s="22"/>
      <c r="H14" s="22"/>
      <c r="I14" s="19"/>
      <c r="J14" s="3">
        <f t="shared" si="2"/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</row>
    <row r="15" spans="1:22">
      <c r="A15" s="5">
        <f t="shared" si="0"/>
        <v>7</v>
      </c>
      <c r="B15" t="s">
        <v>148</v>
      </c>
      <c r="D15" s="88">
        <v>7118</v>
      </c>
      <c r="E15" s="19">
        <f t="shared" si="1"/>
        <v>1101.1856189233094</v>
      </c>
      <c r="F15" s="149">
        <v>8219.1856189233094</v>
      </c>
      <c r="G15" s="93"/>
      <c r="H15" s="19">
        <v>0</v>
      </c>
      <c r="I15" s="93" t="s">
        <v>133</v>
      </c>
      <c r="J15" s="3">
        <f t="shared" ref="J15:J28" si="4">SUM(K15:V15)/1000</f>
        <v>8219.1856189233094</v>
      </c>
      <c r="K15" s="55">
        <v>883492.27825034282</v>
      </c>
      <c r="L15" s="55">
        <v>712407.46943695156</v>
      </c>
      <c r="M15" s="55">
        <v>690439.19861244084</v>
      </c>
      <c r="N15" s="55">
        <v>652738.35348430753</v>
      </c>
      <c r="O15" s="55">
        <v>728567.47792011034</v>
      </c>
      <c r="P15" s="55">
        <v>703395.14982032508</v>
      </c>
      <c r="Q15" s="55">
        <f>Index!J53</f>
        <v>773481.77581780183</v>
      </c>
      <c r="R15" s="55">
        <f>Index!K53</f>
        <v>683442.61873856559</v>
      </c>
      <c r="S15" s="55">
        <f>Index!L53</f>
        <v>493631.5322150765</v>
      </c>
      <c r="T15" s="55">
        <f>Index!M53</f>
        <v>480341.07474600425</v>
      </c>
      <c r="U15" s="55">
        <f>Index!N53</f>
        <v>649524.49520845129</v>
      </c>
      <c r="V15" s="55">
        <f>Index!O53</f>
        <v>767724.19467293238</v>
      </c>
    </row>
    <row r="16" spans="1:22">
      <c r="A16" s="5">
        <f t="shared" si="0"/>
        <v>8</v>
      </c>
      <c r="B16" t="s">
        <v>119</v>
      </c>
      <c r="D16" s="88">
        <v>1211</v>
      </c>
      <c r="E16" s="88">
        <f t="shared" ref="E16:E24" si="5">F16-D16</f>
        <v>120.41311407203762</v>
      </c>
      <c r="F16" s="149">
        <v>1331.4131140720376</v>
      </c>
      <c r="G16" s="88" t="s">
        <v>157</v>
      </c>
      <c r="H16" s="90">
        <v>5512</v>
      </c>
      <c r="I16" s="19"/>
      <c r="J16" s="3">
        <f t="shared" si="4"/>
        <v>1331.4131140720376</v>
      </c>
      <c r="K16" s="55">
        <v>53014.371016286459</v>
      </c>
      <c r="L16" s="55">
        <v>40118.444150656811</v>
      </c>
      <c r="M16" s="55">
        <v>94456.393511434289</v>
      </c>
      <c r="N16" s="55">
        <v>168474.50040786478</v>
      </c>
      <c r="O16" s="55">
        <v>209505.18704959075</v>
      </c>
      <c r="P16" s="55">
        <v>226512.68200613206</v>
      </c>
      <c r="Q16" s="55">
        <v>192940.87648729995</v>
      </c>
      <c r="R16" s="55">
        <v>137423.8842732975</v>
      </c>
      <c r="S16" s="55">
        <v>56311.915220387622</v>
      </c>
      <c r="T16" s="55">
        <v>61593.304430255128</v>
      </c>
      <c r="U16" s="55">
        <v>43005.025598436056</v>
      </c>
      <c r="V16" s="55">
        <v>48056.529920396053</v>
      </c>
    </row>
    <row r="17" spans="1:22">
      <c r="A17" s="5">
        <f t="shared" ref="A17:A27" si="6">A16+1</f>
        <v>9</v>
      </c>
      <c r="B17" t="s">
        <v>170</v>
      </c>
      <c r="D17" s="88">
        <v>22737</v>
      </c>
      <c r="E17" s="88">
        <f t="shared" si="5"/>
        <v>678.62866100003885</v>
      </c>
      <c r="F17" s="150">
        <v>23415.628661000039</v>
      </c>
      <c r="G17" s="90"/>
      <c r="H17" s="90"/>
      <c r="I17" s="19"/>
      <c r="J17" s="3">
        <f t="shared" si="4"/>
        <v>23415.628661000039</v>
      </c>
      <c r="K17" s="55">
        <v>1963447.4478646733</v>
      </c>
      <c r="L17" s="55">
        <v>1963447.4478646733</v>
      </c>
      <c r="M17" s="55">
        <v>1963447.4478646733</v>
      </c>
      <c r="N17" s="55">
        <v>1963447.4478646733</v>
      </c>
      <c r="O17" s="55">
        <v>1963447.4478646733</v>
      </c>
      <c r="P17" s="55">
        <v>1963447.4478646733</v>
      </c>
      <c r="Q17" s="55">
        <v>1939157.3289686665</v>
      </c>
      <c r="R17" s="55">
        <v>1939157.3289686665</v>
      </c>
      <c r="S17" s="55">
        <v>1939157.3289686665</v>
      </c>
      <c r="T17" s="55">
        <v>1939157.3289686665</v>
      </c>
      <c r="U17" s="55">
        <v>1939157.3289686665</v>
      </c>
      <c r="V17" s="55">
        <v>1939157.3289686665</v>
      </c>
    </row>
    <row r="18" spans="1:22">
      <c r="A18" s="5">
        <f t="shared" si="6"/>
        <v>10</v>
      </c>
      <c r="B18" t="s">
        <v>169</v>
      </c>
      <c r="D18" s="88">
        <v>2745</v>
      </c>
      <c r="E18" s="88">
        <f t="shared" si="5"/>
        <v>512.37148679749816</v>
      </c>
      <c r="F18" s="150">
        <v>3257.3714867974982</v>
      </c>
      <c r="G18" s="90"/>
      <c r="H18" s="90"/>
      <c r="I18" s="19"/>
      <c r="J18" s="3">
        <f t="shared" si="4"/>
        <v>3257.3714867974982</v>
      </c>
      <c r="K18" s="55">
        <v>376913.81837054231</v>
      </c>
      <c r="L18" s="55">
        <v>301241.49052165903</v>
      </c>
      <c r="M18" s="55">
        <v>327852.56161519722</v>
      </c>
      <c r="N18" s="55">
        <v>245509.66127001122</v>
      </c>
      <c r="O18" s="55">
        <v>124597.6789658004</v>
      </c>
      <c r="P18" s="55">
        <v>96771.793498165905</v>
      </c>
      <c r="Q18" s="55">
        <f>'WGJ-4'!J33*(2.059*1.012)</f>
        <v>201480.14290096864</v>
      </c>
      <c r="R18" s="55">
        <f>'WGJ-4'!K33*(2.059*1.012)</f>
        <v>273644.69082904037</v>
      </c>
      <c r="S18" s="55">
        <f>'WGJ-4'!L33*(2.059*1.012)</f>
        <v>298560.16312638181</v>
      </c>
      <c r="T18" s="55">
        <f>'WGJ-4'!M33*(2.059*1.012)</f>
        <v>324748.13544886693</v>
      </c>
      <c r="U18" s="55">
        <f>'WGJ-4'!N33*(2.059*1.012)</f>
        <v>321331.64039957098</v>
      </c>
      <c r="V18" s="55">
        <f>'WGJ-4'!O33*(2.059*1.012)</f>
        <v>364719.70985129348</v>
      </c>
    </row>
    <row r="19" spans="1:22">
      <c r="A19" s="5">
        <f t="shared" si="6"/>
        <v>11</v>
      </c>
      <c r="B19" t="s">
        <v>5</v>
      </c>
      <c r="D19" s="88">
        <v>13302</v>
      </c>
      <c r="E19" s="19">
        <f t="shared" si="5"/>
        <v>4666.4516565000049</v>
      </c>
      <c r="F19" s="149">
        <v>17968.451656500005</v>
      </c>
      <c r="G19" s="19" t="s">
        <v>157</v>
      </c>
      <c r="H19" s="19">
        <v>-2690</v>
      </c>
      <c r="I19" s="95" t="s">
        <v>158</v>
      </c>
      <c r="J19" s="3">
        <f t="shared" si="4"/>
        <v>17968.451656500005</v>
      </c>
      <c r="K19" s="56">
        <v>3709196.6715000002</v>
      </c>
      <c r="L19" s="56">
        <v>3309481.8000000003</v>
      </c>
      <c r="M19" s="56">
        <v>1833281.1135</v>
      </c>
      <c r="N19" s="56">
        <v>1802582.5050000001</v>
      </c>
      <c r="O19" s="56"/>
      <c r="P19" s="56"/>
      <c r="Q19" s="56"/>
      <c r="R19" s="56"/>
      <c r="S19" s="56"/>
      <c r="T19" s="56"/>
      <c r="U19" s="56">
        <v>3598202.4390000002</v>
      </c>
      <c r="V19" s="56">
        <v>3715707.1274999999</v>
      </c>
    </row>
    <row r="20" spans="1:22">
      <c r="A20" s="5">
        <f t="shared" si="6"/>
        <v>12</v>
      </c>
      <c r="B20" t="s">
        <v>6</v>
      </c>
      <c r="D20" s="88">
        <v>7</v>
      </c>
      <c r="E20" s="19">
        <f t="shared" si="5"/>
        <v>0</v>
      </c>
      <c r="F20" s="19">
        <v>6.9999999999999991</v>
      </c>
      <c r="G20" s="19"/>
      <c r="H20" s="19">
        <v>6679.5</v>
      </c>
      <c r="I20" s="19"/>
      <c r="J20" s="3">
        <f t="shared" si="4"/>
        <v>6.9999999999999991</v>
      </c>
      <c r="K20" s="55">
        <v>583.33333333333337</v>
      </c>
      <c r="L20" s="55">
        <v>583.33333333333337</v>
      </c>
      <c r="M20" s="55">
        <v>583.33333333333337</v>
      </c>
      <c r="N20" s="55">
        <v>583.33333333333337</v>
      </c>
      <c r="O20" s="55">
        <v>583.33333333333337</v>
      </c>
      <c r="P20" s="55">
        <v>583.33333333333337</v>
      </c>
      <c r="Q20" s="55">
        <f t="shared" ref="Q20:V20" si="7">$F20/12*1000</f>
        <v>583.33333333333326</v>
      </c>
      <c r="R20" s="55">
        <f t="shared" si="7"/>
        <v>583.33333333333326</v>
      </c>
      <c r="S20" s="55">
        <f t="shared" si="7"/>
        <v>583.33333333333326</v>
      </c>
      <c r="T20" s="55">
        <f t="shared" si="7"/>
        <v>583.33333333333326</v>
      </c>
      <c r="U20" s="55">
        <f t="shared" si="7"/>
        <v>583.33333333333326</v>
      </c>
      <c r="V20" s="55">
        <f t="shared" si="7"/>
        <v>583.33333333333326</v>
      </c>
    </row>
    <row r="21" spans="1:22">
      <c r="A21" s="5">
        <f t="shared" si="6"/>
        <v>13</v>
      </c>
      <c r="B21" t="s">
        <v>127</v>
      </c>
      <c r="D21" s="88">
        <v>1290</v>
      </c>
      <c r="E21" s="19">
        <f t="shared" si="5"/>
        <v>68.464124490446238</v>
      </c>
      <c r="F21" s="90">
        <v>1358.4641244904462</v>
      </c>
      <c r="G21" s="19" t="s">
        <v>157</v>
      </c>
      <c r="H21" s="90">
        <v>6132</v>
      </c>
      <c r="I21" s="19"/>
      <c r="J21" s="3">
        <f t="shared" si="4"/>
        <v>1358.4641244904462</v>
      </c>
      <c r="K21" s="55">
        <v>101777.21716415261</v>
      </c>
      <c r="L21" s="55">
        <v>122124.18402414545</v>
      </c>
      <c r="M21" s="55">
        <v>156259.97529834532</v>
      </c>
      <c r="N21" s="55">
        <v>174470.60051249905</v>
      </c>
      <c r="O21" s="55">
        <v>168952.86594441361</v>
      </c>
      <c r="P21" s="55">
        <v>147730.86448487977</v>
      </c>
      <c r="Q21" s="55">
        <v>128692.68468434841</v>
      </c>
      <c r="R21" s="55">
        <v>78476.746595809935</v>
      </c>
      <c r="S21" s="55">
        <v>53427.096850076006</v>
      </c>
      <c r="T21" s="55">
        <v>57263.917042848785</v>
      </c>
      <c r="U21" s="55">
        <v>75352.367671043787</v>
      </c>
      <c r="V21" s="55">
        <v>93935.604217883098</v>
      </c>
    </row>
    <row r="22" spans="1:22">
      <c r="A22" s="5">
        <f t="shared" si="6"/>
        <v>14</v>
      </c>
      <c r="B22" t="s">
        <v>145</v>
      </c>
      <c r="D22" s="88">
        <v>1346</v>
      </c>
      <c r="E22" s="19">
        <f t="shared" si="5"/>
        <v>421.59429936113179</v>
      </c>
      <c r="F22" s="148">
        <v>1767.5942993611318</v>
      </c>
      <c r="G22" s="19" t="s">
        <v>157</v>
      </c>
      <c r="H22" s="88">
        <v>6132</v>
      </c>
      <c r="I22" s="95" t="s">
        <v>123</v>
      </c>
      <c r="J22" s="3">
        <f t="shared" si="4"/>
        <v>1767.5942993611318</v>
      </c>
      <c r="K22" s="55">
        <v>164599.58115722626</v>
      </c>
      <c r="L22" s="55">
        <v>143975.72892578124</v>
      </c>
      <c r="M22" s="55">
        <v>112182.10648437501</v>
      </c>
      <c r="N22" s="55">
        <v>100086.907578125</v>
      </c>
      <c r="O22" s="55">
        <v>124646.78621093728</v>
      </c>
      <c r="P22" s="55">
        <v>95522.692421875006</v>
      </c>
      <c r="Q22" s="55">
        <v>170259.1400592771</v>
      </c>
      <c r="R22" s="55">
        <v>185136.1570371094</v>
      </c>
      <c r="S22" s="55">
        <v>155568.75823212863</v>
      </c>
      <c r="T22" s="55">
        <v>175218.1457185547</v>
      </c>
      <c r="U22" s="55">
        <v>164766.90273574222</v>
      </c>
      <c r="V22" s="55">
        <v>175631.3928</v>
      </c>
    </row>
    <row r="23" spans="1:22">
      <c r="A23" s="5">
        <f t="shared" si="6"/>
        <v>15</v>
      </c>
      <c r="B23" t="s">
        <v>7</v>
      </c>
      <c r="D23" s="88">
        <v>2330</v>
      </c>
      <c r="E23" s="19">
        <f t="shared" si="5"/>
        <v>626.30729323730611</v>
      </c>
      <c r="F23" s="88">
        <v>2956.3072932373061</v>
      </c>
      <c r="G23" s="19" t="s">
        <v>157</v>
      </c>
      <c r="H23" s="19">
        <v>6953.25</v>
      </c>
      <c r="I23" s="19"/>
      <c r="J23" s="3">
        <f t="shared" si="4"/>
        <v>2956.3072932373061</v>
      </c>
      <c r="K23" s="55">
        <v>365420.60972656251</v>
      </c>
      <c r="L23" s="55">
        <v>365277.35884277383</v>
      </c>
      <c r="M23" s="55">
        <v>491994.36247070343</v>
      </c>
      <c r="N23" s="55">
        <v>384599.63503133139</v>
      </c>
      <c r="O23" s="55">
        <v>356577.5050394698</v>
      </c>
      <c r="P23" s="55">
        <v>275141.46287190786</v>
      </c>
      <c r="Q23" s="55">
        <v>94880.820286458329</v>
      </c>
      <c r="R23" s="55">
        <v>-33904.298968098956</v>
      </c>
      <c r="S23" s="55">
        <v>8925.8123209635414</v>
      </c>
      <c r="T23" s="55">
        <v>107947.21971354166</v>
      </c>
      <c r="U23" s="55">
        <v>205954.81366699244</v>
      </c>
      <c r="V23" s="55">
        <v>333491.99223470083</v>
      </c>
    </row>
    <row r="24" spans="1:22">
      <c r="A24" s="5">
        <f t="shared" si="6"/>
        <v>16</v>
      </c>
      <c r="B24" t="s">
        <v>205</v>
      </c>
      <c r="D24" s="88">
        <v>5562</v>
      </c>
      <c r="E24" s="19">
        <f t="shared" si="5"/>
        <v>755.00991812254415</v>
      </c>
      <c r="F24" s="88">
        <v>6317.0099181225441</v>
      </c>
      <c r="G24" s="19" t="s">
        <v>157</v>
      </c>
      <c r="H24" s="19"/>
      <c r="I24" s="19"/>
      <c r="J24" s="3">
        <f t="shared" si="4"/>
        <v>6317.0099181225441</v>
      </c>
      <c r="K24" s="55">
        <v>507486.46364587406</v>
      </c>
      <c r="L24" s="55">
        <v>504989.29648803675</v>
      </c>
      <c r="M24" s="55">
        <v>461586.11395788298</v>
      </c>
      <c r="N24" s="55">
        <v>472591.65381969843</v>
      </c>
      <c r="O24" s="55">
        <v>488344.6847548809</v>
      </c>
      <c r="P24" s="55">
        <v>427274.59018847457</v>
      </c>
      <c r="Q24" s="55">
        <v>533290.85440172988</v>
      </c>
      <c r="R24" s="55">
        <v>619305.51740234368</v>
      </c>
      <c r="S24" s="55">
        <v>574355.96270507807</v>
      </c>
      <c r="T24" s="55">
        <v>636508.46778320312</v>
      </c>
      <c r="U24" s="55">
        <v>549383.94918945315</v>
      </c>
      <c r="V24" s="55">
        <v>541892.36378588679</v>
      </c>
    </row>
    <row r="25" spans="1:22">
      <c r="A25" s="5">
        <f t="shared" si="6"/>
        <v>17</v>
      </c>
      <c r="B25" t="s">
        <v>49</v>
      </c>
      <c r="D25" s="88">
        <v>34</v>
      </c>
      <c r="E25" s="19">
        <f t="shared" ref="E25:E28" si="8">F25-D25</f>
        <v>-34</v>
      </c>
      <c r="F25" s="19">
        <v>0</v>
      </c>
      <c r="G25" s="19"/>
      <c r="H25" s="19">
        <v>921</v>
      </c>
      <c r="I25" s="93" t="s">
        <v>115</v>
      </c>
      <c r="J25" s="3">
        <f t="shared" si="4"/>
        <v>0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>
      <c r="A26" s="5">
        <f t="shared" si="6"/>
        <v>18</v>
      </c>
      <c r="B26" t="s">
        <v>141</v>
      </c>
      <c r="D26" s="88">
        <v>1654</v>
      </c>
      <c r="E26" s="19">
        <f t="shared" si="8"/>
        <v>-1654</v>
      </c>
      <c r="F26" s="19">
        <v>0</v>
      </c>
      <c r="G26" s="19"/>
      <c r="H26" s="19"/>
      <c r="I26" s="19"/>
      <c r="J26" s="3">
        <f t="shared" si="4"/>
        <v>0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>
      <c r="A27" s="5">
        <f t="shared" si="6"/>
        <v>19</v>
      </c>
      <c r="B27" s="17" t="s">
        <v>204</v>
      </c>
      <c r="C27" s="17"/>
      <c r="D27" s="89">
        <v>16541</v>
      </c>
      <c r="E27" s="39">
        <f t="shared" si="8"/>
        <v>4387.6500848437499</v>
      </c>
      <c r="F27" s="89">
        <v>20928.65008484375</v>
      </c>
      <c r="G27" s="19" t="s">
        <v>157</v>
      </c>
      <c r="H27" s="19"/>
      <c r="I27" s="19"/>
      <c r="J27" s="3">
        <f t="shared" si="4"/>
        <v>20928.65008484375</v>
      </c>
      <c r="K27" s="55">
        <v>2365116.7749999999</v>
      </c>
      <c r="L27" s="55">
        <v>1846581.94921875</v>
      </c>
      <c r="M27" s="55">
        <v>2166356.1828124998</v>
      </c>
      <c r="N27" s="55">
        <v>1851863.41015625</v>
      </c>
      <c r="O27" s="55">
        <v>1629617.2453124998</v>
      </c>
      <c r="P27" s="55">
        <v>1306909.246875</v>
      </c>
      <c r="Q27" s="55">
        <v>1098639.9450000001</v>
      </c>
      <c r="R27" s="55">
        <v>1155240.9984375001</v>
      </c>
      <c r="S27" s="55">
        <v>1332899.80078125</v>
      </c>
      <c r="T27" s="55">
        <v>1638197.4740625003</v>
      </c>
      <c r="U27" s="55">
        <v>2113291.4765625</v>
      </c>
      <c r="V27" s="55">
        <v>2423935.5806249999</v>
      </c>
    </row>
    <row r="28" spans="1:22">
      <c r="A28" s="5">
        <f>A27+1</f>
        <v>20</v>
      </c>
      <c r="B28" t="s">
        <v>8</v>
      </c>
      <c r="D28" s="88">
        <f>SUM(D9:D27)</f>
        <v>177764</v>
      </c>
      <c r="E28" s="19">
        <f t="shared" si="8"/>
        <v>-66265.045334859635</v>
      </c>
      <c r="F28" s="19">
        <f>SUM(F9:F27)</f>
        <v>111498.95466514037</v>
      </c>
      <c r="G28" s="19"/>
      <c r="H28" s="19">
        <v>0</v>
      </c>
      <c r="I28" s="19"/>
      <c r="J28" s="3">
        <f t="shared" si="4"/>
        <v>111498.95466514037</v>
      </c>
      <c r="K28" s="25">
        <v>12193726.922826663</v>
      </c>
      <c r="L28" s="25">
        <v>11120737.400974918</v>
      </c>
      <c r="M28" s="25">
        <v>10017175.18465071</v>
      </c>
      <c r="N28" s="25">
        <v>9252264.6146335825</v>
      </c>
      <c r="O28" s="25">
        <v>7188344.245234143</v>
      </c>
      <c r="P28" s="25">
        <v>6955258.6487659803</v>
      </c>
      <c r="Q28" s="25">
        <f t="shared" ref="Q28:V28" si="9">SUM(Q9:Q27)</f>
        <v>7454506.8926453404</v>
      </c>
      <c r="R28" s="25">
        <f t="shared" si="9"/>
        <v>8578546.9621014427</v>
      </c>
      <c r="S28" s="25">
        <f t="shared" si="9"/>
        <v>7140296.1050638556</v>
      </c>
      <c r="T28" s="25">
        <f t="shared" si="9"/>
        <v>7627423.2522062669</v>
      </c>
      <c r="U28" s="25">
        <f t="shared" si="9"/>
        <v>11751535.384390738</v>
      </c>
      <c r="V28" s="25">
        <f t="shared" si="9"/>
        <v>12219139.051646713</v>
      </c>
    </row>
    <row r="29" spans="1:22">
      <c r="A29" s="5"/>
      <c r="D29" s="88"/>
      <c r="E29" s="19"/>
      <c r="F29" s="19"/>
      <c r="G29" s="19"/>
      <c r="H29" s="39">
        <v>3186</v>
      </c>
      <c r="I29" s="19"/>
      <c r="J29" s="3"/>
    </row>
    <row r="30" spans="1:22">
      <c r="A30" s="5"/>
      <c r="B30" s="7" t="s">
        <v>26</v>
      </c>
      <c r="D30" s="19"/>
      <c r="E30" s="19"/>
      <c r="F30" s="19"/>
      <c r="G30" s="19"/>
      <c r="H30" s="19">
        <v>0</v>
      </c>
      <c r="I30" s="19"/>
      <c r="J30" s="3"/>
    </row>
    <row r="31" spans="1:22">
      <c r="A31" s="5">
        <f>A28+1</f>
        <v>21</v>
      </c>
      <c r="B31" t="s">
        <v>12</v>
      </c>
      <c r="D31" s="88">
        <v>407</v>
      </c>
      <c r="E31" s="88">
        <f>F31-D31</f>
        <v>0</v>
      </c>
      <c r="F31" s="128">
        <v>407</v>
      </c>
      <c r="G31" s="93"/>
      <c r="H31" s="89">
        <v>150</v>
      </c>
      <c r="I31" s="93"/>
      <c r="J31" s="3">
        <f>SUM(K31:V31)/1000</f>
        <v>407.00000000000006</v>
      </c>
      <c r="K31" s="55">
        <v>33916.666666666664</v>
      </c>
      <c r="L31" s="55">
        <v>33916.666666666664</v>
      </c>
      <c r="M31" s="55">
        <v>33916.666666666664</v>
      </c>
      <c r="N31" s="55">
        <v>33916.666666666664</v>
      </c>
      <c r="O31" s="55">
        <v>33916.666666666664</v>
      </c>
      <c r="P31" s="55">
        <v>33916.666666666664</v>
      </c>
      <c r="Q31" s="55">
        <f t="shared" ref="Q31:V31" si="10">407000/12</f>
        <v>33916.666666666664</v>
      </c>
      <c r="R31" s="55">
        <f t="shared" si="10"/>
        <v>33916.666666666664</v>
      </c>
      <c r="S31" s="55">
        <f t="shared" si="10"/>
        <v>33916.666666666664</v>
      </c>
      <c r="T31" s="55">
        <f t="shared" si="10"/>
        <v>33916.666666666664</v>
      </c>
      <c r="U31" s="55">
        <f t="shared" si="10"/>
        <v>33916.666666666664</v>
      </c>
      <c r="V31" s="55">
        <f t="shared" si="10"/>
        <v>33916.666666666664</v>
      </c>
    </row>
    <row r="32" spans="1:22">
      <c r="A32" s="5">
        <f>A31+1</f>
        <v>22</v>
      </c>
      <c r="B32" t="s">
        <v>207</v>
      </c>
      <c r="D32" s="88">
        <v>645</v>
      </c>
      <c r="E32" s="88">
        <f t="shared" ref="E32:E35" si="11">F32-D32</f>
        <v>-645</v>
      </c>
      <c r="F32" s="88">
        <v>0</v>
      </c>
      <c r="G32" s="88"/>
      <c r="H32" s="88"/>
      <c r="I32" s="19"/>
      <c r="J32" s="3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>
      <c r="A33" s="5">
        <f>A32+1</f>
        <v>23</v>
      </c>
      <c r="B33" t="s">
        <v>232</v>
      </c>
      <c r="D33" s="88">
        <v>109</v>
      </c>
      <c r="E33" s="88">
        <f t="shared" si="11"/>
        <v>-109</v>
      </c>
      <c r="F33" s="88">
        <v>0</v>
      </c>
      <c r="G33" s="88"/>
      <c r="H33" s="88"/>
      <c r="I33" s="19"/>
      <c r="J33" s="3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>
      <c r="A34" s="5">
        <f t="shared" ref="A34:A35" si="12">A33+1</f>
        <v>24</v>
      </c>
      <c r="B34" t="s">
        <v>234</v>
      </c>
      <c r="D34" s="88">
        <v>-5310</v>
      </c>
      <c r="E34" s="88">
        <f t="shared" si="11"/>
        <v>5310</v>
      </c>
      <c r="F34" s="88">
        <v>0</v>
      </c>
      <c r="G34" s="88"/>
      <c r="H34" s="88"/>
      <c r="I34" s="19"/>
      <c r="J34" s="3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>
      <c r="A35" s="5">
        <f t="shared" si="12"/>
        <v>25</v>
      </c>
      <c r="B35" t="s">
        <v>231</v>
      </c>
      <c r="D35" s="88">
        <v>1</v>
      </c>
      <c r="E35" s="88">
        <f t="shared" si="11"/>
        <v>-1</v>
      </c>
      <c r="F35" s="88">
        <v>0</v>
      </c>
      <c r="G35" s="88"/>
      <c r="H35" s="88"/>
      <c r="I35" s="19"/>
      <c r="J35" s="3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>
      <c r="A36" s="5">
        <f t="shared" ref="A36" si="13">A35+1</f>
        <v>26</v>
      </c>
      <c r="B36" s="17" t="s">
        <v>154</v>
      </c>
      <c r="C36" s="17"/>
      <c r="D36" s="88">
        <v>86543</v>
      </c>
      <c r="E36" s="39">
        <f>F36-D36</f>
        <v>-86543</v>
      </c>
      <c r="F36" s="19">
        <v>0</v>
      </c>
      <c r="G36" s="19"/>
      <c r="H36" s="19">
        <v>152</v>
      </c>
      <c r="I36" s="93" t="s">
        <v>122</v>
      </c>
      <c r="J36" s="3">
        <f>SUM(K36:V36)/1000</f>
        <v>0</v>
      </c>
    </row>
    <row r="37" spans="1:22">
      <c r="A37" s="5">
        <f>A36+1</f>
        <v>27</v>
      </c>
      <c r="B37" t="s">
        <v>13</v>
      </c>
      <c r="D37" s="104">
        <f>SUM(D31:D36)</f>
        <v>82395</v>
      </c>
      <c r="E37" s="19">
        <f>F37-D37</f>
        <v>-81988</v>
      </c>
      <c r="F37" s="21">
        <f>SUM(F31:F36)</f>
        <v>407</v>
      </c>
      <c r="G37" s="19"/>
      <c r="H37" s="19"/>
      <c r="I37" s="19"/>
      <c r="J37" s="3">
        <f>SUM(K37:V37)/1000</f>
        <v>407.00000000000006</v>
      </c>
      <c r="K37" s="56">
        <v>33916.666666666664</v>
      </c>
      <c r="L37" s="56">
        <v>33916.666666666664</v>
      </c>
      <c r="M37" s="56">
        <v>33916.666666666664</v>
      </c>
      <c r="N37" s="56">
        <v>33916.666666666664</v>
      </c>
      <c r="O37" s="56">
        <v>33916.666666666664</v>
      </c>
      <c r="P37" s="56">
        <v>33916.666666666664</v>
      </c>
      <c r="Q37" s="56">
        <f t="shared" ref="Q37:V37" si="14">SUM(Q31:Q36)</f>
        <v>33916.666666666664</v>
      </c>
      <c r="R37" s="56">
        <f t="shared" si="14"/>
        <v>33916.666666666664</v>
      </c>
      <c r="S37" s="56">
        <f t="shared" si="14"/>
        <v>33916.666666666664</v>
      </c>
      <c r="T37" s="56">
        <f t="shared" si="14"/>
        <v>33916.666666666664</v>
      </c>
      <c r="U37" s="56">
        <f t="shared" si="14"/>
        <v>33916.666666666664</v>
      </c>
      <c r="V37" s="56">
        <f t="shared" si="14"/>
        <v>33916.666666666664</v>
      </c>
    </row>
    <row r="38" spans="1:22">
      <c r="A38" s="5"/>
      <c r="D38" s="19"/>
      <c r="E38" s="19"/>
      <c r="F38" s="19"/>
      <c r="G38" s="19"/>
      <c r="H38" s="19"/>
      <c r="I38" s="19"/>
      <c r="J38" s="3"/>
    </row>
    <row r="39" spans="1:22">
      <c r="A39" s="5"/>
      <c r="B39" s="7" t="s">
        <v>47</v>
      </c>
      <c r="D39" s="19"/>
      <c r="E39" s="19"/>
      <c r="F39" s="19"/>
      <c r="G39" s="19"/>
      <c r="H39" s="19">
        <v>78</v>
      </c>
      <c r="I39" s="19"/>
      <c r="J39" s="3"/>
    </row>
    <row r="40" spans="1:22">
      <c r="A40" s="5">
        <f>A37+1</f>
        <v>28</v>
      </c>
      <c r="B40" t="s">
        <v>45</v>
      </c>
      <c r="C40" s="13"/>
      <c r="D40" s="88">
        <v>6231</v>
      </c>
      <c r="E40" s="19">
        <f>F40-D40</f>
        <v>-623.08858612776294</v>
      </c>
      <c r="F40" s="88">
        <v>5607.9114138722371</v>
      </c>
      <c r="G40" s="88"/>
      <c r="H40" s="89">
        <v>0</v>
      </c>
      <c r="I40" s="93" t="s">
        <v>121</v>
      </c>
      <c r="J40" s="3">
        <f>SUM(K40:V40)/1000</f>
        <v>5607.9114138722371</v>
      </c>
      <c r="K40" s="25">
        <v>604991.73088073696</v>
      </c>
      <c r="L40" s="25">
        <v>522920.98865509004</v>
      </c>
      <c r="M40" s="25">
        <v>518409.23938751197</v>
      </c>
      <c r="N40" s="25">
        <v>396079.465675354</v>
      </c>
      <c r="O40" s="25">
        <v>265699.26300048799</v>
      </c>
      <c r="P40" s="25">
        <v>15310.0415349006</v>
      </c>
      <c r="Q40" s="25">
        <f>'WGJ-4'!J27</f>
        <v>426713.43841552699</v>
      </c>
      <c r="R40" s="25">
        <f>'WGJ-4'!K27</f>
        <v>553466.72782897891</v>
      </c>
      <c r="S40" s="25">
        <f>'WGJ-4'!L27</f>
        <v>575436.82365417399</v>
      </c>
      <c r="T40" s="25">
        <f>'WGJ-4'!M27</f>
        <v>574329.43382263102</v>
      </c>
      <c r="U40" s="25">
        <f>'WGJ-4'!N27</f>
        <v>558587.00332641602</v>
      </c>
      <c r="V40" s="25">
        <f>'WGJ-4'!O27</f>
        <v>595967.25769042911</v>
      </c>
    </row>
    <row r="41" spans="1:22">
      <c r="A41" s="5">
        <f>A40+1</f>
        <v>29</v>
      </c>
      <c r="B41" t="s">
        <v>171</v>
      </c>
      <c r="C41" s="13"/>
      <c r="D41" s="90">
        <v>14</v>
      </c>
      <c r="E41" s="19">
        <f>F41-D41</f>
        <v>0</v>
      </c>
      <c r="F41" s="19">
        <v>13.999999999999998</v>
      </c>
      <c r="G41" s="19"/>
      <c r="H41" s="19">
        <v>78</v>
      </c>
      <c r="I41" s="19"/>
      <c r="J41" s="3">
        <f>SUM(K41:V41)/1000</f>
        <v>13.999999999999998</v>
      </c>
      <c r="K41" s="18">
        <v>1166.6666666666667</v>
      </c>
      <c r="L41" s="18">
        <v>1166.6666666666667</v>
      </c>
      <c r="M41" s="18">
        <v>1166.6666666666667</v>
      </c>
      <c r="N41" s="18">
        <v>1166.6666666666667</v>
      </c>
      <c r="O41" s="18">
        <v>1166.6666666666667</v>
      </c>
      <c r="P41" s="18">
        <v>1166.6666666666667</v>
      </c>
      <c r="Q41" s="18">
        <f t="shared" ref="Q41:V41" si="15">$F41/12*1000</f>
        <v>1166.6666666666665</v>
      </c>
      <c r="R41" s="18">
        <f t="shared" si="15"/>
        <v>1166.6666666666665</v>
      </c>
      <c r="S41" s="18">
        <f t="shared" si="15"/>
        <v>1166.6666666666665</v>
      </c>
      <c r="T41" s="18">
        <f t="shared" si="15"/>
        <v>1166.6666666666665</v>
      </c>
      <c r="U41" s="18">
        <f t="shared" si="15"/>
        <v>1166.6666666666665</v>
      </c>
      <c r="V41" s="18">
        <f t="shared" si="15"/>
        <v>1166.6666666666665</v>
      </c>
    </row>
    <row r="42" spans="1:22">
      <c r="A42" s="5">
        <f>A41+1</f>
        <v>30</v>
      </c>
      <c r="B42" s="12" t="s">
        <v>46</v>
      </c>
      <c r="C42" s="11"/>
      <c r="D42" s="88">
        <v>22168</v>
      </c>
      <c r="E42" s="19">
        <f>F42-D42</f>
        <v>1135.1791199932595</v>
      </c>
      <c r="F42" s="88">
        <v>23303.17911999326</v>
      </c>
      <c r="G42" s="88"/>
      <c r="H42" s="88"/>
      <c r="I42" s="93" t="s">
        <v>121</v>
      </c>
      <c r="J42" s="3">
        <f>SUM(K42:V42)/1000</f>
        <v>23303.17911999326</v>
      </c>
      <c r="K42" s="80">
        <v>2035345.0748110327</v>
      </c>
      <c r="L42" s="80">
        <v>1897483.5643435025</v>
      </c>
      <c r="M42" s="80">
        <v>2020186.2807894258</v>
      </c>
      <c r="N42" s="80">
        <v>1853477.6130342984</v>
      </c>
      <c r="O42" s="80">
        <v>1658019.0044069795</v>
      </c>
      <c r="P42" s="80">
        <v>1557473.1334352996</v>
      </c>
      <c r="Q42" s="80">
        <f>'WGJ-4'!J23</f>
        <v>1991852.768506326</v>
      </c>
      <c r="R42" s="80">
        <f>'WGJ-4'!K23</f>
        <v>2055938.9173405548</v>
      </c>
      <c r="S42" s="80">
        <f>'WGJ-4'!L23</f>
        <v>2042240.5515568627</v>
      </c>
      <c r="T42" s="80">
        <f>'WGJ-4'!M23</f>
        <v>2078655.6959050077</v>
      </c>
      <c r="U42" s="80">
        <f>'WGJ-4'!N23</f>
        <v>2035459.0436833277</v>
      </c>
      <c r="V42" s="80">
        <f>'WGJ-4'!O23</f>
        <v>2077047.4721806417</v>
      </c>
    </row>
    <row r="43" spans="1:22">
      <c r="A43" s="5">
        <f>A42+1</f>
        <v>31</v>
      </c>
      <c r="B43" s="17" t="s">
        <v>190</v>
      </c>
      <c r="C43" s="40"/>
      <c r="D43" s="143">
        <v>229</v>
      </c>
      <c r="E43" s="39">
        <f>F43-D43</f>
        <v>0</v>
      </c>
      <c r="F43" s="89">
        <v>229.00000000000003</v>
      </c>
      <c r="G43" s="19"/>
      <c r="H43" s="19"/>
      <c r="I43" s="19"/>
      <c r="J43" s="3">
        <f>SUM(K43:V43)/1000</f>
        <v>229.00000000000003</v>
      </c>
      <c r="K43" s="105">
        <v>19083.333333333332</v>
      </c>
      <c r="L43" s="105">
        <v>19083.333333333332</v>
      </c>
      <c r="M43" s="105">
        <v>19083.333333333332</v>
      </c>
      <c r="N43" s="105">
        <v>19083.333333333332</v>
      </c>
      <c r="O43" s="105">
        <v>19083.333333333332</v>
      </c>
      <c r="P43" s="105">
        <v>19083.333333333332</v>
      </c>
      <c r="Q43" s="105">
        <f t="shared" ref="Q43:V43" si="16">$F43/12*1000</f>
        <v>19083.333333333336</v>
      </c>
      <c r="R43" s="105">
        <f t="shared" si="16"/>
        <v>19083.333333333336</v>
      </c>
      <c r="S43" s="105">
        <f t="shared" si="16"/>
        <v>19083.333333333336</v>
      </c>
      <c r="T43" s="105">
        <f t="shared" si="16"/>
        <v>19083.333333333336</v>
      </c>
      <c r="U43" s="105">
        <f t="shared" si="16"/>
        <v>19083.333333333336</v>
      </c>
      <c r="V43" s="105">
        <f t="shared" si="16"/>
        <v>19083.333333333336</v>
      </c>
    </row>
    <row r="44" spans="1:22">
      <c r="A44" s="11">
        <f>A43+1</f>
        <v>32</v>
      </c>
      <c r="B44" t="s">
        <v>22</v>
      </c>
      <c r="D44" s="88">
        <f>SUM(D40:D43)</f>
        <v>28642</v>
      </c>
      <c r="E44" s="19">
        <f>F44-D44</f>
        <v>512.09053386549567</v>
      </c>
      <c r="F44" s="19">
        <f>SUM(F40:F43)</f>
        <v>29154.090533865496</v>
      </c>
      <c r="G44" s="19"/>
      <c r="H44" s="19">
        <v>8095.4688974966612</v>
      </c>
      <c r="I44" s="19"/>
      <c r="J44" s="3">
        <f>SUM(K44:V44)/1000</f>
        <v>29154.090533865499</v>
      </c>
      <c r="K44" s="25">
        <v>2660586.8056917698</v>
      </c>
      <c r="L44" s="25">
        <v>2440654.5529985926</v>
      </c>
      <c r="M44" s="25">
        <v>2558845.5201769378</v>
      </c>
      <c r="N44" s="25">
        <v>2269807.0787096526</v>
      </c>
      <c r="O44" s="25">
        <v>1943968.2674074674</v>
      </c>
      <c r="P44" s="25">
        <v>1593033.1749702001</v>
      </c>
      <c r="Q44" s="25">
        <f t="shared" ref="Q44:V44" si="17">SUM(Q40:Q43)</f>
        <v>2438816.2069218531</v>
      </c>
      <c r="R44" s="25">
        <f t="shared" si="17"/>
        <v>2629655.6451695338</v>
      </c>
      <c r="S44" s="25">
        <f t="shared" si="17"/>
        <v>2637927.3752110368</v>
      </c>
      <c r="T44" s="25">
        <f t="shared" si="17"/>
        <v>2673235.1297276388</v>
      </c>
      <c r="U44" s="25">
        <f t="shared" si="17"/>
        <v>2614296.0470097438</v>
      </c>
      <c r="V44" s="25">
        <f t="shared" si="17"/>
        <v>2693264.7298710709</v>
      </c>
    </row>
    <row r="45" spans="1:22">
      <c r="A45" s="5"/>
      <c r="D45" s="19"/>
      <c r="E45" s="19"/>
      <c r="F45" s="19"/>
      <c r="G45" s="19"/>
      <c r="H45" s="19">
        <v>0</v>
      </c>
      <c r="I45" s="19"/>
      <c r="J45" s="3"/>
    </row>
    <row r="46" spans="1:22">
      <c r="A46" s="5"/>
      <c r="B46" s="7" t="s">
        <v>48</v>
      </c>
      <c r="D46" s="19"/>
      <c r="E46" s="19"/>
      <c r="F46" s="19"/>
      <c r="G46" s="19"/>
      <c r="H46" s="19">
        <v>10682.990036010742</v>
      </c>
      <c r="I46" s="19"/>
      <c r="J46" s="3"/>
    </row>
    <row r="47" spans="1:22">
      <c r="A47" s="5">
        <f>A44+1</f>
        <v>33</v>
      </c>
      <c r="B47" s="16" t="s">
        <v>57</v>
      </c>
      <c r="D47" s="88">
        <v>42752</v>
      </c>
      <c r="E47" s="19">
        <f t="shared" ref="E47:E57" si="18">F47-D47</f>
        <v>-6381.8403713635416</v>
      </c>
      <c r="F47" s="88">
        <v>36370.159628636458</v>
      </c>
      <c r="G47" s="88"/>
      <c r="H47" s="89">
        <v>188</v>
      </c>
      <c r="I47" s="93" t="s">
        <v>121</v>
      </c>
      <c r="J47" s="3">
        <f t="shared" ref="J47:J57" si="19">SUM(K47:V47)/1000</f>
        <v>36370.159628636458</v>
      </c>
      <c r="K47" s="25">
        <v>4468044.0062207226</v>
      </c>
      <c r="L47" s="25">
        <v>3583108.8356047692</v>
      </c>
      <c r="M47" s="25">
        <v>3778880.0345293605</v>
      </c>
      <c r="N47" s="25">
        <v>2270057.9474662254</v>
      </c>
      <c r="O47" s="25">
        <v>1179277.45476267</v>
      </c>
      <c r="P47" s="25">
        <v>846654.66240721545</v>
      </c>
      <c r="Q47" s="25">
        <f>'WGJ-4'!J31</f>
        <v>2299589.1299760477</v>
      </c>
      <c r="R47" s="25">
        <f>'WGJ-4'!K31</f>
        <v>3158453.790913193</v>
      </c>
      <c r="S47" s="25">
        <f>'WGJ-4'!L31</f>
        <v>3402317.6483097719</v>
      </c>
      <c r="T47" s="25">
        <f>'WGJ-4'!M31</f>
        <v>3426780.7638494209</v>
      </c>
      <c r="U47" s="25">
        <f>'WGJ-4'!N31</f>
        <v>3610165.0990818636</v>
      </c>
      <c r="V47" s="25">
        <f>'WGJ-4'!O31</f>
        <v>4346830.2555151954</v>
      </c>
    </row>
    <row r="48" spans="1:22">
      <c r="A48" s="5">
        <f>A47+1</f>
        <v>34</v>
      </c>
      <c r="B48" s="16" t="s">
        <v>178</v>
      </c>
      <c r="D48" s="88">
        <v>6247</v>
      </c>
      <c r="E48" s="19">
        <f t="shared" si="18"/>
        <v>148.00000000000091</v>
      </c>
      <c r="F48" s="149">
        <v>6395.0000000000009</v>
      </c>
      <c r="G48" s="19"/>
      <c r="H48" s="19">
        <v>18966.458933507405</v>
      </c>
      <c r="I48" s="19"/>
      <c r="J48" s="3">
        <f t="shared" si="19"/>
        <v>6395.0000000000009</v>
      </c>
      <c r="K48" s="81">
        <v>532916.66666666663</v>
      </c>
      <c r="L48" s="81">
        <v>532916.66666666663</v>
      </c>
      <c r="M48" s="81">
        <v>532916.66666666663</v>
      </c>
      <c r="N48" s="81">
        <v>532916.66666666663</v>
      </c>
      <c r="O48" s="81">
        <v>532916.66666666663</v>
      </c>
      <c r="P48" s="81">
        <v>532916.66666666663</v>
      </c>
      <c r="Q48" s="81">
        <f t="shared" ref="Q48:V48" si="20">$F48/12*1000</f>
        <v>532916.66666666674</v>
      </c>
      <c r="R48" s="81">
        <f t="shared" si="20"/>
        <v>532916.66666666674</v>
      </c>
      <c r="S48" s="81">
        <f t="shared" si="20"/>
        <v>532916.66666666674</v>
      </c>
      <c r="T48" s="81">
        <f t="shared" si="20"/>
        <v>532916.66666666674</v>
      </c>
      <c r="U48" s="81">
        <f t="shared" si="20"/>
        <v>532916.66666666674</v>
      </c>
      <c r="V48" s="81">
        <f t="shared" si="20"/>
        <v>532916.66666666674</v>
      </c>
    </row>
    <row r="49" spans="1:22">
      <c r="A49" s="5">
        <f t="shared" ref="A49:A58" si="21">A48+1</f>
        <v>35</v>
      </c>
      <c r="B49" s="16" t="s">
        <v>164</v>
      </c>
      <c r="D49" s="88">
        <v>33676</v>
      </c>
      <c r="E49" s="19">
        <f t="shared" si="18"/>
        <v>-411.10866948998591</v>
      </c>
      <c r="F49" s="88">
        <v>33264.891330510014</v>
      </c>
      <c r="G49" s="19"/>
      <c r="H49" s="19"/>
      <c r="I49" s="19"/>
      <c r="J49" s="3">
        <f t="shared" si="19"/>
        <v>33264.891330510014</v>
      </c>
      <c r="K49" s="81">
        <v>4123780.6018829294</v>
      </c>
      <c r="L49" s="81">
        <v>3254781.5872192299</v>
      </c>
      <c r="M49" s="81">
        <v>3461030.9776306096</v>
      </c>
      <c r="N49" s="81">
        <v>2108049.3738055201</v>
      </c>
      <c r="O49" s="81">
        <v>1059337.99910545</v>
      </c>
      <c r="P49" s="81">
        <v>833804.65016364993</v>
      </c>
      <c r="Q49" s="81">
        <f>'WGJ-4'!J35</f>
        <v>2025110.9227658138</v>
      </c>
      <c r="R49" s="81">
        <f>'WGJ-4'!K35</f>
        <v>2762136.5510292966</v>
      </c>
      <c r="S49" s="81">
        <f>'WGJ-4'!L35</f>
        <v>2979441.4598679291</v>
      </c>
      <c r="T49" s="81">
        <f>'WGJ-4'!M35</f>
        <v>3231572.3880353705</v>
      </c>
      <c r="U49" s="81">
        <f>'WGJ-4'!N35</f>
        <v>3401386.8078674534</v>
      </c>
      <c r="V49" s="81">
        <f>'WGJ-4'!O35</f>
        <v>4024458.0111367572</v>
      </c>
    </row>
    <row r="50" spans="1:22">
      <c r="A50" s="5">
        <f t="shared" si="21"/>
        <v>36</v>
      </c>
      <c r="B50" s="16" t="s">
        <v>177</v>
      </c>
      <c r="D50" s="88">
        <v>5409</v>
      </c>
      <c r="E50" s="19">
        <f t="shared" si="18"/>
        <v>20</v>
      </c>
      <c r="F50" s="149">
        <v>5429</v>
      </c>
      <c r="G50" s="19"/>
      <c r="H50" s="19"/>
      <c r="I50" s="19"/>
      <c r="J50" s="3">
        <f t="shared" si="19"/>
        <v>5429</v>
      </c>
      <c r="K50" s="81">
        <v>452416.66666666669</v>
      </c>
      <c r="L50" s="81">
        <v>452416.66666666669</v>
      </c>
      <c r="M50" s="81">
        <v>452416.66666666669</v>
      </c>
      <c r="N50" s="81">
        <v>452416.66666666669</v>
      </c>
      <c r="O50" s="81">
        <v>452416.66666666669</v>
      </c>
      <c r="P50" s="81">
        <v>452416.66666666669</v>
      </c>
      <c r="Q50" s="81">
        <f t="shared" ref="Q50:V50" si="22">$F50/12*1000</f>
        <v>452416.66666666669</v>
      </c>
      <c r="R50" s="81">
        <f t="shared" si="22"/>
        <v>452416.66666666669</v>
      </c>
      <c r="S50" s="81">
        <f t="shared" si="22"/>
        <v>452416.66666666669</v>
      </c>
      <c r="T50" s="81">
        <f t="shared" si="22"/>
        <v>452416.66666666669</v>
      </c>
      <c r="U50" s="81">
        <f t="shared" si="22"/>
        <v>452416.66666666669</v>
      </c>
      <c r="V50" s="81">
        <f t="shared" si="22"/>
        <v>452416.66666666669</v>
      </c>
    </row>
    <row r="51" spans="1:22">
      <c r="A51" s="5">
        <f t="shared" si="21"/>
        <v>37</v>
      </c>
      <c r="B51" t="s">
        <v>183</v>
      </c>
      <c r="D51" s="88">
        <v>0</v>
      </c>
      <c r="E51" s="19">
        <f t="shared" si="18"/>
        <v>-942.97199999999975</v>
      </c>
      <c r="F51" s="148">
        <v>-942.97199999999975</v>
      </c>
      <c r="G51" s="19"/>
      <c r="H51" s="19"/>
      <c r="I51" s="19"/>
      <c r="J51" s="3">
        <f t="shared" si="19"/>
        <v>-942.97199999999975</v>
      </c>
      <c r="K51" s="81">
        <v>-85422.583333333328</v>
      </c>
      <c r="L51" s="81">
        <v>-85422.583333333328</v>
      </c>
      <c r="M51" s="81">
        <v>-85422.583333333328</v>
      </c>
      <c r="N51" s="81">
        <v>-85422.583333333328</v>
      </c>
      <c r="O51" s="81">
        <v>-85422.583333333328</v>
      </c>
      <c r="P51" s="81">
        <v>-85422.583333333328</v>
      </c>
      <c r="Q51" s="81">
        <f t="shared" ref="Q51:V51" si="23">-860873/12</f>
        <v>-71739.416666666672</v>
      </c>
      <c r="R51" s="81">
        <f t="shared" si="23"/>
        <v>-71739.416666666672</v>
      </c>
      <c r="S51" s="81">
        <f t="shared" si="23"/>
        <v>-71739.416666666672</v>
      </c>
      <c r="T51" s="81">
        <f t="shared" si="23"/>
        <v>-71739.416666666672</v>
      </c>
      <c r="U51" s="81">
        <f t="shared" si="23"/>
        <v>-71739.416666666672</v>
      </c>
      <c r="V51" s="81">
        <f t="shared" si="23"/>
        <v>-71739.416666666672</v>
      </c>
    </row>
    <row r="52" spans="1:22">
      <c r="A52" s="5">
        <f t="shared" si="21"/>
        <v>38</v>
      </c>
      <c r="B52" t="s">
        <v>208</v>
      </c>
      <c r="D52" s="88">
        <v>0</v>
      </c>
      <c r="E52" s="19">
        <f t="shared" si="18"/>
        <v>-9000</v>
      </c>
      <c r="F52" s="88">
        <v>-9000</v>
      </c>
      <c r="G52" s="19"/>
      <c r="H52" s="19"/>
      <c r="I52" s="19"/>
      <c r="J52" s="3">
        <f t="shared" si="19"/>
        <v>-9000</v>
      </c>
      <c r="K52" s="81">
        <v>-750000</v>
      </c>
      <c r="L52" s="81">
        <v>-750000</v>
      </c>
      <c r="M52" s="81">
        <v>-750000</v>
      </c>
      <c r="N52" s="81">
        <v>-750000</v>
      </c>
      <c r="O52" s="81">
        <v>-750000</v>
      </c>
      <c r="P52" s="81">
        <v>-750000</v>
      </c>
      <c r="Q52" s="81">
        <f t="shared" ref="Q52:V52" si="24">$F52*1000/12</f>
        <v>-750000</v>
      </c>
      <c r="R52" s="81">
        <f t="shared" si="24"/>
        <v>-750000</v>
      </c>
      <c r="S52" s="81">
        <f t="shared" si="24"/>
        <v>-750000</v>
      </c>
      <c r="T52" s="81">
        <f t="shared" si="24"/>
        <v>-750000</v>
      </c>
      <c r="U52" s="81">
        <f t="shared" si="24"/>
        <v>-750000</v>
      </c>
      <c r="V52" s="81">
        <f t="shared" si="24"/>
        <v>-750000</v>
      </c>
    </row>
    <row r="53" spans="1:22">
      <c r="A53" s="5">
        <f t="shared" si="21"/>
        <v>39</v>
      </c>
      <c r="B53" t="s">
        <v>188</v>
      </c>
      <c r="D53" s="88">
        <v>53</v>
      </c>
      <c r="E53" s="19">
        <f t="shared" si="18"/>
        <v>0</v>
      </c>
      <c r="F53" s="128">
        <v>52.999999999999993</v>
      </c>
      <c r="G53" s="19"/>
      <c r="H53" s="19"/>
      <c r="I53" s="19"/>
      <c r="J53" s="3">
        <f t="shared" si="19"/>
        <v>52.999999999999993</v>
      </c>
      <c r="K53" s="130">
        <v>4416.666666666667</v>
      </c>
      <c r="L53" s="130">
        <v>4416.666666666667</v>
      </c>
      <c r="M53" s="130">
        <v>4416.666666666667</v>
      </c>
      <c r="N53" s="130">
        <v>4416.666666666667</v>
      </c>
      <c r="O53" s="130">
        <v>4416.666666666667</v>
      </c>
      <c r="P53" s="130">
        <v>4416.666666666667</v>
      </c>
      <c r="Q53" s="130">
        <f t="shared" ref="Q53:V53" si="25">53000/12</f>
        <v>4416.666666666667</v>
      </c>
      <c r="R53" s="130">
        <f t="shared" si="25"/>
        <v>4416.666666666667</v>
      </c>
      <c r="S53" s="130">
        <f t="shared" si="25"/>
        <v>4416.666666666667</v>
      </c>
      <c r="T53" s="130">
        <f t="shared" si="25"/>
        <v>4416.666666666667</v>
      </c>
      <c r="U53" s="130">
        <f t="shared" si="25"/>
        <v>4416.666666666667</v>
      </c>
      <c r="V53" s="130">
        <f t="shared" si="25"/>
        <v>4416.666666666667</v>
      </c>
    </row>
    <row r="54" spans="1:22">
      <c r="A54" s="5">
        <f t="shared" si="21"/>
        <v>40</v>
      </c>
      <c r="B54" s="12" t="s">
        <v>61</v>
      </c>
      <c r="C54" s="12"/>
      <c r="D54" s="88">
        <v>1832</v>
      </c>
      <c r="E54" s="19">
        <f t="shared" si="18"/>
        <v>-192.29401975705491</v>
      </c>
      <c r="F54" s="88">
        <v>1639.7059802429451</v>
      </c>
      <c r="G54" s="88"/>
      <c r="H54" s="88"/>
      <c r="I54" s="93" t="s">
        <v>121</v>
      </c>
      <c r="J54" s="3">
        <f t="shared" si="19"/>
        <v>1639.7059802429451</v>
      </c>
      <c r="K54" s="25">
        <v>213769.5844261634</v>
      </c>
      <c r="L54" s="25">
        <v>115712.64459195128</v>
      </c>
      <c r="M54" s="25">
        <v>23808.275554108492</v>
      </c>
      <c r="N54" s="25">
        <v>5137.2914174556654</v>
      </c>
      <c r="O54" s="25">
        <v>1397.0864853620517</v>
      </c>
      <c r="P54" s="25">
        <v>40459.809728330263</v>
      </c>
      <c r="Q54" s="25">
        <f>'WGJ-4'!J47</f>
        <v>243127.18568071007</v>
      </c>
      <c r="R54" s="25">
        <f>'WGJ-4'!K47</f>
        <v>446889.32261028216</v>
      </c>
      <c r="S54" s="25">
        <f>'WGJ-4'!L47</f>
        <v>213999.71307141715</v>
      </c>
      <c r="T54" s="25">
        <f>'WGJ-4'!M47</f>
        <v>48421.902417540463</v>
      </c>
      <c r="U54" s="25">
        <f>'WGJ-4'!N47</f>
        <v>104505.79675500379</v>
      </c>
      <c r="V54" s="25">
        <f>'WGJ-4'!O47</f>
        <v>182477.36750462043</v>
      </c>
    </row>
    <row r="55" spans="1:22">
      <c r="A55" s="5">
        <f t="shared" si="21"/>
        <v>41</v>
      </c>
      <c r="B55" t="s">
        <v>60</v>
      </c>
      <c r="D55" s="88">
        <v>50</v>
      </c>
      <c r="E55" s="19">
        <f t="shared" si="18"/>
        <v>24.757761462405114</v>
      </c>
      <c r="F55" s="88">
        <v>74.757761462405114</v>
      </c>
      <c r="G55" s="88"/>
      <c r="H55" s="88"/>
      <c r="I55" s="93" t="s">
        <v>121</v>
      </c>
      <c r="J55" s="3">
        <f t="shared" si="19"/>
        <v>74.757761462405114</v>
      </c>
      <c r="K55" s="25">
        <v>16070.89247703551</v>
      </c>
      <c r="L55" s="25">
        <v>6358.3008766174298</v>
      </c>
      <c r="M55" s="25">
        <v>85.288697481155197</v>
      </c>
      <c r="N55" s="25">
        <v>0</v>
      </c>
      <c r="O55" s="25">
        <v>0</v>
      </c>
      <c r="P55" s="25">
        <v>3430.6167021393603</v>
      </c>
      <c r="Q55" s="25">
        <f>'WGJ-4'!J51</f>
        <v>10681.998816505069</v>
      </c>
      <c r="R55" s="25">
        <f>'WGJ-4'!K51</f>
        <v>21802.160653471801</v>
      </c>
      <c r="S55" s="25">
        <f>'WGJ-4'!L51</f>
        <v>8832.8393861651293</v>
      </c>
      <c r="T55" s="25">
        <f>'WGJ-4'!M51</f>
        <v>802.22812294959999</v>
      </c>
      <c r="U55" s="25">
        <f>'WGJ-4'!N51</f>
        <v>1822.9186981916419</v>
      </c>
      <c r="V55" s="25">
        <f>'WGJ-4'!O51</f>
        <v>4870.5170318484206</v>
      </c>
    </row>
    <row r="56" spans="1:22">
      <c r="A56" s="5">
        <f t="shared" si="21"/>
        <v>42</v>
      </c>
      <c r="B56" t="s">
        <v>58</v>
      </c>
      <c r="D56" s="88">
        <v>613</v>
      </c>
      <c r="E56" s="19">
        <f t="shared" si="18"/>
        <v>246.09286848418219</v>
      </c>
      <c r="F56" s="88">
        <v>859.09286848418219</v>
      </c>
      <c r="G56" s="88"/>
      <c r="H56" s="88">
        <v>59394.366704579188</v>
      </c>
      <c r="I56" s="93" t="s">
        <v>121</v>
      </c>
      <c r="J56" s="3">
        <f t="shared" si="19"/>
        <v>859.09286848418219</v>
      </c>
      <c r="K56" s="25">
        <v>103790.01686572999</v>
      </c>
      <c r="L56" s="25">
        <v>71087.383681535692</v>
      </c>
      <c r="M56" s="25">
        <v>55892.994242906498</v>
      </c>
      <c r="N56" s="25">
        <v>30516.211163997599</v>
      </c>
      <c r="O56" s="25">
        <v>11504.646388813801</v>
      </c>
      <c r="P56" s="25">
        <v>19633.285300433599</v>
      </c>
      <c r="Q56" s="25">
        <f>'WGJ-4'!J39</f>
        <v>103918.32976341201</v>
      </c>
      <c r="R56" s="25">
        <f>'WGJ-4'!K39</f>
        <v>130244.46487426701</v>
      </c>
      <c r="S56" s="25">
        <f>'WGJ-4'!L39</f>
        <v>98703.137814998598</v>
      </c>
      <c r="T56" s="25">
        <f>'WGJ-4'!M39</f>
        <v>47283.614324033202</v>
      </c>
      <c r="U56" s="25">
        <f>'WGJ-4'!N39</f>
        <v>79635.4097604751</v>
      </c>
      <c r="V56" s="25">
        <f>'WGJ-4'!O39</f>
        <v>106883.37430357901</v>
      </c>
    </row>
    <row r="57" spans="1:22">
      <c r="A57" s="5">
        <f t="shared" si="21"/>
        <v>43</v>
      </c>
      <c r="B57" s="103" t="s">
        <v>59</v>
      </c>
      <c r="C57" s="17"/>
      <c r="D57" s="89">
        <v>156</v>
      </c>
      <c r="E57" s="39">
        <f t="shared" si="18"/>
        <v>78.237463458161272</v>
      </c>
      <c r="F57" s="89">
        <v>234.23746345816127</v>
      </c>
      <c r="G57" s="88"/>
      <c r="H57" s="88">
        <v>6240</v>
      </c>
      <c r="I57" s="93" t="s">
        <v>121</v>
      </c>
      <c r="J57" s="84">
        <f t="shared" si="19"/>
        <v>234.23746345816127</v>
      </c>
      <c r="K57" s="120">
        <v>23420.4728029668</v>
      </c>
      <c r="L57" s="120">
        <v>15638.2676981389</v>
      </c>
      <c r="M57" s="120">
        <v>6773.7705051898902</v>
      </c>
      <c r="N57" s="120">
        <v>1792.28225816041</v>
      </c>
      <c r="O57" s="120">
        <v>1042.86706577986</v>
      </c>
      <c r="P57" s="120">
        <v>6136.0893608070901</v>
      </c>
      <c r="Q57" s="120">
        <f>'WGJ-4'!J43</f>
        <v>30054.843801818697</v>
      </c>
      <c r="R57" s="120">
        <f>'WGJ-4'!K43</f>
        <v>49501.919382810498</v>
      </c>
      <c r="S57" s="120">
        <f>'WGJ-4'!L43</f>
        <v>34598.216171562599</v>
      </c>
      <c r="T57" s="120">
        <f>'WGJ-4'!M43</f>
        <v>14228.0048798769</v>
      </c>
      <c r="U57" s="120">
        <f>'WGJ-4'!N43</f>
        <v>20326.053287088802</v>
      </c>
      <c r="V57" s="120">
        <f>'WGJ-4'!O43</f>
        <v>30724.676243960799</v>
      </c>
    </row>
    <row r="58" spans="1:22">
      <c r="A58" s="5">
        <f t="shared" si="21"/>
        <v>44</v>
      </c>
      <c r="B58" t="s">
        <v>44</v>
      </c>
      <c r="D58" s="88">
        <f>SUM(D47:D57)</f>
        <v>90788</v>
      </c>
      <c r="E58" s="19">
        <f>F58-D58</f>
        <v>-16411.126967205841</v>
      </c>
      <c r="F58" s="19">
        <f>SUM(F47:F57)</f>
        <v>74376.873032794159</v>
      </c>
      <c r="G58" s="19"/>
      <c r="H58" s="19">
        <v>0.11360950271288535</v>
      </c>
      <c r="I58" s="19"/>
      <c r="J58" s="3">
        <f t="shared" ref="J58:V58" si="26">SUM(J47:J57)</f>
        <v>74376.873032794159</v>
      </c>
      <c r="K58" s="25">
        <v>9103202.991342213</v>
      </c>
      <c r="L58" s="25">
        <v>7201014.436338909</v>
      </c>
      <c r="M58" s="25">
        <v>7480798.7578263236</v>
      </c>
      <c r="N58" s="25">
        <v>4569880.5227780258</v>
      </c>
      <c r="O58" s="25">
        <v>2406887.4704747424</v>
      </c>
      <c r="P58" s="25">
        <v>1904446.5303292423</v>
      </c>
      <c r="Q58" s="25">
        <f t="shared" si="26"/>
        <v>4880492.994137641</v>
      </c>
      <c r="R58" s="25">
        <f t="shared" si="26"/>
        <v>6737038.7927966546</v>
      </c>
      <c r="S58" s="25">
        <f t="shared" si="26"/>
        <v>6905903.5979551785</v>
      </c>
      <c r="T58" s="25">
        <f t="shared" si="26"/>
        <v>6937099.4849625258</v>
      </c>
      <c r="U58" s="25">
        <f t="shared" si="26"/>
        <v>7385852.6687834105</v>
      </c>
      <c r="V58" s="25">
        <f t="shared" si="26"/>
        <v>8864254.7850692943</v>
      </c>
    </row>
    <row r="59" spans="1:22">
      <c r="A59" s="5"/>
      <c r="D59" s="19"/>
      <c r="E59" s="19"/>
      <c r="F59" s="19"/>
      <c r="G59" s="19"/>
      <c r="H59" s="19">
        <v>3237.8010523088278</v>
      </c>
      <c r="I59" s="19"/>
      <c r="J59" s="3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>
      <c r="A60" s="5"/>
      <c r="D60" s="19"/>
      <c r="E60" s="19"/>
      <c r="F60" s="19"/>
      <c r="G60" s="19"/>
      <c r="H60" s="19"/>
      <c r="I60" s="19"/>
      <c r="J60" s="3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>
      <c r="A61" s="5"/>
      <c r="D61" s="19"/>
      <c r="E61" s="19"/>
      <c r="F61" s="19"/>
      <c r="G61" s="19"/>
      <c r="H61" s="19"/>
      <c r="I61" s="19"/>
      <c r="J61" s="3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>
      <c r="A62" s="5"/>
      <c r="D62" s="19"/>
      <c r="E62" s="19"/>
      <c r="F62" s="19"/>
      <c r="G62" s="19"/>
      <c r="H62" s="19">
        <v>592.63582339628294</v>
      </c>
      <c r="I62" s="19"/>
      <c r="J62" s="3"/>
    </row>
    <row r="63" spans="1:22">
      <c r="A63" s="5"/>
      <c r="B63" s="7" t="s">
        <v>10</v>
      </c>
      <c r="D63" s="19"/>
      <c r="E63" s="19" t="s">
        <v>9</v>
      </c>
      <c r="F63" s="19"/>
      <c r="G63" s="19"/>
      <c r="H63" s="39">
        <v>480</v>
      </c>
      <c r="I63" s="19"/>
      <c r="J63" s="3"/>
    </row>
    <row r="64" spans="1:22">
      <c r="A64" s="5">
        <f>A58+1</f>
        <v>45</v>
      </c>
      <c r="B64" t="s">
        <v>5</v>
      </c>
      <c r="C64" s="12"/>
      <c r="D64" s="88">
        <v>894</v>
      </c>
      <c r="E64" s="19">
        <f t="shared" ref="E64:E72" si="27">F64-D64</f>
        <v>49.200800000000186</v>
      </c>
      <c r="F64" s="88">
        <v>943.20080000000019</v>
      </c>
      <c r="G64" s="19"/>
      <c r="H64" s="19">
        <v>70026.232758276092</v>
      </c>
      <c r="I64" s="19"/>
      <c r="J64" s="3">
        <f t="shared" ref="J64:J73" si="28">SUM(K64:V64)/1000</f>
        <v>943.30119999999999</v>
      </c>
      <c r="K64" s="56">
        <v>78616.800000000003</v>
      </c>
      <c r="L64" s="56">
        <v>78616.800000000003</v>
      </c>
      <c r="M64" s="56">
        <v>78616.800000000003</v>
      </c>
      <c r="N64" s="56">
        <v>78616.800000000003</v>
      </c>
      <c r="O64" s="56">
        <v>78616.800000000003</v>
      </c>
      <c r="P64" s="56">
        <v>78616.800000000003</v>
      </c>
      <c r="Q64" s="56">
        <f t="shared" ref="Q64:V65" si="29">$F64*1000/12</f>
        <v>78600.06666666668</v>
      </c>
      <c r="R64" s="56">
        <f t="shared" si="29"/>
        <v>78600.06666666668</v>
      </c>
      <c r="S64" s="56">
        <f t="shared" si="29"/>
        <v>78600.06666666668</v>
      </c>
      <c r="T64" s="56">
        <f t="shared" si="29"/>
        <v>78600.06666666668</v>
      </c>
      <c r="U64" s="56">
        <f t="shared" si="29"/>
        <v>78600.06666666668</v>
      </c>
      <c r="V64" s="56">
        <f t="shared" si="29"/>
        <v>78600.06666666668</v>
      </c>
    </row>
    <row r="65" spans="1:22">
      <c r="A65" s="5">
        <f>A64+1</f>
        <v>46</v>
      </c>
      <c r="B65" t="s">
        <v>221</v>
      </c>
      <c r="D65" s="88">
        <f>136+2</f>
        <v>138</v>
      </c>
      <c r="E65" s="19">
        <f t="shared" si="27"/>
        <v>0</v>
      </c>
      <c r="F65" s="88">
        <v>138</v>
      </c>
      <c r="G65" s="19"/>
      <c r="H65" s="19"/>
      <c r="I65" s="19"/>
      <c r="J65" s="3">
        <f t="shared" si="28"/>
        <v>138</v>
      </c>
      <c r="K65" s="56">
        <v>11500</v>
      </c>
      <c r="L65" s="56">
        <v>11500</v>
      </c>
      <c r="M65" s="56">
        <v>11500</v>
      </c>
      <c r="N65" s="56">
        <v>11500</v>
      </c>
      <c r="O65" s="56">
        <v>11500</v>
      </c>
      <c r="P65" s="56">
        <v>11500</v>
      </c>
      <c r="Q65" s="56">
        <f t="shared" si="29"/>
        <v>11500</v>
      </c>
      <c r="R65" s="56">
        <f t="shared" si="29"/>
        <v>11500</v>
      </c>
      <c r="S65" s="56">
        <f t="shared" si="29"/>
        <v>11500</v>
      </c>
      <c r="T65" s="56">
        <f t="shared" si="29"/>
        <v>11500</v>
      </c>
      <c r="U65" s="56">
        <f t="shared" si="29"/>
        <v>11500</v>
      </c>
      <c r="V65" s="56">
        <f t="shared" si="29"/>
        <v>11500</v>
      </c>
    </row>
    <row r="66" spans="1:22">
      <c r="A66" s="5">
        <f t="shared" ref="A66:A73" si="30">A65+1</f>
        <v>47</v>
      </c>
      <c r="B66" t="s">
        <v>202</v>
      </c>
      <c r="D66" s="88">
        <v>12067</v>
      </c>
      <c r="E66" s="19">
        <f t="shared" si="27"/>
        <v>150.68000000000029</v>
      </c>
      <c r="F66" s="149">
        <v>12217.68</v>
      </c>
      <c r="G66" s="88"/>
      <c r="H66" s="88">
        <v>772</v>
      </c>
      <c r="I66" s="91"/>
      <c r="J66" s="3">
        <f t="shared" si="28"/>
        <v>12217.68</v>
      </c>
      <c r="K66" s="56">
        <v>1016720</v>
      </c>
      <c r="L66" s="56">
        <v>1016720</v>
      </c>
      <c r="M66" s="56">
        <v>1016720</v>
      </c>
      <c r="N66" s="56">
        <v>1016720</v>
      </c>
      <c r="O66" s="56">
        <v>1016720</v>
      </c>
      <c r="P66" s="56">
        <v>1016720</v>
      </c>
      <c r="Q66" s="56">
        <v>1016720</v>
      </c>
      <c r="R66" s="56">
        <v>1016720</v>
      </c>
      <c r="S66" s="56">
        <v>1016720</v>
      </c>
      <c r="T66" s="56">
        <v>1022400</v>
      </c>
      <c r="U66" s="56">
        <v>1022400</v>
      </c>
      <c r="V66" s="56">
        <v>1022400</v>
      </c>
    </row>
    <row r="67" spans="1:22">
      <c r="A67" s="5">
        <f t="shared" si="30"/>
        <v>48</v>
      </c>
      <c r="B67" t="s">
        <v>24</v>
      </c>
      <c r="D67" s="88">
        <v>1501</v>
      </c>
      <c r="E67" s="19">
        <f t="shared" si="27"/>
        <v>6.7159999999998945</v>
      </c>
      <c r="F67" s="149">
        <v>1507.7159999999999</v>
      </c>
      <c r="G67" s="19" t="s">
        <v>156</v>
      </c>
      <c r="H67" s="19">
        <v>49</v>
      </c>
      <c r="I67" s="19"/>
      <c r="J67" s="3">
        <f t="shared" si="28"/>
        <v>1507.7159999999999</v>
      </c>
      <c r="K67" s="56">
        <v>125643</v>
      </c>
      <c r="L67" s="56">
        <v>125643</v>
      </c>
      <c r="M67" s="56">
        <v>125643</v>
      </c>
      <c r="N67" s="56">
        <v>125643</v>
      </c>
      <c r="O67" s="56">
        <v>125643</v>
      </c>
      <c r="P67" s="56">
        <v>125643</v>
      </c>
      <c r="Q67" s="56">
        <v>125643</v>
      </c>
      <c r="R67" s="56">
        <v>125643</v>
      </c>
      <c r="S67" s="56">
        <v>125643</v>
      </c>
      <c r="T67" s="56">
        <v>125643</v>
      </c>
      <c r="U67" s="56">
        <v>125643</v>
      </c>
      <c r="V67" s="56">
        <v>125643</v>
      </c>
    </row>
    <row r="68" spans="1:22">
      <c r="A68" s="5">
        <f t="shared" si="30"/>
        <v>49</v>
      </c>
      <c r="B68" t="s">
        <v>94</v>
      </c>
      <c r="D68" s="88">
        <v>1373</v>
      </c>
      <c r="E68" s="19">
        <f t="shared" si="27"/>
        <v>29.934675200000129</v>
      </c>
      <c r="F68" s="149">
        <v>1402.9346752000001</v>
      </c>
      <c r="G68" s="93"/>
      <c r="H68" s="19">
        <v>348</v>
      </c>
      <c r="I68" s="19"/>
      <c r="J68" s="3">
        <f t="shared" si="28"/>
        <v>1402.9346752000001</v>
      </c>
      <c r="K68" s="56">
        <v>152421.69840000002</v>
      </c>
      <c r="L68" s="56">
        <v>133564.00443200002</v>
      </c>
      <c r="M68" s="56">
        <v>121321.00700800002</v>
      </c>
      <c r="N68" s="56">
        <v>127511.46372000001</v>
      </c>
      <c r="O68" s="56">
        <v>111882.20964</v>
      </c>
      <c r="P68" s="56">
        <v>83672.462360000005</v>
      </c>
      <c r="Q68" s="56">
        <v>132712.63364000001</v>
      </c>
      <c r="R68" s="56">
        <v>127312.81360000001</v>
      </c>
      <c r="S68" s="56">
        <v>108514.70956000002</v>
      </c>
      <c r="T68" s="56">
        <v>79664.010439999998</v>
      </c>
      <c r="U68" s="56">
        <v>86352.80363200001</v>
      </c>
      <c r="V68" s="56">
        <v>138004.85876799998</v>
      </c>
    </row>
    <row r="69" spans="1:22">
      <c r="A69" s="5">
        <f t="shared" si="30"/>
        <v>50</v>
      </c>
      <c r="B69" t="s">
        <v>93</v>
      </c>
      <c r="D69" s="88">
        <v>45</v>
      </c>
      <c r="E69" s="19">
        <f t="shared" si="27"/>
        <v>0.22200000000000131</v>
      </c>
      <c r="F69" s="88">
        <v>45.222000000000001</v>
      </c>
      <c r="G69" s="19"/>
      <c r="H69" s="19">
        <v>8315</v>
      </c>
      <c r="I69" s="19"/>
      <c r="J69" s="3">
        <f t="shared" si="28"/>
        <v>45.222000000000001</v>
      </c>
      <c r="K69" s="56">
        <v>3768.5</v>
      </c>
      <c r="L69" s="56">
        <v>3768.5</v>
      </c>
      <c r="M69" s="56">
        <v>3768.5</v>
      </c>
      <c r="N69" s="56">
        <v>3768.5</v>
      </c>
      <c r="O69" s="56">
        <v>3768.5</v>
      </c>
      <c r="P69" s="56">
        <v>3768.5</v>
      </c>
      <c r="Q69" s="56">
        <v>3768.5</v>
      </c>
      <c r="R69" s="56">
        <v>3768.5</v>
      </c>
      <c r="S69" s="56">
        <v>3768.5</v>
      </c>
      <c r="T69" s="56">
        <v>3768.5</v>
      </c>
      <c r="U69" s="56">
        <v>3768.5</v>
      </c>
      <c r="V69" s="56">
        <v>3768.5</v>
      </c>
    </row>
    <row r="70" spans="1:22">
      <c r="A70" s="5">
        <f t="shared" si="30"/>
        <v>51</v>
      </c>
      <c r="B70" t="s">
        <v>124</v>
      </c>
      <c r="D70" s="88">
        <v>135</v>
      </c>
      <c r="E70" s="19">
        <f t="shared" si="27"/>
        <v>5.0000000000000284</v>
      </c>
      <c r="F70" s="88">
        <v>140.00000000000003</v>
      </c>
      <c r="G70" s="19"/>
      <c r="H70" s="19">
        <v>1245</v>
      </c>
      <c r="I70" s="19"/>
      <c r="J70" s="3">
        <f t="shared" si="28"/>
        <v>140.00000000000003</v>
      </c>
      <c r="K70" s="56">
        <v>11666.666666666666</v>
      </c>
      <c r="L70" s="56">
        <v>11666.666666666666</v>
      </c>
      <c r="M70" s="56">
        <v>11666.666666666666</v>
      </c>
      <c r="N70" s="56">
        <v>11666.666666666666</v>
      </c>
      <c r="O70" s="56">
        <v>11666.666666666666</v>
      </c>
      <c r="P70" s="56">
        <v>11666.666666666666</v>
      </c>
      <c r="Q70" s="56">
        <f t="shared" ref="Q70:V70" si="31">$F70*1000/12</f>
        <v>11666.66666666667</v>
      </c>
      <c r="R70" s="56">
        <f t="shared" si="31"/>
        <v>11666.66666666667</v>
      </c>
      <c r="S70" s="56">
        <f t="shared" si="31"/>
        <v>11666.66666666667</v>
      </c>
      <c r="T70" s="56">
        <f t="shared" si="31"/>
        <v>11666.66666666667</v>
      </c>
      <c r="U70" s="56">
        <f t="shared" si="31"/>
        <v>11666.66666666667</v>
      </c>
      <c r="V70" s="56">
        <f t="shared" si="31"/>
        <v>11666.66666666667</v>
      </c>
    </row>
    <row r="71" spans="1:22">
      <c r="A71" s="5">
        <f t="shared" si="30"/>
        <v>52</v>
      </c>
      <c r="B71" t="s">
        <v>203</v>
      </c>
      <c r="C71" s="12"/>
      <c r="D71" s="88">
        <v>558</v>
      </c>
      <c r="E71" s="19">
        <f t="shared" si="27"/>
        <v>0</v>
      </c>
      <c r="F71" s="88">
        <v>558</v>
      </c>
      <c r="G71" s="93"/>
      <c r="H71" s="19">
        <v>1689</v>
      </c>
      <c r="I71" s="19"/>
      <c r="J71" s="3">
        <f t="shared" si="28"/>
        <v>558</v>
      </c>
      <c r="K71" s="56">
        <v>46500</v>
      </c>
      <c r="L71" s="56">
        <v>46500</v>
      </c>
      <c r="M71" s="56">
        <v>46500</v>
      </c>
      <c r="N71" s="56">
        <v>46500</v>
      </c>
      <c r="O71" s="56">
        <v>46500</v>
      </c>
      <c r="P71" s="56">
        <v>46500</v>
      </c>
      <c r="Q71" s="56">
        <f t="shared" ref="Q71:V71" si="32">558000/12</f>
        <v>46500</v>
      </c>
      <c r="R71" s="56">
        <f t="shared" si="32"/>
        <v>46500</v>
      </c>
      <c r="S71" s="56">
        <f t="shared" si="32"/>
        <v>46500</v>
      </c>
      <c r="T71" s="56">
        <f t="shared" si="32"/>
        <v>46500</v>
      </c>
      <c r="U71" s="56">
        <f t="shared" si="32"/>
        <v>46500</v>
      </c>
      <c r="V71" s="56">
        <f t="shared" si="32"/>
        <v>46500</v>
      </c>
    </row>
    <row r="72" spans="1:22">
      <c r="A72" s="5">
        <f t="shared" si="30"/>
        <v>53</v>
      </c>
      <c r="B72" s="17" t="s">
        <v>28</v>
      </c>
      <c r="C72" s="17"/>
      <c r="D72" s="89">
        <v>643</v>
      </c>
      <c r="E72" s="39">
        <f t="shared" si="27"/>
        <v>-0.41200000000003456</v>
      </c>
      <c r="F72" s="89">
        <v>642.58799999999997</v>
      </c>
      <c r="G72" s="19"/>
      <c r="H72" s="19">
        <v>32.112000000000002</v>
      </c>
      <c r="I72" s="19"/>
      <c r="J72" s="84">
        <f t="shared" si="28"/>
        <v>642.58799999999997</v>
      </c>
      <c r="K72" s="102">
        <v>53549</v>
      </c>
      <c r="L72" s="102">
        <v>53549</v>
      </c>
      <c r="M72" s="102">
        <v>53549</v>
      </c>
      <c r="N72" s="102">
        <v>53549</v>
      </c>
      <c r="O72" s="102">
        <v>53549</v>
      </c>
      <c r="P72" s="102">
        <v>53549</v>
      </c>
      <c r="Q72" s="102">
        <v>53549</v>
      </c>
      <c r="R72" s="102">
        <v>53549</v>
      </c>
      <c r="S72" s="102">
        <v>53549</v>
      </c>
      <c r="T72" s="102">
        <v>53549</v>
      </c>
      <c r="U72" s="102">
        <v>53549</v>
      </c>
      <c r="V72" s="102">
        <v>53549</v>
      </c>
    </row>
    <row r="73" spans="1:22">
      <c r="A73" s="5">
        <f t="shared" si="30"/>
        <v>54</v>
      </c>
      <c r="B73" t="s">
        <v>11</v>
      </c>
      <c r="D73" s="88">
        <f>SUM(D64:D72)</f>
        <v>17354</v>
      </c>
      <c r="E73" s="19">
        <f>F73-D73</f>
        <v>241.34147520000261</v>
      </c>
      <c r="F73" s="19">
        <f>SUM(F64:F72)</f>
        <v>17595.341475200003</v>
      </c>
      <c r="G73" s="19"/>
      <c r="H73" s="19">
        <v>214</v>
      </c>
      <c r="I73" s="19"/>
      <c r="J73" s="3">
        <f t="shared" si="28"/>
        <v>17595.441875199998</v>
      </c>
      <c r="K73" s="25">
        <v>1500385.6650666669</v>
      </c>
      <c r="L73" s="25">
        <v>1481527.9710986668</v>
      </c>
      <c r="M73" s="25">
        <v>1469284.9736746668</v>
      </c>
      <c r="N73" s="25">
        <v>1475475.4303866669</v>
      </c>
      <c r="O73" s="25">
        <v>1459846.1763066668</v>
      </c>
      <c r="P73" s="25">
        <v>1431636.4290266668</v>
      </c>
      <c r="Q73" s="25">
        <f t="shared" ref="Q73:V73" si="33">SUM(Q64:Q72)</f>
        <v>1480659.8669733333</v>
      </c>
      <c r="R73" s="25">
        <f t="shared" si="33"/>
        <v>1475260.0469333334</v>
      </c>
      <c r="S73" s="25">
        <f t="shared" si="33"/>
        <v>1456461.9428933335</v>
      </c>
      <c r="T73" s="25">
        <f t="shared" si="33"/>
        <v>1433291.2437733335</v>
      </c>
      <c r="U73" s="25">
        <f t="shared" si="33"/>
        <v>1439980.0369653334</v>
      </c>
      <c r="V73" s="25">
        <f t="shared" si="33"/>
        <v>1491632.0921013334</v>
      </c>
    </row>
    <row r="74" spans="1:22" ht="12.95" customHeight="1">
      <c r="A74" s="5"/>
      <c r="D74" s="19"/>
      <c r="E74" s="19"/>
      <c r="F74" s="19"/>
      <c r="G74" s="19"/>
      <c r="H74" s="39">
        <v>643</v>
      </c>
      <c r="I74" s="19"/>
      <c r="J74" s="3"/>
    </row>
    <row r="75" spans="1:22" ht="12" customHeight="1">
      <c r="A75" s="5"/>
      <c r="B75" s="7" t="s">
        <v>14</v>
      </c>
      <c r="D75" s="19"/>
      <c r="E75" s="19"/>
      <c r="F75" s="19"/>
      <c r="G75" s="19"/>
      <c r="H75" s="19">
        <v>13307.111999999999</v>
      </c>
      <c r="I75" s="19"/>
      <c r="J75" s="3"/>
    </row>
    <row r="76" spans="1:22" ht="12" customHeight="1">
      <c r="A76" s="5">
        <f>A73+1</f>
        <v>55</v>
      </c>
      <c r="B76" t="s">
        <v>103</v>
      </c>
      <c r="D76" s="88">
        <v>997</v>
      </c>
      <c r="E76" s="88">
        <f>F76-D76</f>
        <v>32</v>
      </c>
      <c r="F76" s="88">
        <v>1029</v>
      </c>
      <c r="G76" s="88"/>
      <c r="H76" s="88"/>
      <c r="I76" s="19"/>
      <c r="J76" s="3">
        <f t="shared" ref="J76" si="34">SUM(K76:V76)/1000</f>
        <v>1029</v>
      </c>
      <c r="K76" s="56">
        <v>85750</v>
      </c>
      <c r="L76" s="56">
        <v>85750</v>
      </c>
      <c r="M76" s="56">
        <v>85750</v>
      </c>
      <c r="N76" s="56">
        <v>85750</v>
      </c>
      <c r="O76" s="56">
        <v>85750</v>
      </c>
      <c r="P76" s="56">
        <v>85750</v>
      </c>
      <c r="Q76" s="56">
        <f t="shared" ref="Q76:V76" si="35">$F76*1000/12</f>
        <v>85750</v>
      </c>
      <c r="R76" s="56">
        <f t="shared" si="35"/>
        <v>85750</v>
      </c>
      <c r="S76" s="56">
        <f t="shared" si="35"/>
        <v>85750</v>
      </c>
      <c r="T76" s="56">
        <f t="shared" si="35"/>
        <v>85750</v>
      </c>
      <c r="U76" s="56">
        <f t="shared" si="35"/>
        <v>85750</v>
      </c>
      <c r="V76" s="56">
        <f t="shared" si="35"/>
        <v>85750</v>
      </c>
    </row>
    <row r="77" spans="1:22" ht="12" customHeight="1">
      <c r="A77" s="5"/>
      <c r="D77" s="19"/>
      <c r="E77" s="19"/>
      <c r="F77" s="19"/>
      <c r="G77" s="19"/>
      <c r="H77" s="19"/>
      <c r="I77" s="19"/>
      <c r="J77" s="3"/>
    </row>
    <row r="78" spans="1:22" ht="12" customHeight="1">
      <c r="A78" s="5">
        <f>A76+1</f>
        <v>56</v>
      </c>
      <c r="B78" s="41" t="s">
        <v>15</v>
      </c>
      <c r="C78" s="35"/>
      <c r="D78" s="42">
        <f>D28+D37+D44+D58+D73+D76</f>
        <v>397940</v>
      </c>
      <c r="E78" s="42">
        <f>F78-D78</f>
        <v>-163878.74029299998</v>
      </c>
      <c r="F78" s="43">
        <f>F28+F37+F44+F58+F73+F76</f>
        <v>234061.25970700002</v>
      </c>
      <c r="G78" s="19"/>
      <c r="H78" s="19">
        <v>133</v>
      </c>
      <c r="I78" s="19"/>
      <c r="J78" s="3"/>
    </row>
    <row r="79" spans="1:22" ht="12" customHeight="1">
      <c r="A79" s="5"/>
      <c r="B79" s="2"/>
      <c r="D79" s="19"/>
      <c r="E79" s="19"/>
      <c r="F79" s="19"/>
      <c r="G79" s="19"/>
      <c r="H79" s="39"/>
      <c r="I79" s="19"/>
      <c r="J79" s="3"/>
      <c r="K79">
        <v>233.30453622750917</v>
      </c>
      <c r="L79">
        <v>131.221883736737</v>
      </c>
      <c r="M79">
        <v>78.585408950224405</v>
      </c>
      <c r="N79">
        <v>-176.03369494378541</v>
      </c>
      <c r="O79">
        <v>-320.98324853987339</v>
      </c>
      <c r="P79">
        <v>-303.35943348407721</v>
      </c>
    </row>
    <row r="80" spans="1:22" ht="12" customHeight="1">
      <c r="A80" s="5"/>
      <c r="B80" s="7" t="s">
        <v>16</v>
      </c>
      <c r="D80" s="19"/>
      <c r="E80" s="19"/>
      <c r="F80" s="19"/>
      <c r="G80" s="19"/>
      <c r="H80" s="42">
        <v>188457.26014905036</v>
      </c>
      <c r="I80" s="19"/>
      <c r="J80" s="3"/>
      <c r="K80" s="47">
        <v>41639</v>
      </c>
      <c r="L80" s="47">
        <v>41670</v>
      </c>
      <c r="M80" s="47">
        <v>41698</v>
      </c>
      <c r="N80" s="47">
        <v>41729</v>
      </c>
      <c r="O80" s="47">
        <v>41759</v>
      </c>
      <c r="P80" s="47">
        <v>41790</v>
      </c>
      <c r="Q80" s="47">
        <v>41455</v>
      </c>
      <c r="R80" s="47">
        <v>41486</v>
      </c>
      <c r="S80" s="47">
        <v>41517</v>
      </c>
      <c r="T80" s="47">
        <v>41547</v>
      </c>
      <c r="U80" s="47">
        <v>41578</v>
      </c>
      <c r="V80" s="47">
        <v>41608</v>
      </c>
    </row>
    <row r="81" spans="1:22" ht="12.95" customHeight="1">
      <c r="A81" s="5">
        <f>A78+1</f>
        <v>57</v>
      </c>
      <c r="B81" t="s">
        <v>152</v>
      </c>
      <c r="D81" s="88">
        <v>0</v>
      </c>
      <c r="E81" s="19">
        <f t="shared" ref="E81:E90" si="36">F81-D81</f>
        <v>38716.826576816988</v>
      </c>
      <c r="F81" s="19">
        <v>38716.826576816988</v>
      </c>
      <c r="G81" s="19"/>
      <c r="H81" s="19"/>
      <c r="I81" s="18"/>
      <c r="J81" s="3">
        <f>SUM(K81:V81)/1000</f>
        <v>38716.826576816988</v>
      </c>
      <c r="K81" s="25">
        <v>3992870.02563476</v>
      </c>
      <c r="L81" s="25">
        <v>2959661.1387848803</v>
      </c>
      <c r="M81" s="25">
        <v>3587521.7065811097</v>
      </c>
      <c r="N81" s="25">
        <v>5107522.3770141602</v>
      </c>
      <c r="O81" s="25">
        <v>3860261.8541717501</v>
      </c>
      <c r="P81" s="25">
        <v>2450588.4336471502</v>
      </c>
      <c r="Q81" s="25">
        <f>-'WGJ-4'!J9</f>
        <v>2890904.5322418199</v>
      </c>
      <c r="R81" s="25">
        <f>-'WGJ-4'!K9</f>
        <v>1667142.02017784</v>
      </c>
      <c r="S81" s="25">
        <f>-'WGJ-4'!L9</f>
        <v>2771399.0316390898</v>
      </c>
      <c r="T81" s="25">
        <f>-'WGJ-4'!M9</f>
        <v>1997572.15309143</v>
      </c>
      <c r="U81" s="25">
        <f>-'WGJ-4'!N9</f>
        <v>3081041.5893554599</v>
      </c>
      <c r="V81" s="25">
        <f>-'WGJ-4'!O9</f>
        <v>4350341.7144775307</v>
      </c>
    </row>
    <row r="82" spans="1:22" ht="12.95" customHeight="1">
      <c r="A82" s="5">
        <f t="shared" ref="A82:A90" si="37">A81+1</f>
        <v>58</v>
      </c>
      <c r="B82" t="s">
        <v>180</v>
      </c>
      <c r="D82" s="88">
        <v>105602</v>
      </c>
      <c r="E82" s="19">
        <f t="shared" si="36"/>
        <v>-105602</v>
      </c>
      <c r="F82" s="128">
        <v>0</v>
      </c>
      <c r="G82" s="19"/>
      <c r="H82" s="19"/>
      <c r="I82" s="18"/>
      <c r="J82" s="3">
        <f>SUM(K82:V82)/1000</f>
        <v>0</v>
      </c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</row>
    <row r="83" spans="1:22" ht="12.95" customHeight="1">
      <c r="A83" s="5">
        <f t="shared" si="37"/>
        <v>59</v>
      </c>
      <c r="B83" t="s">
        <v>179</v>
      </c>
      <c r="D83" s="88">
        <v>0</v>
      </c>
      <c r="E83" s="19">
        <f t="shared" si="36"/>
        <v>436.74923923145877</v>
      </c>
      <c r="F83" s="148">
        <v>436.74923923145877</v>
      </c>
      <c r="G83" s="19"/>
      <c r="H83" s="19"/>
      <c r="I83" s="18"/>
      <c r="J83" s="3">
        <f>SUM(K83:V83)/1000</f>
        <v>436.74923923145877</v>
      </c>
      <c r="K83" s="25">
        <v>-233304.53622750918</v>
      </c>
      <c r="L83" s="25">
        <v>-131221.88373673699</v>
      </c>
      <c r="M83" s="25">
        <v>-78585.408950224402</v>
      </c>
      <c r="N83" s="25">
        <v>176033.69494378541</v>
      </c>
      <c r="O83" s="25">
        <v>320983.2485398734</v>
      </c>
      <c r="P83" s="25">
        <v>303359.43348407722</v>
      </c>
      <c r="Q83" s="25">
        <v>221260.8332958073</v>
      </c>
      <c r="R83" s="25">
        <v>-74259.4805707224</v>
      </c>
      <c r="S83" s="25">
        <v>-20774.81808611194</v>
      </c>
      <c r="T83" s="25">
        <v>115492.34864157636</v>
      </c>
      <c r="U83" s="25">
        <v>-13349.238482630057</v>
      </c>
      <c r="V83" s="25">
        <v>-148884.953619726</v>
      </c>
    </row>
    <row r="84" spans="1:22">
      <c r="A84" s="5">
        <f t="shared" si="37"/>
        <v>60</v>
      </c>
      <c r="B84" s="6" t="s">
        <v>114</v>
      </c>
      <c r="D84" s="88">
        <v>9501</v>
      </c>
      <c r="E84" s="19">
        <f t="shared" si="36"/>
        <v>-9501</v>
      </c>
      <c r="F84" s="88">
        <v>0</v>
      </c>
      <c r="G84" s="19"/>
      <c r="H84" s="19"/>
      <c r="I84" s="19"/>
      <c r="J84" s="3">
        <f t="shared" ref="J84:J91" si="38">SUM(K84:V84)/1000</f>
        <v>0</v>
      </c>
      <c r="K84" s="131">
        <v>0</v>
      </c>
      <c r="L84" s="131">
        <v>0</v>
      </c>
      <c r="M84" s="131">
        <v>0</v>
      </c>
      <c r="N84" s="131">
        <v>0</v>
      </c>
      <c r="O84" s="131">
        <v>0</v>
      </c>
      <c r="P84" s="131">
        <v>0</v>
      </c>
      <c r="Q84" s="131">
        <v>0</v>
      </c>
      <c r="R84" s="131">
        <v>0</v>
      </c>
      <c r="S84" s="131">
        <v>0</v>
      </c>
      <c r="T84" s="131">
        <v>0</v>
      </c>
      <c r="U84" s="131">
        <v>0</v>
      </c>
      <c r="V84" s="131">
        <v>0</v>
      </c>
    </row>
    <row r="85" spans="1:22">
      <c r="A85" s="5">
        <f t="shared" si="37"/>
        <v>61</v>
      </c>
      <c r="B85" t="s">
        <v>29</v>
      </c>
      <c r="D85" s="96">
        <v>1256</v>
      </c>
      <c r="E85" s="19">
        <f t="shared" si="36"/>
        <v>113.71249264605854</v>
      </c>
      <c r="F85" s="88">
        <v>1369.7124926460585</v>
      </c>
      <c r="G85" s="117" t="s">
        <v>120</v>
      </c>
      <c r="H85" s="96">
        <v>1800</v>
      </c>
      <c r="I85" s="92" t="s">
        <v>120</v>
      </c>
      <c r="J85" s="3">
        <f t="shared" si="38"/>
        <v>1369.7124926460585</v>
      </c>
      <c r="K85" s="25">
        <v>142582.54594488634</v>
      </c>
      <c r="L85" s="25">
        <v>117984.89775735646</v>
      </c>
      <c r="M85" s="25">
        <v>121835.26717832882</v>
      </c>
      <c r="N85" s="25">
        <v>83440.301625137188</v>
      </c>
      <c r="O85" s="25">
        <v>67681.36570982424</v>
      </c>
      <c r="P85" s="25">
        <v>66395.366285559197</v>
      </c>
      <c r="Q85" s="25">
        <f>Index!J16</f>
        <v>119524.81075188291</v>
      </c>
      <c r="R85" s="25">
        <f>Index!K16</f>
        <v>133288.54307814708</v>
      </c>
      <c r="S85" s="25">
        <f>Index!L16</f>
        <v>127491.29222335327</v>
      </c>
      <c r="T85" s="25">
        <f>Index!M16</f>
        <v>121066.03088995304</v>
      </c>
      <c r="U85" s="25">
        <f>Index!N16</f>
        <v>126939.24867661203</v>
      </c>
      <c r="V85" s="25">
        <f>Index!O16</f>
        <v>141482.82252501784</v>
      </c>
    </row>
    <row r="86" spans="1:22">
      <c r="A86" s="5">
        <f t="shared" si="37"/>
        <v>62</v>
      </c>
      <c r="B86" t="s">
        <v>118</v>
      </c>
      <c r="D86" s="96">
        <v>150</v>
      </c>
      <c r="E86" s="19">
        <f t="shared" si="36"/>
        <v>6</v>
      </c>
      <c r="F86" s="88">
        <v>156</v>
      </c>
      <c r="G86" s="20"/>
      <c r="H86" s="20">
        <v>-63</v>
      </c>
      <c r="J86" s="3">
        <f t="shared" si="38"/>
        <v>156</v>
      </c>
      <c r="K86" s="25">
        <v>13000</v>
      </c>
      <c r="L86" s="25">
        <v>13000</v>
      </c>
      <c r="M86" s="25">
        <v>13000</v>
      </c>
      <c r="N86" s="25">
        <v>13000</v>
      </c>
      <c r="O86" s="25">
        <v>13000</v>
      </c>
      <c r="P86" s="25">
        <v>13000</v>
      </c>
      <c r="Q86" s="25">
        <f t="shared" ref="Q86:V87" si="39">$F86/12*1000</f>
        <v>13000</v>
      </c>
      <c r="R86" s="25">
        <f t="shared" si="39"/>
        <v>13000</v>
      </c>
      <c r="S86" s="25">
        <f t="shared" si="39"/>
        <v>13000</v>
      </c>
      <c r="T86" s="25">
        <f t="shared" si="39"/>
        <v>13000</v>
      </c>
      <c r="U86" s="25">
        <f t="shared" si="39"/>
        <v>13000</v>
      </c>
      <c r="V86" s="25">
        <f t="shared" si="39"/>
        <v>13000</v>
      </c>
    </row>
    <row r="87" spans="1:22">
      <c r="A87" s="5">
        <f t="shared" si="37"/>
        <v>63</v>
      </c>
      <c r="B87" t="s">
        <v>30</v>
      </c>
      <c r="D87" s="96">
        <v>525</v>
      </c>
      <c r="E87" s="19">
        <f t="shared" si="36"/>
        <v>45</v>
      </c>
      <c r="F87" s="88">
        <v>570</v>
      </c>
      <c r="G87" s="77"/>
      <c r="H87" s="77">
        <v>272</v>
      </c>
      <c r="J87" s="3">
        <f t="shared" si="38"/>
        <v>570</v>
      </c>
      <c r="K87" s="25">
        <v>47500</v>
      </c>
      <c r="L87" s="25">
        <v>47500</v>
      </c>
      <c r="M87" s="25">
        <v>47500</v>
      </c>
      <c r="N87" s="25">
        <v>47500</v>
      </c>
      <c r="O87" s="25">
        <v>47500</v>
      </c>
      <c r="P87" s="25">
        <v>47500</v>
      </c>
      <c r="Q87" s="25">
        <f t="shared" si="39"/>
        <v>47500</v>
      </c>
      <c r="R87" s="25">
        <f t="shared" si="39"/>
        <v>47500</v>
      </c>
      <c r="S87" s="25">
        <f t="shared" si="39"/>
        <v>47500</v>
      </c>
      <c r="T87" s="25">
        <f t="shared" si="39"/>
        <v>47500</v>
      </c>
      <c r="U87" s="25">
        <f t="shared" si="39"/>
        <v>47500</v>
      </c>
      <c r="V87" s="25">
        <f t="shared" si="39"/>
        <v>47500</v>
      </c>
    </row>
    <row r="88" spans="1:22">
      <c r="A88" s="5">
        <f t="shared" si="37"/>
        <v>64</v>
      </c>
      <c r="B88" t="s">
        <v>230</v>
      </c>
      <c r="D88" s="96">
        <v>12149</v>
      </c>
      <c r="E88" s="19">
        <f t="shared" si="36"/>
        <v>262.43772331475338</v>
      </c>
      <c r="F88" s="88">
        <v>12411.437723314753</v>
      </c>
      <c r="G88" s="20"/>
      <c r="H88" s="20"/>
      <c r="J88" s="3">
        <f t="shared" si="38"/>
        <v>12411.437723314753</v>
      </c>
      <c r="K88" s="25">
        <v>1250364.5335006709</v>
      </c>
      <c r="L88" s="25">
        <v>1047541.8875312797</v>
      </c>
      <c r="M88" s="25">
        <v>1095645.4094338405</v>
      </c>
      <c r="N88" s="25">
        <v>801466.3039684284</v>
      </c>
      <c r="O88" s="25">
        <v>696076.75435066118</v>
      </c>
      <c r="P88" s="25">
        <v>680120.56789398054</v>
      </c>
      <c r="Q88" s="25">
        <f>Index!J21</f>
        <v>1072781.4886665335</v>
      </c>
      <c r="R88" s="25">
        <f>Index!K21</f>
        <v>1182912.1384048455</v>
      </c>
      <c r="S88" s="25">
        <f>Index!L21</f>
        <v>1131755.4176330559</v>
      </c>
      <c r="T88" s="25">
        <f>Index!M21</f>
        <v>1087391.1776161185</v>
      </c>
      <c r="U88" s="25">
        <f>Index!N21</f>
        <v>1127938.4616851795</v>
      </c>
      <c r="V88" s="25">
        <f>Index!O21</f>
        <v>1237443.5826301568</v>
      </c>
    </row>
    <row r="89" spans="1:22">
      <c r="A89" s="5">
        <f t="shared" si="37"/>
        <v>65</v>
      </c>
      <c r="B89" t="s">
        <v>233</v>
      </c>
      <c r="D89" s="96">
        <v>0</v>
      </c>
      <c r="E89" s="19">
        <f t="shared" si="36"/>
        <v>528.17067232131808</v>
      </c>
      <c r="F89" s="88">
        <v>528.17067232131808</v>
      </c>
      <c r="G89" s="20"/>
      <c r="H89" s="20"/>
      <c r="J89" s="3">
        <f t="shared" si="38"/>
        <v>528.17067232131808</v>
      </c>
      <c r="K89" s="25">
        <v>42275.313377380968</v>
      </c>
      <c r="L89" s="25">
        <v>37443.219089508006</v>
      </c>
      <c r="M89" s="25">
        <v>42153.357410430996</v>
      </c>
      <c r="N89" s="25">
        <v>40090.917778014984</v>
      </c>
      <c r="O89" s="25">
        <v>46525.235795974026</v>
      </c>
      <c r="P89" s="25">
        <v>62262.770032882996</v>
      </c>
      <c r="Q89" s="25">
        <v>50951.742553709977</v>
      </c>
      <c r="R89" s="25">
        <v>44806.467247008979</v>
      </c>
      <c r="S89" s="25">
        <v>39912.834739684993</v>
      </c>
      <c r="T89" s="25">
        <v>40562.511157990004</v>
      </c>
      <c r="U89" s="25">
        <v>39637.582778930009</v>
      </c>
      <c r="V89" s="25">
        <v>41548.720359801991</v>
      </c>
    </row>
    <row r="90" spans="1:22">
      <c r="A90" s="5">
        <f t="shared" si="37"/>
        <v>66</v>
      </c>
      <c r="B90" s="17" t="s">
        <v>220</v>
      </c>
      <c r="C90" s="17"/>
      <c r="D90" s="89">
        <v>1654</v>
      </c>
      <c r="E90" s="39">
        <f t="shared" si="36"/>
        <v>-1654</v>
      </c>
      <c r="F90" s="39">
        <v>0</v>
      </c>
      <c r="G90" s="20"/>
      <c r="H90" s="20"/>
      <c r="J90" s="3">
        <f t="shared" si="38"/>
        <v>0</v>
      </c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pans="1:22">
      <c r="A91" s="5">
        <f>A90+1</f>
        <v>67</v>
      </c>
      <c r="B91" t="s">
        <v>17</v>
      </c>
      <c r="D91" s="19">
        <f>SUM(D81:D90)</f>
        <v>130837</v>
      </c>
      <c r="E91" s="19">
        <f>F91-D91</f>
        <v>-76648.103295669425</v>
      </c>
      <c r="F91" s="19">
        <f>SUM(F81:F90)</f>
        <v>54188.896704330582</v>
      </c>
      <c r="G91" s="19"/>
      <c r="H91" s="39">
        <v>0</v>
      </c>
      <c r="I91" s="19"/>
      <c r="J91" s="3">
        <f t="shared" si="38"/>
        <v>54188.89670433056</v>
      </c>
      <c r="K91" s="25">
        <v>5255287.8822301896</v>
      </c>
      <c r="L91" s="25">
        <v>4091909.2594262874</v>
      </c>
      <c r="M91" s="25">
        <v>4829070.3316534851</v>
      </c>
      <c r="N91" s="25">
        <v>6269053.5953295268</v>
      </c>
      <c r="O91" s="25">
        <v>5052028.4585680831</v>
      </c>
      <c r="P91" s="25">
        <v>3623226.5713436506</v>
      </c>
      <c r="Q91" s="25">
        <f t="shared" ref="Q91:V91" si="40">SUM(Q81:Q90)</f>
        <v>4415923.4075097535</v>
      </c>
      <c r="R91" s="25">
        <f t="shared" si="40"/>
        <v>3014389.6883371188</v>
      </c>
      <c r="S91" s="25">
        <f t="shared" si="40"/>
        <v>4110283.7581490725</v>
      </c>
      <c r="T91" s="25">
        <f t="shared" si="40"/>
        <v>3422584.2213970679</v>
      </c>
      <c r="U91" s="25">
        <f t="shared" si="40"/>
        <v>4422707.6440135511</v>
      </c>
      <c r="V91" s="25">
        <f t="shared" si="40"/>
        <v>5682431.8863727814</v>
      </c>
    </row>
    <row r="92" spans="1:22">
      <c r="A92" s="5"/>
      <c r="D92" s="19">
        <v>130837</v>
      </c>
      <c r="E92" s="19"/>
      <c r="F92" s="19"/>
      <c r="G92" s="19"/>
      <c r="H92" s="19">
        <v>62060.890920372694</v>
      </c>
      <c r="I92" s="1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>
      <c r="A93" s="5"/>
      <c r="B93" s="7" t="s">
        <v>18</v>
      </c>
      <c r="D93" s="19"/>
      <c r="E93" s="19" t="s">
        <v>9</v>
      </c>
      <c r="F93" s="19"/>
      <c r="G93" s="19"/>
      <c r="H93" s="19"/>
      <c r="I93" s="19"/>
      <c r="J93" s="3"/>
    </row>
    <row r="94" spans="1:22">
      <c r="A94" s="5">
        <f>A91+1</f>
        <v>68</v>
      </c>
      <c r="B94" t="s">
        <v>206</v>
      </c>
      <c r="D94" s="88">
        <v>3245</v>
      </c>
      <c r="E94" s="88">
        <f>F94-D94</f>
        <v>-3245</v>
      </c>
      <c r="F94" s="88">
        <v>0</v>
      </c>
      <c r="G94" s="88"/>
      <c r="H94" s="88"/>
      <c r="I94" s="19"/>
      <c r="J94" s="3"/>
      <c r="K94" s="25"/>
      <c r="L94" s="25"/>
      <c r="M94" s="25"/>
      <c r="N94" s="25"/>
      <c r="O94" s="25"/>
      <c r="P94" s="25"/>
      <c r="Q94" s="25">
        <f t="shared" ref="Q94:V94" si="41">850000/12</f>
        <v>70833.333333333328</v>
      </c>
      <c r="R94" s="25">
        <f t="shared" si="41"/>
        <v>70833.333333333328</v>
      </c>
      <c r="S94" s="25">
        <f t="shared" si="41"/>
        <v>70833.333333333328</v>
      </c>
      <c r="T94" s="25">
        <f t="shared" si="41"/>
        <v>70833.333333333328</v>
      </c>
      <c r="U94" s="25">
        <f t="shared" si="41"/>
        <v>70833.333333333328</v>
      </c>
      <c r="V94" s="25">
        <f t="shared" si="41"/>
        <v>70833.333333333328</v>
      </c>
    </row>
    <row r="95" spans="1:22">
      <c r="A95" s="5">
        <f>A94+1</f>
        <v>69</v>
      </c>
      <c r="B95" t="s">
        <v>222</v>
      </c>
      <c r="D95" s="88">
        <v>163</v>
      </c>
      <c r="E95" s="88">
        <f>F95-D95</f>
        <v>-163</v>
      </c>
      <c r="F95" s="88">
        <v>0</v>
      </c>
      <c r="G95" s="88"/>
      <c r="H95" s="88"/>
      <c r="I95" s="19"/>
      <c r="J95" s="3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1:22">
      <c r="A96" s="5">
        <f t="shared" ref="A96:A97" si="42">A95+1</f>
        <v>70</v>
      </c>
      <c r="B96" s="17" t="s">
        <v>95</v>
      </c>
      <c r="C96" s="17"/>
      <c r="D96" s="88">
        <v>95212</v>
      </c>
      <c r="E96" s="39">
        <f>F96-D96</f>
        <v>-95212</v>
      </c>
      <c r="F96" s="19">
        <v>0</v>
      </c>
      <c r="G96" s="19"/>
      <c r="H96" s="19">
        <v>48</v>
      </c>
      <c r="I96" s="19"/>
      <c r="J96" s="3"/>
    </row>
    <row r="97" spans="1:22">
      <c r="A97" s="5">
        <f t="shared" si="42"/>
        <v>71</v>
      </c>
      <c r="B97" t="s">
        <v>19</v>
      </c>
      <c r="D97" s="104">
        <f>SUM(D94:D96)</f>
        <v>98620</v>
      </c>
      <c r="E97" s="19">
        <f>F97-D97</f>
        <v>-98620</v>
      </c>
      <c r="F97" s="21">
        <f>SUM(F94:F96)</f>
        <v>0</v>
      </c>
      <c r="G97" s="19"/>
      <c r="H97" s="19">
        <v>0</v>
      </c>
      <c r="I97" s="19"/>
      <c r="J97" s="3"/>
    </row>
    <row r="98" spans="1:22" ht="7.5" customHeight="1">
      <c r="A98" s="5" t="s">
        <v>9</v>
      </c>
      <c r="D98" s="19"/>
      <c r="E98" s="19"/>
      <c r="F98" s="19"/>
      <c r="G98" s="19"/>
      <c r="H98" s="39">
        <v>0</v>
      </c>
      <c r="I98" s="19"/>
      <c r="J98" s="3"/>
    </row>
    <row r="99" spans="1:22">
      <c r="A99" s="5"/>
      <c r="B99" s="44" t="s">
        <v>27</v>
      </c>
      <c r="D99" s="19"/>
      <c r="E99" s="19"/>
      <c r="F99" s="19" t="s">
        <v>9</v>
      </c>
      <c r="G99" s="19"/>
      <c r="H99" s="19">
        <v>48</v>
      </c>
      <c r="I99" s="19"/>
      <c r="J99" s="3"/>
    </row>
    <row r="100" spans="1:22">
      <c r="A100" s="5">
        <f>A97+1</f>
        <v>72</v>
      </c>
      <c r="B100" t="s">
        <v>25</v>
      </c>
      <c r="D100" s="88">
        <v>418</v>
      </c>
      <c r="E100" s="88">
        <f>F100-D100</f>
        <v>48</v>
      </c>
      <c r="F100" s="88">
        <v>466</v>
      </c>
      <c r="G100" s="88"/>
      <c r="H100" s="88"/>
      <c r="I100" s="19"/>
      <c r="J100" s="3">
        <f t="shared" ref="J100" si="43">SUM(K100:V100)/1000</f>
        <v>465.99999999999994</v>
      </c>
      <c r="K100" s="56">
        <v>38833.333333333336</v>
      </c>
      <c r="L100" s="56">
        <v>38833.333333333336</v>
      </c>
      <c r="M100" s="56">
        <v>38833.333333333336</v>
      </c>
      <c r="N100" s="56">
        <v>38833.333333333336</v>
      </c>
      <c r="O100" s="56">
        <v>38833.333333333336</v>
      </c>
      <c r="P100" s="56">
        <v>38833.333333333336</v>
      </c>
      <c r="Q100" s="56">
        <f t="shared" ref="Q100:V100" si="44">$F100*1000/12</f>
        <v>38833.333333333336</v>
      </c>
      <c r="R100" s="56">
        <f t="shared" si="44"/>
        <v>38833.333333333336</v>
      </c>
      <c r="S100" s="56">
        <f t="shared" si="44"/>
        <v>38833.333333333336</v>
      </c>
      <c r="T100" s="56">
        <f t="shared" si="44"/>
        <v>38833.333333333336</v>
      </c>
      <c r="U100" s="56">
        <f t="shared" si="44"/>
        <v>38833.333333333336</v>
      </c>
      <c r="V100" s="56">
        <f t="shared" si="44"/>
        <v>38833.333333333336</v>
      </c>
    </row>
    <row r="101" spans="1:22" ht="6.75" customHeight="1">
      <c r="A101" s="5"/>
      <c r="D101" s="88"/>
      <c r="E101" s="19"/>
      <c r="F101" s="88"/>
      <c r="G101" s="19"/>
      <c r="H101" s="19" t="s">
        <v>9</v>
      </c>
      <c r="I101" s="19"/>
      <c r="J101" s="3"/>
    </row>
    <row r="102" spans="1:22" ht="6" customHeight="1">
      <c r="A102" s="5"/>
      <c r="D102" s="19"/>
      <c r="E102" s="19"/>
      <c r="F102" s="19"/>
      <c r="G102" s="19"/>
      <c r="H102" s="19"/>
      <c r="I102" s="19"/>
      <c r="J102" s="3"/>
    </row>
    <row r="103" spans="1:22">
      <c r="A103" s="5">
        <f>A100+1</f>
        <v>73</v>
      </c>
      <c r="B103" s="41" t="s">
        <v>20</v>
      </c>
      <c r="C103" s="35"/>
      <c r="D103" s="42">
        <f>D91+D97+D100</f>
        <v>229875</v>
      </c>
      <c r="E103" s="42">
        <f>F103-D103</f>
        <v>-175220.10329566943</v>
      </c>
      <c r="F103" s="43">
        <f>F91+F97+F100</f>
        <v>54654.896704330582</v>
      </c>
      <c r="G103" s="19"/>
      <c r="H103" s="19">
        <v>24</v>
      </c>
      <c r="I103" s="19"/>
      <c r="J103" s="3"/>
    </row>
    <row r="104" spans="1:22" ht="7.5" customHeight="1">
      <c r="A104" s="5"/>
      <c r="D104" s="19"/>
      <c r="E104" s="19"/>
      <c r="F104" s="19"/>
      <c r="G104" s="19"/>
      <c r="H104" s="19"/>
      <c r="I104" s="19"/>
      <c r="J104" s="3"/>
    </row>
    <row r="105" spans="1:22">
      <c r="A105" s="5">
        <f>A103+1</f>
        <v>74</v>
      </c>
      <c r="B105" s="41" t="s">
        <v>140</v>
      </c>
      <c r="C105" s="35"/>
      <c r="D105" s="42">
        <f>D78-D103</f>
        <v>168065</v>
      </c>
      <c r="E105" s="42">
        <f>F105-D105</f>
        <v>11341.363002669445</v>
      </c>
      <c r="F105" s="43">
        <f>F78-F103</f>
        <v>179406.36300266944</v>
      </c>
      <c r="G105" s="19"/>
      <c r="H105" s="42">
        <v>62497.890920372694</v>
      </c>
      <c r="I105" s="19"/>
      <c r="J105" s="3"/>
    </row>
    <row r="106" spans="1:22" ht="6" customHeight="1">
      <c r="A106" s="5"/>
      <c r="D106" s="19"/>
      <c r="E106" s="19"/>
      <c r="F106" s="19"/>
      <c r="G106" s="19"/>
      <c r="H106" s="19"/>
      <c r="I106" s="19"/>
      <c r="J106" s="3"/>
    </row>
    <row r="107" spans="1:22" ht="12.75" customHeight="1">
      <c r="A107" s="5"/>
      <c r="B107" s="2"/>
      <c r="D107" s="19"/>
      <c r="E107" s="144">
        <f>F105/D105-1</f>
        <v>6.7482004002436202E-2</v>
      </c>
      <c r="G107" s="19"/>
      <c r="H107" s="19"/>
      <c r="I107" s="19"/>
      <c r="J107" s="3"/>
    </row>
    <row r="108" spans="1:22" ht="9" customHeight="1">
      <c r="A108" s="5"/>
      <c r="B108" s="106"/>
      <c r="D108" s="19"/>
      <c r="F108"/>
      <c r="G108" s="19"/>
      <c r="H108" s="19"/>
      <c r="I108" s="19"/>
      <c r="J108" s="3"/>
    </row>
    <row r="109" spans="1:22" ht="12.75" customHeight="1">
      <c r="A109" s="5"/>
      <c r="B109" s="2"/>
      <c r="D109" s="3"/>
      <c r="F109" s="3">
        <v>9300991</v>
      </c>
      <c r="J109" s="3"/>
    </row>
    <row r="110" spans="1:22">
      <c r="J110" s="3"/>
    </row>
    <row r="111" spans="1:22">
      <c r="F111" s="146">
        <f>F105*1000/F109</f>
        <v>19.288951360416267</v>
      </c>
      <c r="I111" s="20" t="s">
        <v>227</v>
      </c>
      <c r="J111" s="25">
        <f>SUM(K111:V111)</f>
        <v>160841021.52746943</v>
      </c>
      <c r="K111" s="25">
        <f t="shared" ref="K111:V111" si="45">K28+K44+K58-K91</f>
        <v>18702228.837630454</v>
      </c>
      <c r="L111" s="25">
        <f t="shared" si="45"/>
        <v>16670497.13088613</v>
      </c>
      <c r="M111" s="25">
        <f t="shared" si="45"/>
        <v>15227749.131000487</v>
      </c>
      <c r="N111" s="25">
        <f t="shared" si="45"/>
        <v>9822898.6207917333</v>
      </c>
      <c r="O111" s="25">
        <f t="shared" si="45"/>
        <v>6487171.5245482698</v>
      </c>
      <c r="P111" s="25">
        <f t="shared" si="45"/>
        <v>6829511.7827217709</v>
      </c>
      <c r="Q111" s="25">
        <f t="shared" si="45"/>
        <v>10357892.686195081</v>
      </c>
      <c r="R111" s="25">
        <f t="shared" si="45"/>
        <v>14930851.711730512</v>
      </c>
      <c r="S111" s="25">
        <f t="shared" si="45"/>
        <v>12573843.320080999</v>
      </c>
      <c r="T111" s="25">
        <f t="shared" si="45"/>
        <v>13815173.645499364</v>
      </c>
      <c r="U111" s="25">
        <f t="shared" si="45"/>
        <v>17328976.456170343</v>
      </c>
      <c r="V111" s="25">
        <f t="shared" si="45"/>
        <v>18094226.680214297</v>
      </c>
    </row>
    <row r="112" spans="1:22">
      <c r="J112" s="3"/>
    </row>
    <row r="113" spans="9:22">
      <c r="I113" s="20" t="s">
        <v>228</v>
      </c>
      <c r="J113" s="25">
        <f>SUM(K113:V113)</f>
        <v>179406463.40266943</v>
      </c>
      <c r="K113" s="25">
        <f t="shared" ref="K113:V113" si="46">K111+K37+K73+K76-K100</f>
        <v>20283447.836030457</v>
      </c>
      <c r="L113" s="25">
        <f t="shared" si="46"/>
        <v>18232858.435318131</v>
      </c>
      <c r="M113" s="25">
        <f t="shared" si="46"/>
        <v>16777867.438008487</v>
      </c>
      <c r="N113" s="25">
        <f t="shared" si="46"/>
        <v>11379207.384511732</v>
      </c>
      <c r="O113" s="25">
        <f t="shared" si="46"/>
        <v>8027851.0341882706</v>
      </c>
      <c r="P113" s="25">
        <f t="shared" si="46"/>
        <v>8341981.5450817719</v>
      </c>
      <c r="Q113" s="25">
        <f t="shared" si="46"/>
        <v>11919385.886501746</v>
      </c>
      <c r="R113" s="25">
        <f t="shared" si="46"/>
        <v>16486945.091997178</v>
      </c>
      <c r="S113" s="25">
        <f t="shared" si="46"/>
        <v>14111138.596307665</v>
      </c>
      <c r="T113" s="25">
        <f t="shared" si="46"/>
        <v>15329298.222606029</v>
      </c>
      <c r="U113" s="25">
        <f t="shared" si="46"/>
        <v>18849789.826469012</v>
      </c>
      <c r="V113" s="25">
        <f t="shared" si="46"/>
        <v>19666692.105648965</v>
      </c>
    </row>
    <row r="114" spans="9:22">
      <c r="J114" s="3"/>
    </row>
    <row r="115" spans="9:22">
      <c r="J115" s="3"/>
    </row>
    <row r="116" spans="9:22">
      <c r="J116" s="3"/>
    </row>
    <row r="117" spans="9:22">
      <c r="J117" s="3"/>
    </row>
    <row r="118" spans="9:22">
      <c r="J118" s="3"/>
    </row>
    <row r="119" spans="9:22">
      <c r="J119" s="3"/>
    </row>
    <row r="120" spans="9:22">
      <c r="J120" s="3"/>
    </row>
    <row r="121" spans="9:22">
      <c r="J121" s="3"/>
    </row>
    <row r="122" spans="9:22">
      <c r="J122" s="3"/>
    </row>
    <row r="123" spans="9:22">
      <c r="J123" s="3"/>
    </row>
    <row r="124" spans="9:22">
      <c r="J124" s="3"/>
    </row>
    <row r="125" spans="9:22">
      <c r="J125" s="3"/>
    </row>
    <row r="126" spans="9:22">
      <c r="J126" s="3"/>
    </row>
    <row r="127" spans="9:22">
      <c r="J127" s="3"/>
    </row>
    <row r="128" spans="9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</sheetData>
  <phoneticPr fontId="6" type="noConversion"/>
  <pageMargins left="0.75" right="0.75" top="1" bottom="1" header="0.5" footer="0.5"/>
  <pageSetup scale="80" orientation="portrait" r:id="rId1"/>
  <headerFooter scaleWithDoc="0" alignWithMargins="0">
    <oddHeader>&amp;CAttachment G (Power Supply Net Expense - 2018 backup)</oddHeader>
    <oddFooter>&amp;CNOVEMBER 2016 POWER SUPPLY UPDATE&amp;R&amp;"Arial,Regular"&amp;12Page &amp;P of &amp;N</oddFooter>
  </headerFooter>
  <rowBreaks count="1" manualBreakCount="1">
    <brk id="59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6"/>
  <sheetViews>
    <sheetView topLeftCell="A5" zoomScaleNormal="100" workbookViewId="0">
      <pane xSplit="6945" ySplit="1590" activePane="bottomRight"/>
      <selection activeCell="A7" sqref="A7"/>
      <selection pane="topRight" activeCell="D7" sqref="D7:O7"/>
      <selection pane="bottomLeft" activeCell="A3" sqref="A3"/>
      <selection pane="bottomRight" activeCell="A17" sqref="A17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87" t="s">
        <v>31</v>
      </c>
    </row>
    <row r="2" spans="1:16" ht="18">
      <c r="A2" s="87" t="s">
        <v>117</v>
      </c>
    </row>
    <row r="3" spans="1:16" ht="18">
      <c r="A3" s="87" t="s">
        <v>291</v>
      </c>
      <c r="I3" s="14"/>
    </row>
    <row r="4" spans="1:16" ht="18">
      <c r="A4" s="87"/>
      <c r="B4" s="54"/>
      <c r="I4" s="14"/>
    </row>
    <row r="6" spans="1:16">
      <c r="C6" s="37"/>
      <c r="D6" s="37">
        <v>744</v>
      </c>
      <c r="E6" s="37">
        <v>672</v>
      </c>
      <c r="F6" s="37">
        <v>743</v>
      </c>
      <c r="G6" s="37">
        <v>720</v>
      </c>
      <c r="H6" s="37">
        <v>744</v>
      </c>
      <c r="I6" s="37">
        <v>720</v>
      </c>
      <c r="J6" s="37">
        <v>744</v>
      </c>
      <c r="K6" s="37">
        <v>744</v>
      </c>
      <c r="L6" s="37">
        <v>720</v>
      </c>
      <c r="M6" s="37">
        <v>744</v>
      </c>
      <c r="N6" s="37">
        <v>721</v>
      </c>
      <c r="O6" s="37">
        <v>744</v>
      </c>
    </row>
    <row r="7" spans="1:16">
      <c r="C7" s="23" t="s">
        <v>32</v>
      </c>
      <c r="D7" s="129">
        <v>41274</v>
      </c>
      <c r="E7" s="129">
        <v>41305</v>
      </c>
      <c r="F7" s="129">
        <v>41333</v>
      </c>
      <c r="G7" s="129">
        <v>41364</v>
      </c>
      <c r="H7" s="129">
        <v>41394</v>
      </c>
      <c r="I7" s="129">
        <v>41425</v>
      </c>
      <c r="J7" s="129">
        <v>41455</v>
      </c>
      <c r="K7" s="129">
        <v>41486</v>
      </c>
      <c r="L7" s="129">
        <v>41517</v>
      </c>
      <c r="M7" s="129">
        <v>41547</v>
      </c>
      <c r="N7" s="129">
        <v>41578</v>
      </c>
      <c r="O7" s="129">
        <v>41608</v>
      </c>
    </row>
    <row r="8" spans="1:16">
      <c r="C8" s="50"/>
    </row>
    <row r="9" spans="1:16">
      <c r="A9" t="s">
        <v>106</v>
      </c>
      <c r="B9" s="5" t="s">
        <v>50</v>
      </c>
      <c r="C9" s="38">
        <f>SUM(D9:O9)</f>
        <v>-39339655.34965986</v>
      </c>
      <c r="D9" s="25">
        <f>Aurora!B33*1000</f>
        <v>-5500837.6831054604</v>
      </c>
      <c r="E9" s="25">
        <f>Aurora!C33*1000</f>
        <v>-4229790.65341949</v>
      </c>
      <c r="F9" s="25">
        <f>Aurora!D33*1000</f>
        <v>-3050725.1289129201</v>
      </c>
      <c r="G9" s="25">
        <f>Aurora!E33*1000</f>
        <v>-3975187.0182037302</v>
      </c>
      <c r="H9" s="25">
        <f>Aurora!F33*1000</f>
        <v>-3608121.0014343201</v>
      </c>
      <c r="I9" s="25">
        <f>Aurora!G33*1000</f>
        <v>-2216592.8236007597</v>
      </c>
      <c r="J9" s="25">
        <f>Aurora!H33*1000</f>
        <v>-2890904.5322418199</v>
      </c>
      <c r="K9" s="25">
        <f>Aurora!I33*1000</f>
        <v>-1667142.02017784</v>
      </c>
      <c r="L9" s="25">
        <f>Aurora!J33*1000</f>
        <v>-2771399.0316390898</v>
      </c>
      <c r="M9" s="25">
        <f>Aurora!K33*1000</f>
        <v>-1997572.15309143</v>
      </c>
      <c r="N9" s="25">
        <f>Aurora!L33*1000</f>
        <v>-3081041.5893554599</v>
      </c>
      <c r="O9" s="25">
        <f>Aurora!M33*1000</f>
        <v>-4350341.7144775307</v>
      </c>
      <c r="P9" s="25"/>
    </row>
    <row r="10" spans="1:16">
      <c r="A10" t="s">
        <v>107</v>
      </c>
      <c r="C10" s="26">
        <f>SUM(D10:O10)</f>
        <v>-1523263.6046794862</v>
      </c>
      <c r="D10" s="3">
        <f>Aurora!B29*1000</f>
        <v>-169718.434790039</v>
      </c>
      <c r="E10" s="3">
        <f>Aurora!C29*1000</f>
        <v>-137114.308312988</v>
      </c>
      <c r="F10" s="3">
        <f>Aurora!D29*1000</f>
        <v>-116167.48722228999</v>
      </c>
      <c r="G10" s="3">
        <f>Aurora!E29*1000</f>
        <v>-185933.76503906201</v>
      </c>
      <c r="H10" s="3">
        <f>Aurora!F29*1000</f>
        <v>-203754.04853515598</v>
      </c>
      <c r="I10" s="3">
        <f>Aurora!G29*1000</f>
        <v>-138497.277490234</v>
      </c>
      <c r="J10" s="3">
        <f>Aurora!H29*1000</f>
        <v>-110625.63964843701</v>
      </c>
      <c r="K10" s="3">
        <f>Aurora!I29*1000</f>
        <v>-54421.208802413908</v>
      </c>
      <c r="L10" s="3">
        <f>Aurora!J29*1000</f>
        <v>-93024.743676757789</v>
      </c>
      <c r="M10" s="3">
        <f>Aurora!K29*1000</f>
        <v>-74049.711962890593</v>
      </c>
      <c r="N10" s="3">
        <f>Aurora!L29*1000</f>
        <v>-104601.504003906</v>
      </c>
      <c r="O10" s="3">
        <f>Aurora!M29*1000</f>
        <v>-135355.475195312</v>
      </c>
    </row>
    <row r="11" spans="1:16" hidden="1">
      <c r="A11" t="s">
        <v>51</v>
      </c>
      <c r="C11" s="28">
        <f>C9/C10</f>
        <v>25.825901195832362</v>
      </c>
      <c r="D11" s="29">
        <f>D9/D10</f>
        <v>32.411550871952258</v>
      </c>
      <c r="E11" s="29">
        <f t="shared" ref="E11:O11" si="0">E9/E10</f>
        <v>30.848645232299422</v>
      </c>
      <c r="F11" s="29">
        <f t="shared" si="0"/>
        <v>26.261436843126905</v>
      </c>
      <c r="G11" s="29">
        <f t="shared" si="0"/>
        <v>21.379586528399511</v>
      </c>
      <c r="H11" s="29">
        <f t="shared" si="0"/>
        <v>17.708217467942831</v>
      </c>
      <c r="I11" s="29">
        <f t="shared" si="0"/>
        <v>16.004594918893339</v>
      </c>
      <c r="J11" s="29">
        <f t="shared" si="0"/>
        <v>26.132319247409338</v>
      </c>
      <c r="K11" s="29">
        <f t="shared" si="0"/>
        <v>30.634049791703493</v>
      </c>
      <c r="L11" s="29">
        <f t="shared" si="0"/>
        <v>29.792063080218121</v>
      </c>
      <c r="M11" s="29">
        <f t="shared" si="0"/>
        <v>26.976096194573948</v>
      </c>
      <c r="N11" s="29">
        <f t="shared" si="0"/>
        <v>29.455041002473621</v>
      </c>
      <c r="O11" s="29">
        <f t="shared" si="0"/>
        <v>32.140123686907963</v>
      </c>
    </row>
    <row r="12" spans="1:16">
      <c r="A12" t="s">
        <v>105</v>
      </c>
      <c r="C12" s="51">
        <f>C9/C10</f>
        <v>25.825901195832362</v>
      </c>
      <c r="D12" s="49">
        <f>D9/D10</f>
        <v>32.411550871952258</v>
      </c>
      <c r="E12" s="49">
        <f t="shared" ref="E12:O12" si="1">E9/E10</f>
        <v>30.848645232299422</v>
      </c>
      <c r="F12" s="49">
        <f t="shared" si="1"/>
        <v>26.261436843126905</v>
      </c>
      <c r="G12" s="49">
        <f t="shared" si="1"/>
        <v>21.379586528399511</v>
      </c>
      <c r="H12" s="49">
        <f t="shared" si="1"/>
        <v>17.708217467942831</v>
      </c>
      <c r="I12" s="49">
        <f t="shared" si="1"/>
        <v>16.004594918893339</v>
      </c>
      <c r="J12" s="49">
        <f t="shared" si="1"/>
        <v>26.132319247409338</v>
      </c>
      <c r="K12" s="49">
        <f t="shared" si="1"/>
        <v>30.634049791703493</v>
      </c>
      <c r="L12" s="49">
        <f t="shared" si="1"/>
        <v>29.792063080218121</v>
      </c>
      <c r="M12" s="49">
        <f t="shared" si="1"/>
        <v>26.976096194573948</v>
      </c>
      <c r="N12" s="49">
        <f t="shared" si="1"/>
        <v>29.455041002473621</v>
      </c>
      <c r="O12" s="49">
        <f t="shared" si="1"/>
        <v>32.140123686907963</v>
      </c>
    </row>
    <row r="13" spans="1:16">
      <c r="A13" t="s">
        <v>108</v>
      </c>
      <c r="B13" s="5" t="s">
        <v>50</v>
      </c>
      <c r="C13" s="38">
        <f>SUM(D13:O13)</f>
        <v>8035122.1034855489</v>
      </c>
      <c r="D13" s="25">
        <f>Aurora!B32*1000</f>
        <v>167916.42821431099</v>
      </c>
      <c r="E13" s="25">
        <f>Aurora!C32*1000</f>
        <v>186256.09850771702</v>
      </c>
      <c r="F13" s="25">
        <f>Aurora!D32*1000</f>
        <v>386602.97990925604</v>
      </c>
      <c r="G13" s="25">
        <f>Aurora!E32*1000</f>
        <v>138744.66988518799</v>
      </c>
      <c r="H13" s="25">
        <f>Aurora!F32*1000</f>
        <v>21923.518932424402</v>
      </c>
      <c r="I13" s="25">
        <f>Aurora!G32*1000</f>
        <v>448152.57007479604</v>
      </c>
      <c r="J13" s="25">
        <f>Aurora!H32*1000</f>
        <v>994662.84832954395</v>
      </c>
      <c r="K13" s="25">
        <f>Aurora!I32*1000</f>
        <v>2295339.81351852</v>
      </c>
      <c r="L13" s="25">
        <f>Aurora!J32*1000</f>
        <v>986610.35695783701</v>
      </c>
      <c r="M13" s="25">
        <f>Aurora!K32*1000</f>
        <v>957912.55381992005</v>
      </c>
      <c r="N13" s="25">
        <f>Aurora!L32*1000</f>
        <v>845349.97408389999</v>
      </c>
      <c r="O13" s="25">
        <f>Aurora!M32*1000</f>
        <v>605650.291252136</v>
      </c>
    </row>
    <row r="14" spans="1:16" s="3" customFormat="1">
      <c r="A14" s="3" t="s">
        <v>112</v>
      </c>
      <c r="C14" s="27">
        <f>SUM(D14:O14)</f>
        <v>319648.61363147153</v>
      </c>
      <c r="D14" s="3">
        <f>Aurora!B28*1000</f>
        <v>8047.2940965592807</v>
      </c>
      <c r="E14" s="3">
        <f>Aurora!C28*1000</f>
        <v>10584.6717518687</v>
      </c>
      <c r="F14" s="3">
        <f>Aurora!D28*1000</f>
        <v>24452.425939369201</v>
      </c>
      <c r="G14" s="3">
        <f>Aurora!E28*1000</f>
        <v>10840.5349044382</v>
      </c>
      <c r="H14" s="3">
        <f>Aurora!F28*1000</f>
        <v>4696.78297908902</v>
      </c>
      <c r="I14" s="3">
        <f>Aurora!G28*1000</f>
        <v>24259.501980590801</v>
      </c>
      <c r="J14" s="3">
        <f>Aurora!H28*1000</f>
        <v>34562.5219413757</v>
      </c>
      <c r="K14" s="3">
        <f>Aurora!I28*1000</f>
        <v>81245.994149780206</v>
      </c>
      <c r="L14" s="3">
        <f>Aurora!J28*1000</f>
        <v>34283.893836665098</v>
      </c>
      <c r="M14" s="3">
        <f>Aurora!K28*1000</f>
        <v>35390.925575676498</v>
      </c>
      <c r="N14" s="3">
        <f>Aurora!L28*1000</f>
        <v>29767.114376830999</v>
      </c>
      <c r="O14" s="3">
        <f>Aurora!M28*1000</f>
        <v>21516.952099227899</v>
      </c>
    </row>
    <row r="15" spans="1:16" hidden="1">
      <c r="A15" s="3" t="s">
        <v>52</v>
      </c>
      <c r="C15" s="28">
        <f>C13/C14</f>
        <v>25.137359465445332</v>
      </c>
      <c r="D15" s="29">
        <f>D13/D14</f>
        <v>20.866197531677848</v>
      </c>
      <c r="E15" s="29">
        <f t="shared" ref="E15:O15" si="2">E13/E14</f>
        <v>17.596776062028937</v>
      </c>
      <c r="F15" s="29">
        <f t="shared" si="2"/>
        <v>15.810414102382074</v>
      </c>
      <c r="G15" s="29">
        <f t="shared" si="2"/>
        <v>12.798692233201965</v>
      </c>
      <c r="H15" s="29">
        <f t="shared" si="2"/>
        <v>4.667773458989295</v>
      </c>
      <c r="I15" s="29">
        <f t="shared" si="2"/>
        <v>18.473279889807614</v>
      </c>
      <c r="J15" s="29">
        <f t="shared" si="2"/>
        <v>28.778653653129606</v>
      </c>
      <c r="K15" s="29">
        <f t="shared" si="2"/>
        <v>28.251729054936174</v>
      </c>
      <c r="L15" s="29">
        <f t="shared" si="2"/>
        <v>28.777663402477963</v>
      </c>
      <c r="M15" s="29">
        <f t="shared" si="2"/>
        <v>27.066614908717586</v>
      </c>
      <c r="N15" s="29">
        <f t="shared" si="2"/>
        <v>28.398788118403292</v>
      </c>
      <c r="O15" s="29">
        <f t="shared" si="2"/>
        <v>28.14758746773753</v>
      </c>
    </row>
    <row r="16" spans="1:16">
      <c r="A16" s="3" t="s">
        <v>110</v>
      </c>
      <c r="C16" s="51">
        <f>C13/C14</f>
        <v>25.137359465445332</v>
      </c>
      <c r="D16" s="49">
        <f>D13/D14</f>
        <v>20.866197531677848</v>
      </c>
      <c r="E16" s="49">
        <f t="shared" ref="E16:O16" si="3">E13/E14</f>
        <v>17.596776062028937</v>
      </c>
      <c r="F16" s="49">
        <f t="shared" si="3"/>
        <v>15.810414102382074</v>
      </c>
      <c r="G16" s="49">
        <f t="shared" si="3"/>
        <v>12.798692233201965</v>
      </c>
      <c r="H16" s="49">
        <f t="shared" si="3"/>
        <v>4.667773458989295</v>
      </c>
      <c r="I16" s="49"/>
      <c r="J16" s="49">
        <f t="shared" si="3"/>
        <v>28.778653653129606</v>
      </c>
      <c r="K16" s="49">
        <f t="shared" si="3"/>
        <v>28.251729054936174</v>
      </c>
      <c r="L16" s="49">
        <f t="shared" si="3"/>
        <v>28.777663402477963</v>
      </c>
      <c r="M16" s="49">
        <f t="shared" si="3"/>
        <v>27.066614908717586</v>
      </c>
      <c r="N16" s="49">
        <f t="shared" si="3"/>
        <v>28.398788118403292</v>
      </c>
      <c r="O16" s="49">
        <f t="shared" si="3"/>
        <v>28.14758746773753</v>
      </c>
    </row>
    <row r="17" spans="1:17">
      <c r="A17" t="s">
        <v>109</v>
      </c>
      <c r="C17" s="27">
        <f>C14+C10</f>
        <v>-1203614.9910480147</v>
      </c>
      <c r="D17" s="19">
        <f>D14+D10</f>
        <v>-161671.14069347971</v>
      </c>
      <c r="E17" s="19">
        <f>E14+E10</f>
        <v>-126529.63656111929</v>
      </c>
      <c r="F17" s="19">
        <f t="shared" ref="F17:O17" si="4">F14+F10</f>
        <v>-91715.061282920782</v>
      </c>
      <c r="G17" s="19">
        <f t="shared" si="4"/>
        <v>-175093.23013462382</v>
      </c>
      <c r="H17" s="19">
        <f t="shared" si="4"/>
        <v>-199057.26555606697</v>
      </c>
      <c r="I17" s="19">
        <f t="shared" si="4"/>
        <v>-114237.77550964319</v>
      </c>
      <c r="J17" s="19">
        <f t="shared" si="4"/>
        <v>-76063.117707061305</v>
      </c>
      <c r="K17" s="19">
        <f t="shared" si="4"/>
        <v>26824.785347366298</v>
      </c>
      <c r="L17" s="19">
        <f t="shared" si="4"/>
        <v>-58740.849840092691</v>
      </c>
      <c r="M17" s="19">
        <f t="shared" si="4"/>
        <v>-38658.786387214095</v>
      </c>
      <c r="N17" s="19">
        <f t="shared" si="4"/>
        <v>-74834.389627074997</v>
      </c>
      <c r="O17" s="19">
        <f t="shared" si="4"/>
        <v>-113838.5230960841</v>
      </c>
    </row>
    <row r="18" spans="1:17">
      <c r="A18" t="s">
        <v>111</v>
      </c>
      <c r="C18" s="114">
        <f>C17/8760</f>
        <v>-137.3989715808236</v>
      </c>
      <c r="D18" s="3">
        <f>D17/D6</f>
        <v>-217.29992028693511</v>
      </c>
      <c r="E18" s="3">
        <f t="shared" ref="E18:O18" si="5">E17/E6</f>
        <v>-188.28814964452275</v>
      </c>
      <c r="F18" s="3">
        <f t="shared" si="5"/>
        <v>-123.43884425695933</v>
      </c>
      <c r="G18" s="3">
        <f t="shared" si="5"/>
        <v>-243.18504185364421</v>
      </c>
      <c r="H18" s="3">
        <f t="shared" si="5"/>
        <v>-267.55008811299325</v>
      </c>
      <c r="I18" s="3">
        <f t="shared" si="5"/>
        <v>-158.66357709672667</v>
      </c>
      <c r="J18" s="3">
        <f t="shared" si="5"/>
        <v>-102.23537326217917</v>
      </c>
      <c r="K18" s="3">
        <f t="shared" si="5"/>
        <v>36.054819015277282</v>
      </c>
      <c r="L18" s="3">
        <f t="shared" si="5"/>
        <v>-81.584513666795402</v>
      </c>
      <c r="M18" s="3">
        <f t="shared" si="5"/>
        <v>-51.960734391416793</v>
      </c>
      <c r="N18" s="3">
        <f t="shared" si="5"/>
        <v>-103.79249601536061</v>
      </c>
      <c r="O18" s="3">
        <f t="shared" si="5"/>
        <v>-153.00876760226359</v>
      </c>
    </row>
    <row r="19" spans="1:17">
      <c r="A19" t="s">
        <v>113</v>
      </c>
      <c r="C19" s="78">
        <f>(-C9+C13)/(-C10+C14)</f>
        <v>25.706475317942559</v>
      </c>
      <c r="D19" s="29">
        <f>(-D9+D13)/(-D10+D14)</f>
        <v>31.888903146995379</v>
      </c>
      <c r="E19" s="29">
        <f>(-E9+E13)/(-E10+E14)</f>
        <v>29.898965788308484</v>
      </c>
      <c r="F19" s="29">
        <f t="shared" ref="F19:O19" si="6">(-F9+F13)/(-F10+F14)</f>
        <v>24.444106325613799</v>
      </c>
      <c r="G19" s="29">
        <f t="shared" si="6"/>
        <v>20.906854651599073</v>
      </c>
      <c r="H19" s="29">
        <f t="shared" si="6"/>
        <v>17.414392132653482</v>
      </c>
      <c r="I19" s="29">
        <f t="shared" si="6"/>
        <v>16.372561575250561</v>
      </c>
      <c r="J19" s="29">
        <f t="shared" si="6"/>
        <v>26.762287902982848</v>
      </c>
      <c r="K19" s="29">
        <f t="shared" si="6"/>
        <v>29.207367347970195</v>
      </c>
      <c r="L19" s="29">
        <f t="shared" si="6"/>
        <v>29.518887814667707</v>
      </c>
      <c r="M19" s="29">
        <f t="shared" si="6"/>
        <v>27.005368146451371</v>
      </c>
      <c r="N19" s="29">
        <f t="shared" si="6"/>
        <v>29.22104588672503</v>
      </c>
      <c r="O19" s="29">
        <f t="shared" si="6"/>
        <v>31.592499021032008</v>
      </c>
    </row>
    <row r="20" spans="1:17">
      <c r="C20" s="2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7" s="3" customFormat="1">
      <c r="A21" s="3" t="s">
        <v>33</v>
      </c>
      <c r="C21" s="27">
        <f>SUM(D21:O21)</f>
        <v>1569579.0389404288</v>
      </c>
      <c r="D21" s="3">
        <f>Aurora!B6*1000</f>
        <v>144646.8160644531</v>
      </c>
      <c r="E21" s="3">
        <f>Aurora!C6*1000</f>
        <v>129707.34999999987</v>
      </c>
      <c r="F21" s="3">
        <f>Aurora!D6*1000</f>
        <v>140064.30612792959</v>
      </c>
      <c r="G21" s="3">
        <f>Aurora!E6*1000</f>
        <v>118808.83684082021</v>
      </c>
      <c r="H21" s="3">
        <f>Aurora!F6*1000</f>
        <v>98796.509130859311</v>
      </c>
      <c r="I21" s="3">
        <f>Aurora!G6*1000</f>
        <v>88363.530346679603</v>
      </c>
      <c r="J21" s="3">
        <f>Aurora!H6*1000</f>
        <v>134887.81440429681</v>
      </c>
      <c r="K21" s="3">
        <f>Aurora!I6*1000</f>
        <v>142491.76855468738</v>
      </c>
      <c r="L21" s="3">
        <f>Aurora!J6*1000</f>
        <v>141302.91245117178</v>
      </c>
      <c r="M21" s="3">
        <f>Aurora!K6*1000</f>
        <v>145137.30224609369</v>
      </c>
      <c r="N21" s="3">
        <f>Aurora!L6*1000</f>
        <v>140481.81191406242</v>
      </c>
      <c r="O21" s="3">
        <f>Aurora!M6*1000</f>
        <v>144890.08085937501</v>
      </c>
      <c r="P21" s="3">
        <f>C21/8784</f>
        <v>178.68613831289034</v>
      </c>
      <c r="Q21" s="113">
        <f>P21/230</f>
        <v>0.7768962535343058</v>
      </c>
    </row>
    <row r="22" spans="1:17">
      <c r="A22" s="3" t="s">
        <v>101</v>
      </c>
      <c r="C22" s="73">
        <f>C23/C21</f>
        <v>14.914558834802094</v>
      </c>
      <c r="D22" s="76">
        <f>D23/D21</f>
        <v>14.342007412482181</v>
      </c>
      <c r="E22" s="76">
        <f t="shared" ref="E22:O22" si="7">E23/E21</f>
        <v>14.926769335095186</v>
      </c>
      <c r="F22" s="76">
        <f t="shared" si="7"/>
        <v>14.544684636971395</v>
      </c>
      <c r="G22" s="76">
        <f t="shared" si="7"/>
        <v>15.54202866642482</v>
      </c>
      <c r="H22" s="76">
        <f t="shared" si="7"/>
        <v>16.851313898338468</v>
      </c>
      <c r="I22" s="76">
        <f t="shared" si="7"/>
        <v>17.758169769355078</v>
      </c>
      <c r="J22" s="76">
        <f t="shared" si="7"/>
        <v>14.766736174819927</v>
      </c>
      <c r="K22" s="76">
        <f t="shared" si="7"/>
        <v>14.428474979251165</v>
      </c>
      <c r="L22" s="76">
        <f t="shared" si="7"/>
        <v>14.452926101311418</v>
      </c>
      <c r="M22" s="76">
        <f t="shared" si="7"/>
        <v>14.321994854089647</v>
      </c>
      <c r="N22" s="76">
        <f t="shared" si="7"/>
        <v>14.489128634876153</v>
      </c>
      <c r="O22" s="76">
        <f t="shared" si="7"/>
        <v>14.335332411033352</v>
      </c>
    </row>
    <row r="23" spans="1:17">
      <c r="A23" t="s">
        <v>34</v>
      </c>
      <c r="C23" s="30">
        <f>SUM(D23:O23)</f>
        <v>23409578.922149152</v>
      </c>
      <c r="D23" s="31">
        <f>Aurora!B18*1000</f>
        <v>2074525.7081883329</v>
      </c>
      <c r="E23" s="31">
        <f>Aurora!C18*1000</f>
        <v>1936111.6945164567</v>
      </c>
      <c r="F23" s="31">
        <f>Aurora!D18*1000</f>
        <v>2037191.1615269559</v>
      </c>
      <c r="G23" s="31">
        <f>Aurora!E18*1000</f>
        <v>1846530.3480046168</v>
      </c>
      <c r="H23" s="31">
        <f>Aurora!F18*1000</f>
        <v>1664850.9874241727</v>
      </c>
      <c r="I23" s="31">
        <f>Aurora!G18*1000</f>
        <v>1569174.5733158956</v>
      </c>
      <c r="J23" s="31">
        <f>Aurora!H18*1000</f>
        <v>1991852.768506326</v>
      </c>
      <c r="K23" s="31">
        <f>Aurora!I18*1000</f>
        <v>2055938.9173405548</v>
      </c>
      <c r="L23" s="31">
        <f>Aurora!J18*1000</f>
        <v>2042240.5515568627</v>
      </c>
      <c r="M23" s="31">
        <f>Aurora!K18*1000</f>
        <v>2078655.6959050077</v>
      </c>
      <c r="N23" s="31">
        <f>Aurora!L18*1000</f>
        <v>2035459.0436833277</v>
      </c>
      <c r="O23" s="31">
        <f>Aurora!M18*1000</f>
        <v>2077047.4721806417</v>
      </c>
    </row>
    <row r="24" spans="1:17">
      <c r="C24" s="28"/>
    </row>
    <row r="25" spans="1:17" s="3" customFormat="1">
      <c r="A25" s="3" t="s">
        <v>35</v>
      </c>
      <c r="C25" s="27">
        <f>SUM(D25:O25)</f>
        <v>295847.91393661464</v>
      </c>
      <c r="D25" s="3">
        <f>Aurora!B8*1000</f>
        <v>31460.887866210898</v>
      </c>
      <c r="E25" s="3">
        <f>Aurora!C8*1000</f>
        <v>27633.674462890602</v>
      </c>
      <c r="F25" s="3">
        <f>Aurora!D8*1000</f>
        <v>25441.701599120999</v>
      </c>
      <c r="G25" s="3">
        <f>Aurora!E8*1000</f>
        <v>20197.527978515602</v>
      </c>
      <c r="H25" s="3">
        <f>Aurora!F8*1000</f>
        <v>14243.636462402299</v>
      </c>
      <c r="I25" s="3">
        <f>Aurora!G8*1000</f>
        <v>815.50888290405203</v>
      </c>
      <c r="J25" s="3">
        <f>Aurora!H8*1000</f>
        <v>22678.094653320299</v>
      </c>
      <c r="K25" s="3">
        <f>Aurora!I8*1000</f>
        <v>29656.227709960902</v>
      </c>
      <c r="L25" s="3">
        <f>Aurora!J8*1000</f>
        <v>30914.686718749999</v>
      </c>
      <c r="M25" s="3">
        <f>Aurora!K8*1000</f>
        <v>30794.468359375001</v>
      </c>
      <c r="N25" s="3">
        <f>Aurora!L8*1000</f>
        <v>29987.345361328102</v>
      </c>
      <c r="O25" s="3">
        <f>Aurora!M8*1000</f>
        <v>32024.1538818359</v>
      </c>
      <c r="P25" s="3">
        <f>C25/8760</f>
        <v>33.772592915138659</v>
      </c>
    </row>
    <row r="26" spans="1:17">
      <c r="A26" s="3" t="s">
        <v>100</v>
      </c>
      <c r="C26" s="73">
        <f t="shared" ref="C26:O26" si="8">C27/C25</f>
        <v>18.771769800742778</v>
      </c>
      <c r="D26" s="76">
        <f>D27/D25</f>
        <v>18.624807637690846</v>
      </c>
      <c r="E26" s="76">
        <f t="shared" si="8"/>
        <v>18.68126800312049</v>
      </c>
      <c r="F26" s="76">
        <f t="shared" si="8"/>
        <v>18.846172012042377</v>
      </c>
      <c r="G26" s="76">
        <f t="shared" si="8"/>
        <v>19.42571832879236</v>
      </c>
      <c r="H26" s="76">
        <f t="shared" si="8"/>
        <v>19.610821653936252</v>
      </c>
      <c r="I26" s="76"/>
      <c r="J26" s="76">
        <f t="shared" si="8"/>
        <v>18.816106244315897</v>
      </c>
      <c r="K26" s="76">
        <f t="shared" si="8"/>
        <v>18.662748790638705</v>
      </c>
      <c r="L26" s="76">
        <f t="shared" si="8"/>
        <v>18.613703864744878</v>
      </c>
      <c r="M26" s="76">
        <f t="shared" si="8"/>
        <v>18.650409129332587</v>
      </c>
      <c r="N26" s="76">
        <f t="shared" si="8"/>
        <v>18.627424221644304</v>
      </c>
      <c r="O26" s="76">
        <f t="shared" si="8"/>
        <v>18.609929863860096</v>
      </c>
    </row>
    <row r="27" spans="1:17">
      <c r="A27" t="s">
        <v>36</v>
      </c>
      <c r="C27" s="30">
        <f>SUM(D27:O27)</f>
        <v>5553588.9364480907</v>
      </c>
      <c r="D27" s="32">
        <f>Aurora!B20*1000</f>
        <v>585952.98461914004</v>
      </c>
      <c r="E27" s="32">
        <f>Aurora!C20*1000</f>
        <v>516232.07855224598</v>
      </c>
      <c r="F27" s="32">
        <f>Aurora!D20*1000</f>
        <v>479478.68461608799</v>
      </c>
      <c r="G27" s="32">
        <f>Aurora!E20*1000</f>
        <v>392351.48944854701</v>
      </c>
      <c r="H27" s="32">
        <f>Aurora!F20*1000</f>
        <v>279329.41436767497</v>
      </c>
      <c r="I27" s="32">
        <f>Aurora!G20*1000</f>
        <v>15743.600106239301</v>
      </c>
      <c r="J27" s="32">
        <f>Aurora!H20*1000</f>
        <v>426713.43841552699</v>
      </c>
      <c r="K27" s="32">
        <f>Aurora!I20*1000</f>
        <v>553466.72782897891</v>
      </c>
      <c r="L27" s="32">
        <f>Aurora!J20*1000</f>
        <v>575436.82365417399</v>
      </c>
      <c r="M27" s="32">
        <f>Aurora!K20*1000</f>
        <v>574329.43382263102</v>
      </c>
      <c r="N27" s="32">
        <f>Aurora!L20*1000</f>
        <v>558587.00332641602</v>
      </c>
      <c r="O27" s="32">
        <f>Aurora!M20*1000</f>
        <v>595967.25769042911</v>
      </c>
    </row>
    <row r="28" spans="1:17">
      <c r="C28" s="78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>
      <c r="A29" t="s">
        <v>89</v>
      </c>
      <c r="C29" s="27">
        <f>SUM(D29:O29)</f>
        <v>1678166.5184425307</v>
      </c>
      <c r="D29" s="3">
        <f>Aurora!B7*1000</f>
        <v>195520.91103515602</v>
      </c>
      <c r="E29" s="3">
        <f>Aurora!C7*1000</f>
        <v>163715.33345947199</v>
      </c>
      <c r="F29" s="3">
        <f>Aurora!D7*1000</f>
        <v>151531.78034667901</v>
      </c>
      <c r="G29" s="3">
        <f>Aurora!E7*1000</f>
        <v>98083.157514953593</v>
      </c>
      <c r="H29" s="3">
        <f>Aurora!F7*1000</f>
        <v>57400.8074851989</v>
      </c>
      <c r="I29" s="3">
        <f>Aurora!G7*1000</f>
        <v>38640.079107666003</v>
      </c>
      <c r="J29" s="3">
        <f>Aurora!H7*1000</f>
        <v>114328.961492919</v>
      </c>
      <c r="K29" s="3">
        <f>Aurora!I7*1000</f>
        <v>156176.916845703</v>
      </c>
      <c r="L29" s="3">
        <f>Aurora!J7*1000</f>
        <v>169710.064318847</v>
      </c>
      <c r="M29" s="3">
        <f>Aurora!K7*1000</f>
        <v>170826.03457031201</v>
      </c>
      <c r="N29" s="3">
        <f>Aurora!L7*1000</f>
        <v>168205.209570312</v>
      </c>
      <c r="O29" s="3">
        <f>Aurora!M7*1000</f>
        <v>194027.26269531201</v>
      </c>
      <c r="P29" s="3">
        <f>C29/8784</f>
        <v>191.04810091558863</v>
      </c>
    </row>
    <row r="30" spans="1:17">
      <c r="A30" t="s">
        <v>98</v>
      </c>
      <c r="C30" s="73">
        <f>C31/C29</f>
        <v>21.148226939702177</v>
      </c>
      <c r="D30" s="76">
        <f>D31/D29</f>
        <v>22.969118094786239</v>
      </c>
      <c r="E30" s="76">
        <f t="shared" ref="E30:O30" si="9">E31/E29</f>
        <v>22.830120912489605</v>
      </c>
      <c r="F30" s="76">
        <f t="shared" si="9"/>
        <v>21.476601909438688</v>
      </c>
      <c r="G30" s="76">
        <f t="shared" si="9"/>
        <v>19.393497164189544</v>
      </c>
      <c r="H30" s="76">
        <f t="shared" si="9"/>
        <v>19.279619379402742</v>
      </c>
      <c r="I30" s="76">
        <f t="shared" si="9"/>
        <v>19.521105289928066</v>
      </c>
      <c r="J30" s="76">
        <f t="shared" si="9"/>
        <v>20.113793565058085</v>
      </c>
      <c r="K30" s="76">
        <f t="shared" si="9"/>
        <v>20.223563473426921</v>
      </c>
      <c r="L30" s="76">
        <f t="shared" si="9"/>
        <v>20.047824870996354</v>
      </c>
      <c r="M30" s="76">
        <f t="shared" si="9"/>
        <v>20.060061526739695</v>
      </c>
      <c r="N30" s="76">
        <f t="shared" si="9"/>
        <v>21.462861395935345</v>
      </c>
      <c r="O30" s="76">
        <f t="shared" si="9"/>
        <v>22.403193216930443</v>
      </c>
    </row>
    <row r="31" spans="1:17">
      <c r="A31" t="s">
        <v>87</v>
      </c>
      <c r="C31" s="30">
        <f>SUM(D31:O31)</f>
        <v>35490246.374632537</v>
      </c>
      <c r="D31" s="25">
        <f>Aurora!B19*1000</f>
        <v>4490942.8955666926</v>
      </c>
      <c r="E31" s="25">
        <f>Aurora!C19*1000</f>
        <v>3737640.8581083007</v>
      </c>
      <c r="F31" s="25">
        <f>Aurora!D19*1000</f>
        <v>3254387.7231341302</v>
      </c>
      <c r="G31" s="25">
        <f>Aurora!E19*1000</f>
        <v>1902175.4371210088</v>
      </c>
      <c r="H31" s="25">
        <f>Aurora!F19*1000</f>
        <v>1106665.7203850066</v>
      </c>
      <c r="I31" s="25">
        <f>Aurora!G19*1000</f>
        <v>754297.05267189781</v>
      </c>
      <c r="J31" s="25">
        <f>Aurora!H19*1000</f>
        <v>2299589.1299760477</v>
      </c>
      <c r="K31" s="25">
        <f>Aurora!I19*1000</f>
        <v>3158453.790913193</v>
      </c>
      <c r="L31" s="25">
        <f>Aurora!J19*1000</f>
        <v>3402317.6483097719</v>
      </c>
      <c r="M31" s="25">
        <f>Aurora!K19*1000</f>
        <v>3426780.7638494209</v>
      </c>
      <c r="N31" s="25">
        <f>Aurora!L19*1000</f>
        <v>3610165.0990818636</v>
      </c>
      <c r="O31" s="25">
        <f>Aurora!M19*1000</f>
        <v>4346830.2555151954</v>
      </c>
    </row>
    <row r="32" spans="1:17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7">
      <c r="A33" t="s">
        <v>166</v>
      </c>
      <c r="C33" s="27">
        <f>SUM(D33:O33)</f>
        <v>1502580.362440868</v>
      </c>
      <c r="D33" s="3">
        <f>Aurora!B10*1000</f>
        <v>176315.98385009699</v>
      </c>
      <c r="E33" s="3">
        <f>Aurora!C10*1000</f>
        <v>146111.724243164</v>
      </c>
      <c r="F33" s="3">
        <f>Aurora!D10*1000</f>
        <v>140950.544105529</v>
      </c>
      <c r="G33" s="3">
        <f>Aurora!E10*1000</f>
        <v>92367.72317085258</v>
      </c>
      <c r="H33" s="3">
        <f>Aurora!F10*1000</f>
        <v>50794.362654113698</v>
      </c>
      <c r="I33" s="3">
        <f>Aurora!G10*1000</f>
        <v>39641.4875030517</v>
      </c>
      <c r="J33" s="3">
        <f>Aurora!H10*1000</f>
        <v>96693.079309081993</v>
      </c>
      <c r="K33" s="3">
        <f>Aurora!I10*1000</f>
        <v>131325.83395996</v>
      </c>
      <c r="L33" s="3">
        <f>Aurora!J10*1000</f>
        <v>143283.11026611301</v>
      </c>
      <c r="M33" s="3">
        <f>Aurora!K10*1000</f>
        <v>155851.076757812</v>
      </c>
      <c r="N33" s="3">
        <f>Aurora!L10*1000</f>
        <v>154211.45400390599</v>
      </c>
      <c r="O33" s="3">
        <f>Aurora!M10*1000</f>
        <v>175033.98261718699</v>
      </c>
      <c r="P33" s="3">
        <f>C33/8784</f>
        <v>171.05878443088207</v>
      </c>
    </row>
    <row r="34" spans="1:17">
      <c r="A34" t="s">
        <v>167</v>
      </c>
      <c r="C34" s="73">
        <f>C35/C33</f>
        <v>21.837822998821121</v>
      </c>
      <c r="D34" s="76">
        <f>D35/D33</f>
        <v>23.564117919180823</v>
      </c>
      <c r="E34" s="76">
        <f t="shared" ref="E34:O34" si="10">E35/E33</f>
        <v>23.455479954552288</v>
      </c>
      <c r="F34" s="76">
        <f t="shared" si="10"/>
        <v>22.104078794180438</v>
      </c>
      <c r="G34" s="76">
        <f t="shared" si="10"/>
        <v>20.085921170160862</v>
      </c>
      <c r="H34" s="76">
        <f t="shared" si="10"/>
        <v>20.146424533379399</v>
      </c>
      <c r="I34" s="76">
        <f t="shared" si="10"/>
        <v>20.507027364497329</v>
      </c>
      <c r="J34" s="76">
        <f t="shared" si="10"/>
        <v>20.943700802955018</v>
      </c>
      <c r="K34" s="76">
        <f t="shared" si="10"/>
        <v>21.032697586915351</v>
      </c>
      <c r="L34" s="76">
        <f t="shared" si="10"/>
        <v>20.794086995559713</v>
      </c>
      <c r="M34" s="76">
        <f t="shared" si="10"/>
        <v>20.735001998459975</v>
      </c>
      <c r="N34" s="76">
        <f t="shared" si="10"/>
        <v>22.056641835315943</v>
      </c>
      <c r="O34" s="76">
        <f t="shared" si="10"/>
        <v>22.992438102368737</v>
      </c>
    </row>
    <row r="35" spans="1:17">
      <c r="A35" t="s">
        <v>168</v>
      </c>
      <c r="C35" s="30">
        <f>SUM(D35:O35)</f>
        <v>32813083.996488161</v>
      </c>
      <c r="D35" s="25">
        <f>Aurora!B22*1000</f>
        <v>4154730.6344800671</v>
      </c>
      <c r="E35" s="25">
        <f>Aurora!C22*1000</f>
        <v>3427120.6191106047</v>
      </c>
      <c r="F35" s="25">
        <f>Aurora!D22*1000</f>
        <v>3115581.9329912183</v>
      </c>
      <c r="G35" s="25">
        <f>Aurora!E22*1000</f>
        <v>1855290.8062769857</v>
      </c>
      <c r="H35" s="25">
        <f>Aurora!F22*1000</f>
        <v>1023324.7939322065</v>
      </c>
      <c r="I35" s="25">
        <f>Aurora!G22*1000</f>
        <v>812929.06899446016</v>
      </c>
      <c r="J35" s="25">
        <f>Aurora!H22*1000</f>
        <v>2025110.9227658138</v>
      </c>
      <c r="K35" s="25">
        <f>Aurora!I22*1000</f>
        <v>2762136.5510292966</v>
      </c>
      <c r="L35" s="25">
        <f>Aurora!J22*1000</f>
        <v>2979441.4598679291</v>
      </c>
      <c r="M35" s="25">
        <f>Aurora!K22*1000</f>
        <v>3231572.3880353705</v>
      </c>
      <c r="N35" s="25">
        <f>Aurora!L22*1000</f>
        <v>3401386.8078674534</v>
      </c>
      <c r="O35" s="25">
        <f>Aurora!M22*1000</f>
        <v>4024458.0111367572</v>
      </c>
    </row>
    <row r="36" spans="1:17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7">
      <c r="A37" t="s">
        <v>54</v>
      </c>
      <c r="C37" s="27">
        <f>SUM(D37:O37)</f>
        <v>28964.062254387096</v>
      </c>
      <c r="D37" s="3">
        <f>Aurora!B5*1000</f>
        <v>3576.6636661529501</v>
      </c>
      <c r="E37" s="3">
        <f>Aurora!C5*1000</f>
        <v>2574.5693450927702</v>
      </c>
      <c r="F37" s="3">
        <f>Aurora!D5*1000</f>
        <v>877.66887583732603</v>
      </c>
      <c r="G37" s="3">
        <f>Aurora!E5*1000</f>
        <v>539.84587565064396</v>
      </c>
      <c r="H37" s="3">
        <f>Aurora!F5*1000</f>
        <v>192.16335411071699</v>
      </c>
      <c r="I37" s="3">
        <f>Aurora!G5*1000</f>
        <v>641.32983665466304</v>
      </c>
      <c r="J37" s="3">
        <f>Aurora!H5*1000</f>
        <v>3905.2155029296796</v>
      </c>
      <c r="K37" s="3">
        <f>Aurora!I5*1000</f>
        <v>4859.3917388915997</v>
      </c>
      <c r="L37" s="3">
        <f>Aurora!J5*1000</f>
        <v>3700.1277732849098</v>
      </c>
      <c r="M37" s="3">
        <f>Aurora!K5*1000</f>
        <v>1763.1938180923398</v>
      </c>
      <c r="N37" s="3">
        <f>Aurora!L5*1000</f>
        <v>2782.5390447616501</v>
      </c>
      <c r="O37" s="3">
        <f>Aurora!M5*1000</f>
        <v>3551.3534229278498</v>
      </c>
      <c r="P37" s="3">
        <f>C37/8760</f>
        <v>3.3063998007291207</v>
      </c>
      <c r="Q37" s="85">
        <f>SUM(P37:P49)</f>
        <v>9.522763359270396</v>
      </c>
    </row>
    <row r="38" spans="1:17">
      <c r="A38" t="s">
        <v>99</v>
      </c>
      <c r="C38" s="73">
        <f>C39/C37</f>
        <v>28.200496968400444</v>
      </c>
      <c r="D38" s="76">
        <f>IF(D37&gt;0,D39/D37,"")</f>
        <v>30.901043854468391</v>
      </c>
      <c r="E38" s="76">
        <f t="shared" ref="E38:O38" si="11">IF(E37&gt;0,E39/E37,"")</f>
        <v>30.6702247988549</v>
      </c>
      <c r="F38" s="76">
        <f t="shared" si="11"/>
        <v>28.685419559620762</v>
      </c>
      <c r="G38" s="76">
        <f t="shared" si="11"/>
        <v>25.879267728379162</v>
      </c>
      <c r="H38" s="76">
        <f t="shared" si="11"/>
        <v>25.500505540489581</v>
      </c>
      <c r="I38" s="76">
        <f t="shared" si="11"/>
        <v>25.883684293404535</v>
      </c>
      <c r="J38" s="76">
        <f t="shared" si="11"/>
        <v>26.610139615970702</v>
      </c>
      <c r="K38" s="76">
        <f t="shared" si="11"/>
        <v>26.802627133735683</v>
      </c>
      <c r="L38" s="76">
        <f t="shared" si="11"/>
        <v>26.675602536658253</v>
      </c>
      <c r="M38" s="76">
        <f t="shared" si="11"/>
        <v>26.817025921285826</v>
      </c>
      <c r="N38" s="76">
        <f t="shared" si="11"/>
        <v>28.619691756130091</v>
      </c>
      <c r="O38" s="76">
        <f t="shared" si="11"/>
        <v>30.096518587401228</v>
      </c>
    </row>
    <row r="39" spans="1:17">
      <c r="A39" t="s">
        <v>53</v>
      </c>
      <c r="C39" s="30">
        <f>SUM(D39:O39)</f>
        <v>816800.94979740505</v>
      </c>
      <c r="D39" s="25">
        <f>Aurora!B17*1000</f>
        <v>110522.640800476</v>
      </c>
      <c r="E39" s="25">
        <f>Aurora!C17*1000</f>
        <v>78962.620574235902</v>
      </c>
      <c r="F39" s="25">
        <f>Aurora!D17*1000</f>
        <v>25176.299937814398</v>
      </c>
      <c r="G39" s="25">
        <f>Aurora!E17*1000</f>
        <v>13970.815948024301</v>
      </c>
      <c r="H39" s="25">
        <f>Aurora!F17*1000</f>
        <v>4900.2626761793999</v>
      </c>
      <c r="I39" s="25">
        <f>Aurora!G17*1000</f>
        <v>16599.979019909999</v>
      </c>
      <c r="J39" s="25">
        <f>Aurora!H17*1000</f>
        <v>103918.32976341201</v>
      </c>
      <c r="K39" s="25">
        <f>Aurora!I17*1000</f>
        <v>130244.46487426701</v>
      </c>
      <c r="L39" s="25">
        <f>Aurora!J17*1000</f>
        <v>98703.137814998598</v>
      </c>
      <c r="M39" s="25">
        <f>Aurora!K17*1000</f>
        <v>47283.614324033202</v>
      </c>
      <c r="N39" s="25">
        <f>Aurora!L17*1000</f>
        <v>79635.4097604751</v>
      </c>
      <c r="O39" s="25">
        <f>Aurora!M17*1000</f>
        <v>106883.37430357901</v>
      </c>
    </row>
    <row r="40" spans="1:17"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7">
      <c r="A41" t="s">
        <v>56</v>
      </c>
      <c r="C41" s="27">
        <f>SUM(D41:O41)</f>
        <v>8519.4176581144166</v>
      </c>
      <c r="D41" s="3">
        <f>Aurora!B9*1000</f>
        <v>803.178857970237</v>
      </c>
      <c r="E41" s="3">
        <f>Aurora!C9*1000</f>
        <v>639.15392098426798</v>
      </c>
      <c r="F41" s="3">
        <f>Aurora!D9*1000</f>
        <v>36.783893287181797</v>
      </c>
      <c r="G41" s="3">
        <f>Aurora!E9*1000</f>
        <v>25.000630259513798</v>
      </c>
      <c r="H41" s="3">
        <f>Aurora!F9*1000</f>
        <v>31.525524592399602</v>
      </c>
      <c r="I41" s="3">
        <f>Aurora!G9*1000</f>
        <v>238.99093594550999</v>
      </c>
      <c r="J41" s="3">
        <f>Aurora!H9*1000</f>
        <v>1165.9572258114799</v>
      </c>
      <c r="K41" s="3">
        <f>Aurora!I9*1000</f>
        <v>1905.4168881416299</v>
      </c>
      <c r="L41" s="3">
        <f>Aurora!J9*1000</f>
        <v>1338.97056159973</v>
      </c>
      <c r="M41" s="3">
        <f>Aurora!K9*1000</f>
        <v>547.96849160194301</v>
      </c>
      <c r="N41" s="3">
        <f>Aurora!L9*1000</f>
        <v>732.31621971130301</v>
      </c>
      <c r="O41" s="3">
        <f>Aurora!M9*1000</f>
        <v>1054.15450820922</v>
      </c>
      <c r="P41" s="3">
        <f>C41/8760</f>
        <v>0.97253626234182833</v>
      </c>
    </row>
    <row r="42" spans="1:17">
      <c r="A42" t="s">
        <v>102</v>
      </c>
      <c r="C42" s="73">
        <f>C43/C41</f>
        <v>27.11444341312707</v>
      </c>
      <c r="D42" s="76">
        <f t="shared" ref="D42:O42" si="12">IF(D41&gt;0,D43/D41,"")</f>
        <v>29.913466190962058</v>
      </c>
      <c r="E42" s="76">
        <f t="shared" si="12"/>
        <v>29.90538339185542</v>
      </c>
      <c r="F42" s="76">
        <f t="shared" si="12"/>
        <v>27.82928986898952</v>
      </c>
      <c r="G42" s="76">
        <f t="shared" si="12"/>
        <v>25.028983972426623</v>
      </c>
      <c r="H42" s="76">
        <f t="shared" si="12"/>
        <v>24.798562555094229</v>
      </c>
      <c r="I42" s="76">
        <f t="shared" si="12"/>
        <v>25.081913042949807</v>
      </c>
      <c r="J42" s="76">
        <f t="shared" si="12"/>
        <v>25.77696946035152</v>
      </c>
      <c r="K42" s="76">
        <f t="shared" si="12"/>
        <v>25.97957417659406</v>
      </c>
      <c r="L42" s="76">
        <f t="shared" si="12"/>
        <v>25.839415117705435</v>
      </c>
      <c r="M42" s="76">
        <f t="shared" si="12"/>
        <v>25.965005466431915</v>
      </c>
      <c r="N42" s="76">
        <f t="shared" si="12"/>
        <v>27.7558419982857</v>
      </c>
      <c r="O42" s="76">
        <f t="shared" si="12"/>
        <v>29.14627410374155</v>
      </c>
    </row>
    <row r="43" spans="1:17">
      <c r="A43" t="s">
        <v>55</v>
      </c>
      <c r="C43" s="30">
        <f>SUM(D43:O43)</f>
        <v>230999.26800373889</v>
      </c>
      <c r="D43" s="25">
        <f>Aurora!B21*1000</f>
        <v>24025.863613188201</v>
      </c>
      <c r="E43" s="25">
        <f>Aurora!C21*1000</f>
        <v>19114.1430534422</v>
      </c>
      <c r="F43" s="25">
        <f>Aurora!D21*1000</f>
        <v>1023.6696287989599</v>
      </c>
      <c r="G43" s="25">
        <f>Aurora!E21*1000</f>
        <v>625.74037406593493</v>
      </c>
      <c r="H43" s="25">
        <f>Aurora!F21*1000</f>
        <v>781.78769368678297</v>
      </c>
      <c r="I43" s="25">
        <f>Aurora!G21*1000</f>
        <v>5994.3498734384693</v>
      </c>
      <c r="J43" s="25">
        <f>Aurora!H21*1000</f>
        <v>30054.843801818697</v>
      </c>
      <c r="K43" s="25">
        <f>Aurora!I21*1000</f>
        <v>49501.919382810498</v>
      </c>
      <c r="L43" s="25">
        <f>Aurora!J21*1000</f>
        <v>34598.216171562599</v>
      </c>
      <c r="M43" s="25">
        <f>Aurora!K21*1000</f>
        <v>14228.0048798769</v>
      </c>
      <c r="N43" s="25">
        <f>Aurora!L21*1000</f>
        <v>20326.053287088802</v>
      </c>
      <c r="O43" s="25">
        <f>Aurora!M21*1000</f>
        <v>30724.676243960799</v>
      </c>
    </row>
    <row r="44" spans="1:17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7">
      <c r="A45" t="s">
        <v>37</v>
      </c>
      <c r="C45" s="27">
        <f>SUM(D45:O45)</f>
        <v>44044.232922291681</v>
      </c>
      <c r="D45" s="3">
        <f>Aurora!B12*1000</f>
        <v>4892.01906585692</v>
      </c>
      <c r="E45" s="3">
        <f>Aurora!C12*1000</f>
        <v>3898.2824607848997</v>
      </c>
      <c r="F45" s="3">
        <f>Aurora!D12*1000</f>
        <v>10.686259460449211</v>
      </c>
      <c r="G45" s="3">
        <f>Aurora!E12*1000</f>
        <v>0</v>
      </c>
      <c r="H45" s="3">
        <f>Aurora!F12*1000</f>
        <v>5.3743164062500002</v>
      </c>
      <c r="I45" s="3">
        <f>Aurora!G12*1000</f>
        <v>1162.0868857145301</v>
      </c>
      <c r="J45" s="3">
        <f>Aurora!H12*1000</f>
        <v>6894.3696249961804</v>
      </c>
      <c r="K45" s="3">
        <f>Aurora!I12*1000</f>
        <v>12592.210516357409</v>
      </c>
      <c r="L45" s="3">
        <f>Aurora!J12*1000</f>
        <v>5999.9909780502203</v>
      </c>
      <c r="M45" s="3">
        <f>Aurora!K12*1000</f>
        <v>1297.689393711089</v>
      </c>
      <c r="N45" s="3">
        <f>Aurora!L12*1000</f>
        <v>2689.6733514308899</v>
      </c>
      <c r="O45" s="3">
        <f>Aurora!M12*1000</f>
        <v>4601.8500695228504</v>
      </c>
      <c r="P45" s="3">
        <f>C45/8760</f>
        <v>5.0278804705812421</v>
      </c>
    </row>
    <row r="46" spans="1:17">
      <c r="A46" t="s">
        <v>96</v>
      </c>
      <c r="C46" s="73">
        <f>C47/C45</f>
        <v>36.830883955803493</v>
      </c>
      <c r="D46" s="76">
        <f t="shared" ref="D46:O46" si="13">IF(D45&gt;0,D47/D45,"")</f>
        <v>39.026716983810488</v>
      </c>
      <c r="E46" s="76">
        <f t="shared" si="13"/>
        <v>38.984481224070905</v>
      </c>
      <c r="F46" s="76">
        <f t="shared" si="13"/>
        <v>37.479672067869757</v>
      </c>
      <c r="G46" s="76" t="str">
        <f t="shared" si="13"/>
        <v/>
      </c>
      <c r="H46" s="76">
        <f t="shared" si="13"/>
        <v>34.591900364042921</v>
      </c>
      <c r="I46" s="76">
        <f t="shared" si="13"/>
        <v>33.808449133747111</v>
      </c>
      <c r="J46" s="76">
        <f t="shared" si="13"/>
        <v>35.26459979738101</v>
      </c>
      <c r="K46" s="76">
        <f t="shared" si="13"/>
        <v>35.489346531315405</v>
      </c>
      <c r="L46" s="76">
        <f t="shared" si="13"/>
        <v>35.66667247572417</v>
      </c>
      <c r="M46" s="76">
        <f t="shared" si="13"/>
        <v>37.313938645260187</v>
      </c>
      <c r="N46" s="76">
        <f t="shared" si="13"/>
        <v>38.85445669430726</v>
      </c>
      <c r="O46" s="76">
        <f t="shared" si="13"/>
        <v>39.65304491624623</v>
      </c>
    </row>
    <row r="47" spans="1:17">
      <c r="A47" t="s">
        <v>38</v>
      </c>
      <c r="C47" s="30">
        <f>SUM(D47:O47)</f>
        <v>1622188.0316833048</v>
      </c>
      <c r="D47" s="25">
        <f>Aurora!B24*1000</f>
        <v>190919.44356260297</v>
      </c>
      <c r="E47" s="25">
        <f>Aurora!C24*1000</f>
        <v>151972.51939859384</v>
      </c>
      <c r="F47" s="25">
        <f>Aurora!D24*1000</f>
        <v>400.51750020980722</v>
      </c>
      <c r="G47" s="25">
        <f>Aurora!E24*1000</f>
        <v>0</v>
      </c>
      <c r="H47" s="25">
        <f>Aurora!F24*1000</f>
        <v>185.90781764984121</v>
      </c>
      <c r="I47" s="25">
        <f>Aurora!G24*1000</f>
        <v>39288.355364674288</v>
      </c>
      <c r="J47" s="25">
        <f>Aurora!H24*1000</f>
        <v>243127.18568071007</v>
      </c>
      <c r="K47" s="25">
        <f>Aurora!I24*1000</f>
        <v>446889.32261028216</v>
      </c>
      <c r="L47" s="25">
        <f>Aurora!J24*1000</f>
        <v>213999.71307141715</v>
      </c>
      <c r="M47" s="25">
        <f>Aurora!K24*1000</f>
        <v>48421.902417540463</v>
      </c>
      <c r="N47" s="25">
        <f>Aurora!L24*1000</f>
        <v>104505.79675500379</v>
      </c>
      <c r="O47" s="25">
        <f>Aurora!M24*1000</f>
        <v>182477.36750462043</v>
      </c>
    </row>
    <row r="48" spans="1:17"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>
      <c r="A49" t="s">
        <v>42</v>
      </c>
      <c r="C49" s="27">
        <f>SUM(D49:O49)</f>
        <v>1891.6941924154705</v>
      </c>
      <c r="D49" s="3">
        <f>Aurora!B11*1000</f>
        <v>341.773267745971</v>
      </c>
      <c r="E49" s="3">
        <f>Aurora!C11*1000</f>
        <v>201.435668754576</v>
      </c>
      <c r="F49" s="3">
        <f>Aurora!D11*1000</f>
        <v>0</v>
      </c>
      <c r="G49" s="3">
        <f>Aurora!E11*1000</f>
        <v>0</v>
      </c>
      <c r="H49" s="3">
        <f>Aurora!F11*1000</f>
        <v>0</v>
      </c>
      <c r="I49" s="3">
        <f>Aurora!G11*1000</f>
        <v>93.009304046630803</v>
      </c>
      <c r="J49" s="3">
        <f>Aurora!H11*1000</f>
        <v>279.45982862114801</v>
      </c>
      <c r="K49" s="3">
        <f>Aurora!I11*1000</f>
        <v>567.51423816680904</v>
      </c>
      <c r="L49" s="3">
        <f>Aurora!J11*1000</f>
        <v>231.22784180641</v>
      </c>
      <c r="M49" s="3">
        <f>Aurora!K11*1000</f>
        <v>20.922572350501902</v>
      </c>
      <c r="N49" s="3">
        <f>Aurora!L11*1000</f>
        <v>44.179652976989701</v>
      </c>
      <c r="O49" s="3">
        <f>Aurora!M11*1000</f>
        <v>112.1718179464339</v>
      </c>
      <c r="P49" s="3">
        <f>C49/8760</f>
        <v>0.21594682561820439</v>
      </c>
    </row>
    <row r="50" spans="1:16">
      <c r="A50" t="s">
        <v>97</v>
      </c>
      <c r="C50" s="73">
        <f>C51/C49</f>
        <v>40.289886780802689</v>
      </c>
      <c r="D50" s="76">
        <f t="shared" ref="D50:O50" si="14">IF(D49&gt;0,D51/D49,"")</f>
        <v>44.298269627138318</v>
      </c>
      <c r="E50" s="76">
        <f t="shared" si="14"/>
        <v>43.72006475212914</v>
      </c>
      <c r="F50" s="76" t="str">
        <f t="shared" si="14"/>
        <v/>
      </c>
      <c r="G50" s="76" t="str">
        <f t="shared" si="14"/>
        <v/>
      </c>
      <c r="H50" s="76" t="str">
        <f t="shared" si="14"/>
        <v/>
      </c>
      <c r="I50" s="76">
        <f t="shared" si="14"/>
        <v>37.165499896213639</v>
      </c>
      <c r="J50" s="76">
        <f t="shared" si="14"/>
        <v>38.223736374597898</v>
      </c>
      <c r="K50" s="76">
        <f t="shared" si="14"/>
        <v>38.41694038179093</v>
      </c>
      <c r="L50" s="76">
        <f t="shared" si="14"/>
        <v>38.199722477884883</v>
      </c>
      <c r="M50" s="76">
        <f t="shared" si="14"/>
        <v>38.342709945527119</v>
      </c>
      <c r="N50" s="76">
        <f t="shared" si="14"/>
        <v>41.261498797672346</v>
      </c>
      <c r="O50" s="76">
        <f t="shared" si="14"/>
        <v>43.420148848566122</v>
      </c>
    </row>
    <row r="51" spans="1:16">
      <c r="A51" t="s">
        <v>43</v>
      </c>
      <c r="C51" s="30">
        <f>SUM(D51:O51)</f>
        <v>76216.144836321284</v>
      </c>
      <c r="D51" s="25">
        <f>Aurora!B23*1000</f>
        <v>15139.964365959158</v>
      </c>
      <c r="E51" s="25">
        <f>Aurora!C23*1000</f>
        <v>8806.7804813384992</v>
      </c>
      <c r="F51" s="25">
        <f>Aurora!D23*1000</f>
        <v>0</v>
      </c>
      <c r="G51" s="25">
        <f>Aurora!E23*1000</f>
        <v>0</v>
      </c>
      <c r="H51" s="25">
        <f>Aurora!F23*1000</f>
        <v>0</v>
      </c>
      <c r="I51" s="25">
        <f>Aurora!G23*1000</f>
        <v>3456.7372798919596</v>
      </c>
      <c r="J51" s="25">
        <f>Aurora!H23*1000</f>
        <v>10681.998816505069</v>
      </c>
      <c r="K51" s="25">
        <f>Aurora!I23*1000</f>
        <v>21802.160653471801</v>
      </c>
      <c r="L51" s="25">
        <f>Aurora!J23*1000</f>
        <v>8832.8393861651293</v>
      </c>
      <c r="M51" s="25">
        <f>Aurora!K23*1000</f>
        <v>802.22812294959999</v>
      </c>
      <c r="N51" s="25">
        <f>Aurora!L23*1000</f>
        <v>1822.9186981916419</v>
      </c>
      <c r="O51" s="25">
        <f>Aurora!M23*1000</f>
        <v>4870.5170318484206</v>
      </c>
    </row>
    <row r="52" spans="1:16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6">
      <c r="A53" t="s">
        <v>39</v>
      </c>
      <c r="C53" s="52">
        <f>SUM(D53:O53)</f>
        <v>100012702.62403871</v>
      </c>
      <c r="D53" s="32">
        <f t="shared" ref="D53:J53" si="15">D23+D27+D31+D35+D39+D43+D47+D51</f>
        <v>11646760.135196459</v>
      </c>
      <c r="E53" s="32">
        <f t="shared" si="15"/>
        <v>9875961.3137952182</v>
      </c>
      <c r="F53" s="32">
        <f t="shared" si="15"/>
        <v>8913239.9893352166</v>
      </c>
      <c r="G53" s="32">
        <f t="shared" si="15"/>
        <v>6010944.6371732485</v>
      </c>
      <c r="H53" s="32">
        <f t="shared" si="15"/>
        <v>4080038.8742965767</v>
      </c>
      <c r="I53" s="32">
        <f t="shared" si="15"/>
        <v>3217483.7166264076</v>
      </c>
      <c r="J53" s="32">
        <f t="shared" si="15"/>
        <v>7131048.6177261602</v>
      </c>
      <c r="K53" s="32">
        <f>K23+K27+K31+K35+K39+K43+K47+K51</f>
        <v>9178433.8546328545</v>
      </c>
      <c r="L53" s="32">
        <f>L23+L27+L31+L35+L39+L43+L47+L51</f>
        <v>9355570.3898328803</v>
      </c>
      <c r="M53" s="32">
        <f>M23+M27+M31+M35+M39+M43+M47+M51</f>
        <v>9422074.0313568301</v>
      </c>
      <c r="N53" s="32">
        <f>N23+N27+N31+N35+N39+N43+N47+N51</f>
        <v>9811888.1324598212</v>
      </c>
      <c r="O53" s="32">
        <f>O23+O27+O31+O35+O39+O43+O47+O51</f>
        <v>11369258.931607032</v>
      </c>
    </row>
    <row r="54" spans="1:16">
      <c r="C54" s="25"/>
      <c r="D54" s="25"/>
      <c r="E54" s="25"/>
      <c r="F54" s="25"/>
      <c r="G54" s="25"/>
      <c r="H54" s="25"/>
      <c r="I54" s="25"/>
    </row>
    <row r="55" spans="1:16" s="12" customFormat="1">
      <c r="A55" s="34" t="s">
        <v>88</v>
      </c>
      <c r="B55" s="35"/>
      <c r="C55" s="71">
        <f>C53+C13+C9</f>
        <v>68708169.377864406</v>
      </c>
    </row>
    <row r="56" spans="1:16" s="12" customFormat="1">
      <c r="A56" s="9"/>
      <c r="C56" s="36"/>
      <c r="D56" s="36"/>
      <c r="E56" s="36"/>
      <c r="F56" s="36"/>
      <c r="G56" s="36"/>
      <c r="H56" s="36"/>
      <c r="I56" s="36"/>
    </row>
  </sheetData>
  <phoneticPr fontId="6" type="noConversion"/>
  <pageMargins left="0.75" right="0.75" top="1" bottom="1" header="0.5" footer="0.5"/>
  <pageSetup scale="55" orientation="landscape" r:id="rId1"/>
  <headerFooter alignWithMargins="0">
    <oddFooter>&amp;R&amp;"Geneva,Bold"&amp;12Exhibit No. (WGJ-4) ___
Docket No. UE-14-___
W. Johnson, Avista p.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O58"/>
  <sheetViews>
    <sheetView workbookViewId="0">
      <selection activeCell="D34" sqref="D34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210</v>
      </c>
    </row>
    <row r="6" spans="1:15">
      <c r="C6" s="37">
        <f>SUM(D6:O6)</f>
        <v>8760</v>
      </c>
      <c r="D6" s="46">
        <f>'WGJ-4'!D6</f>
        <v>744</v>
      </c>
      <c r="E6" s="46">
        <v>672</v>
      </c>
      <c r="F6" s="46">
        <v>743</v>
      </c>
      <c r="G6" s="46">
        <v>720</v>
      </c>
      <c r="H6" s="46">
        <f>'WGJ-4'!H6</f>
        <v>744</v>
      </c>
      <c r="I6" s="46">
        <f>'WGJ-4'!I6</f>
        <v>720</v>
      </c>
      <c r="J6" s="46">
        <f>'WGJ-4'!J6</f>
        <v>744</v>
      </c>
      <c r="K6" s="46">
        <f>'WGJ-4'!K6</f>
        <v>744</v>
      </c>
      <c r="L6" s="46">
        <f>'WGJ-4'!L6</f>
        <v>720</v>
      </c>
      <c r="M6" s="46">
        <v>744</v>
      </c>
      <c r="N6" s="46">
        <v>721</v>
      </c>
      <c r="O6" s="46">
        <f>'WGJ-4'!O6</f>
        <v>744</v>
      </c>
    </row>
    <row r="7" spans="1:15">
      <c r="C7" s="86" t="s">
        <v>32</v>
      </c>
      <c r="D7" s="47">
        <v>41274</v>
      </c>
      <c r="E7" s="47">
        <v>41305</v>
      </c>
      <c r="F7" s="47">
        <v>41333</v>
      </c>
      <c r="G7" s="47">
        <v>41364</v>
      </c>
      <c r="H7" s="47">
        <v>41394</v>
      </c>
      <c r="I7" s="47">
        <v>41425</v>
      </c>
      <c r="J7" s="47">
        <v>41455</v>
      </c>
      <c r="K7" s="47">
        <v>41486</v>
      </c>
      <c r="L7" s="47">
        <v>41517</v>
      </c>
      <c r="M7" s="47">
        <v>41547</v>
      </c>
      <c r="N7" s="47">
        <v>41578</v>
      </c>
      <c r="O7" s="47">
        <v>41608</v>
      </c>
    </row>
    <row r="8" spans="1:15">
      <c r="C8" s="1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>
      <c r="A9" s="2" t="s">
        <v>211</v>
      </c>
      <c r="C9" s="123">
        <f>AVERAGE(D9:O9)</f>
        <v>28.048413628339745</v>
      </c>
      <c r="D9" s="97">
        <v>32.837792563438398</v>
      </c>
      <c r="E9" s="97">
        <v>31.067890775203683</v>
      </c>
      <c r="F9" s="97">
        <v>25.379822933673836</v>
      </c>
      <c r="G9" s="97">
        <v>21.101006609201402</v>
      </c>
      <c r="H9" s="97">
        <v>19.512000960111592</v>
      </c>
      <c r="I9" s="97">
        <v>20.754938840866064</v>
      </c>
      <c r="J9" s="97">
        <v>30.79186975955961</v>
      </c>
      <c r="K9" s="97">
        <v>32.650845193862899</v>
      </c>
      <c r="L9" s="97">
        <v>30.873680448532081</v>
      </c>
      <c r="M9" s="97">
        <v>27.700013828277566</v>
      </c>
      <c r="N9" s="97">
        <v>30.886390161514264</v>
      </c>
      <c r="O9" s="97">
        <v>33.024711465835551</v>
      </c>
    </row>
    <row r="10" spans="1:15">
      <c r="A10" s="2" t="s">
        <v>212</v>
      </c>
      <c r="C10" s="123">
        <f>AVERAGE(D10:O10)</f>
        <v>21.444379713386272</v>
      </c>
      <c r="D10" s="97">
        <v>27.91576088666914</v>
      </c>
      <c r="E10" s="97">
        <v>26.411385458707787</v>
      </c>
      <c r="F10" s="97">
        <v>22.039248283579916</v>
      </c>
      <c r="G10" s="97">
        <v>15.285832844674553</v>
      </c>
      <c r="H10" s="97">
        <v>11.072650252655125</v>
      </c>
      <c r="I10" s="97">
        <v>10.515662948042131</v>
      </c>
      <c r="J10" s="97">
        <v>19.555524015426606</v>
      </c>
      <c r="K10" s="97">
        <v>23.464992487430546</v>
      </c>
      <c r="L10" s="97">
        <v>25.104135632514932</v>
      </c>
      <c r="M10" s="97">
        <v>24.367736983299238</v>
      </c>
      <c r="N10" s="97">
        <v>24.835627913475015</v>
      </c>
      <c r="O10" s="97">
        <v>26.763998854160281</v>
      </c>
    </row>
    <row r="11" spans="1:15">
      <c r="A11" s="2" t="s">
        <v>224</v>
      </c>
      <c r="C11" s="123">
        <f>AVERAGE(D11:O11)</f>
        <v>25.211824769029992</v>
      </c>
      <c r="D11" s="97">
        <v>30.667864513397198</v>
      </c>
      <c r="E11" s="97">
        <v>29.07224567532537</v>
      </c>
      <c r="F11" s="97">
        <v>23.978936785459489</v>
      </c>
      <c r="G11" s="97">
        <v>18.51648488938806</v>
      </c>
      <c r="H11" s="97">
        <v>15.972918385267221</v>
      </c>
      <c r="I11" s="97">
        <v>16.431689023971522</v>
      </c>
      <c r="J11" s="97">
        <v>25.838212060928321</v>
      </c>
      <c r="K11" s="97">
        <v>28.798713397979718</v>
      </c>
      <c r="L11" s="97">
        <v>28.437650489807112</v>
      </c>
      <c r="M11" s="97">
        <v>26.230945634841895</v>
      </c>
      <c r="N11" s="97">
        <v>28.331623935699433</v>
      </c>
      <c r="O11" s="97">
        <v>30.264612436294534</v>
      </c>
    </row>
    <row r="12" spans="1:15">
      <c r="C12" s="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>
      <c r="A13" s="2" t="s">
        <v>41</v>
      </c>
      <c r="C13" s="12"/>
      <c r="D13">
        <v>-5.766</v>
      </c>
      <c r="E13">
        <v>-5.2080000000000002</v>
      </c>
      <c r="F13">
        <v>-5.766</v>
      </c>
      <c r="G13">
        <v>-5.58</v>
      </c>
      <c r="H13">
        <v>-5.766</v>
      </c>
      <c r="I13">
        <v>-5.58</v>
      </c>
      <c r="J13">
        <v>-5.766</v>
      </c>
      <c r="K13">
        <v>-5.766</v>
      </c>
      <c r="L13">
        <v>-5.58</v>
      </c>
      <c r="M13">
        <v>-5.766</v>
      </c>
      <c r="N13">
        <v>-5.58</v>
      </c>
      <c r="O13">
        <v>-5.766</v>
      </c>
    </row>
    <row r="14" spans="1:15">
      <c r="B14" t="s">
        <v>40</v>
      </c>
      <c r="C14" s="12"/>
    </row>
    <row r="15" spans="1:15">
      <c r="B15" t="s">
        <v>92</v>
      </c>
      <c r="C15" s="121">
        <f>SUM(D15:O15)</f>
        <v>59130</v>
      </c>
      <c r="D15" s="3">
        <f>-D13*1000-D6</f>
        <v>5022</v>
      </c>
      <c r="E15" s="3">
        <f t="shared" ref="E15:O15" si="0">-E13*1000-E6</f>
        <v>4536</v>
      </c>
      <c r="F15" s="3">
        <f t="shared" si="0"/>
        <v>5023</v>
      </c>
      <c r="G15" s="3">
        <f t="shared" si="0"/>
        <v>4860</v>
      </c>
      <c r="H15" s="3">
        <f t="shared" si="0"/>
        <v>5022</v>
      </c>
      <c r="I15" s="3">
        <f t="shared" si="0"/>
        <v>4860</v>
      </c>
      <c r="J15" s="3">
        <f t="shared" si="0"/>
        <v>5022</v>
      </c>
      <c r="K15" s="3">
        <f t="shared" si="0"/>
        <v>5022</v>
      </c>
      <c r="L15" s="3">
        <f t="shared" si="0"/>
        <v>4860</v>
      </c>
      <c r="M15" s="3">
        <f t="shared" si="0"/>
        <v>5022</v>
      </c>
      <c r="N15" s="3">
        <f t="shared" si="0"/>
        <v>4859</v>
      </c>
      <c r="O15" s="3">
        <f t="shared" si="0"/>
        <v>5022</v>
      </c>
    </row>
    <row r="16" spans="1:15">
      <c r="B16" t="s">
        <v>104</v>
      </c>
      <c r="C16" s="101">
        <f>SUM(D16:O16)</f>
        <v>1362480.7752916478</v>
      </c>
      <c r="D16" s="25">
        <f>((D9*0.57+D10*0.43)-2.16)*D15</f>
        <v>143434.94372887147</v>
      </c>
      <c r="E16" s="25">
        <f t="shared" ref="E16:O16" si="1">((E9*0.57+E10*0.43)-2.16)*E15</f>
        <v>122043.77206660497</v>
      </c>
      <c r="F16" s="25">
        <f t="shared" si="1"/>
        <v>109417.89681485231</v>
      </c>
      <c r="G16" s="25">
        <f t="shared" si="1"/>
        <v>79900.7419876106</v>
      </c>
      <c r="H16" s="25">
        <f t="shared" si="1"/>
        <v>68917.308542956467</v>
      </c>
      <c r="I16" s="25">
        <f t="shared" si="1"/>
        <v>68973.36400578561</v>
      </c>
      <c r="J16" s="25">
        <f t="shared" si="1"/>
        <v>119524.81075188291</v>
      </c>
      <c r="K16" s="25">
        <f t="shared" si="1"/>
        <v>133288.54307814708</v>
      </c>
      <c r="L16" s="25">
        <f t="shared" si="1"/>
        <v>127491.29222335327</v>
      </c>
      <c r="M16" s="25">
        <f t="shared" si="1"/>
        <v>121066.03088995304</v>
      </c>
      <c r="N16" s="25">
        <f t="shared" si="1"/>
        <v>126939.24867661203</v>
      </c>
      <c r="O16" s="25">
        <f t="shared" si="1"/>
        <v>141482.82252501784</v>
      </c>
    </row>
    <row r="17" spans="1:15">
      <c r="C17" s="12"/>
    </row>
    <row r="18" spans="1:15">
      <c r="B18" t="s">
        <v>226</v>
      </c>
      <c r="C18" s="12"/>
      <c r="D18">
        <v>-37.200000000000003</v>
      </c>
      <c r="E18">
        <v>-33.6</v>
      </c>
      <c r="F18">
        <v>-37.200000000000003</v>
      </c>
      <c r="G18">
        <v>-36</v>
      </c>
      <c r="H18">
        <v>-37.200000000000003</v>
      </c>
      <c r="I18">
        <v>-36</v>
      </c>
      <c r="J18">
        <v>-37.200000000000003</v>
      </c>
      <c r="K18">
        <v>-37.200000000000003</v>
      </c>
      <c r="L18">
        <v>-36</v>
      </c>
      <c r="M18">
        <v>-37.200000000000003</v>
      </c>
      <c r="N18">
        <v>-36</v>
      </c>
      <c r="O18">
        <v>-37.200000000000003</v>
      </c>
    </row>
    <row r="19" spans="1:15">
      <c r="B19" t="s">
        <v>92</v>
      </c>
      <c r="C19" s="121">
        <f>SUM(D19:O19)</f>
        <v>438000</v>
      </c>
      <c r="D19" s="145">
        <f>-D18*1000</f>
        <v>37200</v>
      </c>
      <c r="E19" s="145">
        <f t="shared" ref="E19:O19" si="2">-E18*1000</f>
        <v>33600</v>
      </c>
      <c r="F19" s="145">
        <f t="shared" si="2"/>
        <v>37200</v>
      </c>
      <c r="G19" s="145">
        <f t="shared" si="2"/>
        <v>36000</v>
      </c>
      <c r="H19" s="145">
        <f t="shared" si="2"/>
        <v>37200</v>
      </c>
      <c r="I19" s="145">
        <f t="shared" si="2"/>
        <v>36000</v>
      </c>
      <c r="J19" s="145">
        <f t="shared" si="2"/>
        <v>37200</v>
      </c>
      <c r="K19" s="145">
        <f t="shared" si="2"/>
        <v>37200</v>
      </c>
      <c r="L19" s="145">
        <f t="shared" si="2"/>
        <v>36000</v>
      </c>
      <c r="M19" s="145">
        <f t="shared" si="2"/>
        <v>37200</v>
      </c>
      <c r="N19" s="145">
        <f t="shared" si="2"/>
        <v>36000</v>
      </c>
      <c r="O19" s="145">
        <f t="shared" si="2"/>
        <v>37200</v>
      </c>
    </row>
    <row r="20" spans="1:15">
      <c r="B20" t="s">
        <v>225</v>
      </c>
      <c r="D20" s="29">
        <f>D11+3</f>
        <v>33.667864513397198</v>
      </c>
      <c r="E20" s="29">
        <f t="shared" ref="E20:O20" si="3">E11+3</f>
        <v>32.07224567532537</v>
      </c>
      <c r="F20" s="29">
        <f t="shared" si="3"/>
        <v>26.978936785459489</v>
      </c>
      <c r="G20" s="29">
        <f t="shared" si="3"/>
        <v>21.51648488938806</v>
      </c>
      <c r="H20" s="29">
        <f t="shared" si="3"/>
        <v>18.972918385267221</v>
      </c>
      <c r="I20" s="29">
        <f t="shared" si="3"/>
        <v>19.431689023971522</v>
      </c>
      <c r="J20" s="29">
        <f t="shared" si="3"/>
        <v>28.838212060928321</v>
      </c>
      <c r="K20" s="29">
        <f t="shared" si="3"/>
        <v>31.798713397979718</v>
      </c>
      <c r="L20" s="29">
        <f t="shared" si="3"/>
        <v>31.437650489807112</v>
      </c>
      <c r="M20" s="29">
        <f t="shared" si="3"/>
        <v>29.230945634841895</v>
      </c>
      <c r="N20" s="29">
        <f t="shared" si="3"/>
        <v>31.331623935699433</v>
      </c>
      <c r="O20" s="29">
        <f t="shared" si="3"/>
        <v>33.264612436294534</v>
      </c>
    </row>
    <row r="21" spans="1:15">
      <c r="B21" t="s">
        <v>104</v>
      </c>
      <c r="C21" s="101">
        <f>SUM(D21:O21)</f>
        <v>12353837.554457175</v>
      </c>
      <c r="D21" s="25">
        <f>D19*D20</f>
        <v>1252444.5598983758</v>
      </c>
      <c r="E21" s="25">
        <f t="shared" ref="E21:O21" si="4">E19*E20</f>
        <v>1077627.4546909325</v>
      </c>
      <c r="F21" s="25">
        <f t="shared" si="4"/>
        <v>1003616.4484190929</v>
      </c>
      <c r="G21" s="25">
        <f t="shared" si="4"/>
        <v>774593.45601797022</v>
      </c>
      <c r="H21" s="25">
        <f t="shared" si="4"/>
        <v>705792.56393194059</v>
      </c>
      <c r="I21" s="25">
        <f t="shared" si="4"/>
        <v>699540.80486297479</v>
      </c>
      <c r="J21" s="25">
        <f t="shared" si="4"/>
        <v>1072781.4886665335</v>
      </c>
      <c r="K21" s="25">
        <f t="shared" si="4"/>
        <v>1182912.1384048455</v>
      </c>
      <c r="L21" s="25">
        <f t="shared" si="4"/>
        <v>1131755.4176330559</v>
      </c>
      <c r="M21" s="25">
        <f t="shared" si="4"/>
        <v>1087391.1776161185</v>
      </c>
      <c r="N21" s="25">
        <f t="shared" si="4"/>
        <v>1127938.4616851795</v>
      </c>
      <c r="O21" s="25">
        <f t="shared" si="4"/>
        <v>1237443.5826301568</v>
      </c>
    </row>
    <row r="22" spans="1:15">
      <c r="C22" s="107"/>
      <c r="K22" s="29"/>
      <c r="L22" s="29"/>
      <c r="M22" s="25"/>
    </row>
    <row r="23" spans="1:15">
      <c r="A23" s="2" t="s">
        <v>148</v>
      </c>
      <c r="C23" s="107"/>
      <c r="K23" s="29"/>
      <c r="L23" s="29"/>
      <c r="M23" s="25"/>
    </row>
    <row r="24" spans="1:15">
      <c r="C24" s="122" t="s">
        <v>32</v>
      </c>
      <c r="D24" s="111">
        <f>D7</f>
        <v>41274</v>
      </c>
      <c r="E24" s="111">
        <f t="shared" ref="E24:O24" si="5">E7</f>
        <v>41305</v>
      </c>
      <c r="F24" s="111">
        <f t="shared" si="5"/>
        <v>41333</v>
      </c>
      <c r="G24" s="111">
        <f t="shared" si="5"/>
        <v>41364</v>
      </c>
      <c r="H24" s="111">
        <f t="shared" si="5"/>
        <v>41394</v>
      </c>
      <c r="I24" s="111">
        <f t="shared" si="5"/>
        <v>41425</v>
      </c>
      <c r="J24" s="111">
        <f t="shared" si="5"/>
        <v>41455</v>
      </c>
      <c r="K24" s="111">
        <f t="shared" si="5"/>
        <v>41486</v>
      </c>
      <c r="L24" s="111">
        <f t="shared" si="5"/>
        <v>41517</v>
      </c>
      <c r="M24" s="111">
        <f t="shared" si="5"/>
        <v>41547</v>
      </c>
      <c r="N24" s="111">
        <f t="shared" si="5"/>
        <v>41578</v>
      </c>
      <c r="O24" s="111">
        <f t="shared" si="5"/>
        <v>41608</v>
      </c>
    </row>
    <row r="25" spans="1:15">
      <c r="A25" s="2"/>
      <c r="C25" s="107"/>
      <c r="K25" s="29"/>
      <c r="L25" s="29"/>
      <c r="M25" s="25"/>
    </row>
    <row r="26" spans="1:15">
      <c r="B26" t="s">
        <v>213</v>
      </c>
      <c r="C26" s="107"/>
      <c r="D26" s="97">
        <f>0.65*D9+0.35*D10+5</f>
        <v>36.115081476569159</v>
      </c>
      <c r="E26" s="97">
        <f t="shared" ref="E26:O26" si="6">0.65*E9+0.35*E10+5</f>
        <v>34.438113914430119</v>
      </c>
      <c r="F26" s="97">
        <f t="shared" si="6"/>
        <v>29.210621806140963</v>
      </c>
      <c r="G26" s="97">
        <f t="shared" si="6"/>
        <v>24.065695791617003</v>
      </c>
      <c r="H26" s="97">
        <f t="shared" si="6"/>
        <v>21.558228212501831</v>
      </c>
      <c r="I26" s="97">
        <f t="shared" si="6"/>
        <v>22.171192278377688</v>
      </c>
      <c r="J26" s="97">
        <f t="shared" si="6"/>
        <v>31.859148749113057</v>
      </c>
      <c r="K26" s="97">
        <f t="shared" si="6"/>
        <v>34.435796746611572</v>
      </c>
      <c r="L26" s="97">
        <f t="shared" si="6"/>
        <v>33.854339762926081</v>
      </c>
      <c r="M26" s="97">
        <f t="shared" si="6"/>
        <v>31.53371693253515</v>
      </c>
      <c r="N26" s="97">
        <f t="shared" si="6"/>
        <v>33.768623374700525</v>
      </c>
      <c r="O26" s="97">
        <f t="shared" si="6"/>
        <v>35.833462051749208</v>
      </c>
    </row>
    <row r="27" spans="1:15">
      <c r="C27" s="11"/>
      <c r="K27" s="29"/>
      <c r="L27" s="29"/>
      <c r="M27" s="25"/>
    </row>
    <row r="28" spans="1:15">
      <c r="B28" t="s">
        <v>160</v>
      </c>
      <c r="C28" s="121">
        <f>SUM(D28:O28)</f>
        <v>170920.48250122069</v>
      </c>
      <c r="D28" s="127">
        <v>16082.035986328097</v>
      </c>
      <c r="E28" s="127">
        <v>13675.3127502441</v>
      </c>
      <c r="F28" s="127">
        <v>13712.052185058601</v>
      </c>
      <c r="G28" s="127">
        <v>14590.818084716801</v>
      </c>
      <c r="H28" s="127">
        <v>17601.611364746099</v>
      </c>
      <c r="I28" s="127">
        <v>16754.994854736298</v>
      </c>
      <c r="J28" s="127">
        <v>15677.038232421901</v>
      </c>
      <c r="K28" s="127">
        <v>13024.965344238301</v>
      </c>
      <c r="L28" s="127">
        <v>10412.902880859399</v>
      </c>
      <c r="M28" s="127">
        <v>10606.779675293001</v>
      </c>
      <c r="N28" s="127">
        <v>13477.5066040039</v>
      </c>
      <c r="O28" s="127">
        <v>15304.464538574201</v>
      </c>
    </row>
    <row r="29" spans="1:15">
      <c r="B29" t="s">
        <v>161</v>
      </c>
      <c r="C29" s="121">
        <f>SUM(D29:O29)</f>
        <v>162340.86307373052</v>
      </c>
      <c r="D29" s="127">
        <v>15001.8740661621</v>
      </c>
      <c r="E29" s="127">
        <v>12583.879370117198</v>
      </c>
      <c r="F29" s="127">
        <v>12650.914453125</v>
      </c>
      <c r="G29" s="127">
        <v>14341.7871520996</v>
      </c>
      <c r="H29" s="127">
        <v>17510.654772949201</v>
      </c>
      <c r="I29" s="127">
        <v>16850.928302002001</v>
      </c>
      <c r="J29" s="127">
        <v>15723.584777831999</v>
      </c>
      <c r="K29" s="127">
        <v>13607.529205322302</v>
      </c>
      <c r="L29" s="127">
        <v>8998.70536499023</v>
      </c>
      <c r="M29" s="127">
        <v>8996.8272583007802</v>
      </c>
      <c r="N29" s="127">
        <v>12098.888397216801</v>
      </c>
      <c r="O29" s="127">
        <v>13975.289953613299</v>
      </c>
    </row>
    <row r="30" spans="1:15">
      <c r="B30" t="s">
        <v>134</v>
      </c>
      <c r="C30" s="100"/>
      <c r="D30" s="100">
        <v>3.3000000000000002E-2</v>
      </c>
      <c r="E30" s="100">
        <v>3.3000000000000002E-2</v>
      </c>
      <c r="F30" s="100">
        <v>3.3000000000000002E-2</v>
      </c>
      <c r="G30" s="100">
        <v>3.3000000000000002E-2</v>
      </c>
      <c r="H30" s="100">
        <v>3.3000000000000002E-2</v>
      </c>
      <c r="I30" s="100">
        <v>3.3000000000000002E-2</v>
      </c>
      <c r="J30" s="100">
        <v>3.3000000000000002E-2</v>
      </c>
      <c r="K30" s="100">
        <v>3.3000000000000002E-2</v>
      </c>
      <c r="L30" s="100">
        <v>3.3000000000000002E-2</v>
      </c>
      <c r="M30" s="100">
        <v>3.3000000000000002E-2</v>
      </c>
      <c r="N30" s="100">
        <v>3.3000000000000002E-2</v>
      </c>
      <c r="O30" s="100">
        <v>3.3000000000000002E-2</v>
      </c>
    </row>
    <row r="31" spans="1:15">
      <c r="B31" t="s">
        <v>159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</row>
    <row r="32" spans="1:15">
      <c r="B32" t="s">
        <v>135</v>
      </c>
      <c r="C32" s="100"/>
      <c r="D32" s="100">
        <v>4.8999999999999998E-3</v>
      </c>
      <c r="E32" s="100">
        <v>4.8999999999999998E-3</v>
      </c>
      <c r="F32" s="100">
        <v>4.8999999999999998E-3</v>
      </c>
      <c r="G32" s="100">
        <v>4.8999999999999998E-3</v>
      </c>
      <c r="H32" s="100">
        <v>4.8999999999999998E-3</v>
      </c>
      <c r="I32" s="100">
        <v>4.8999999999999998E-3</v>
      </c>
      <c r="J32" s="100">
        <v>4.8999999999999998E-3</v>
      </c>
      <c r="K32" s="100">
        <v>4.8999999999999998E-3</v>
      </c>
      <c r="L32" s="100">
        <v>4.8999999999999998E-3</v>
      </c>
      <c r="M32" s="100">
        <v>4.8999999999999998E-3</v>
      </c>
      <c r="N32" s="100">
        <v>4.8999999999999998E-3</v>
      </c>
      <c r="O32" s="100">
        <v>4.8999999999999998E-3</v>
      </c>
    </row>
    <row r="33" spans="2:15">
      <c r="B33" t="s">
        <v>138</v>
      </c>
      <c r="C33" s="100"/>
      <c r="D33" s="100">
        <f>D30+D31+D32</f>
        <v>3.7900000000000003E-2</v>
      </c>
      <c r="E33" s="100">
        <f t="shared" ref="E33:O33" si="7">E30+E31+E32</f>
        <v>3.7900000000000003E-2</v>
      </c>
      <c r="F33" s="100">
        <f t="shared" si="7"/>
        <v>3.7900000000000003E-2</v>
      </c>
      <c r="G33" s="100">
        <f t="shared" si="7"/>
        <v>3.7900000000000003E-2</v>
      </c>
      <c r="H33" s="100">
        <f t="shared" si="7"/>
        <v>3.7900000000000003E-2</v>
      </c>
      <c r="I33" s="100">
        <f t="shared" si="7"/>
        <v>3.7900000000000003E-2</v>
      </c>
      <c r="J33" s="100">
        <f t="shared" si="7"/>
        <v>3.7900000000000003E-2</v>
      </c>
      <c r="K33" s="100">
        <f t="shared" si="7"/>
        <v>3.7900000000000003E-2</v>
      </c>
      <c r="L33" s="100">
        <f t="shared" si="7"/>
        <v>3.7900000000000003E-2</v>
      </c>
      <c r="M33" s="100">
        <f t="shared" si="7"/>
        <v>3.7900000000000003E-2</v>
      </c>
      <c r="N33" s="100">
        <f t="shared" si="7"/>
        <v>3.7900000000000003E-2</v>
      </c>
      <c r="O33" s="100">
        <f t="shared" si="7"/>
        <v>3.7900000000000003E-2</v>
      </c>
    </row>
    <row r="34" spans="2:15">
      <c r="B34" t="s">
        <v>146</v>
      </c>
      <c r="C34" s="100"/>
      <c r="D34" s="108">
        <f>132.5/((C56/8760)*0.3)</f>
        <v>0.4400003239110174</v>
      </c>
      <c r="E34" s="108">
        <f>D34</f>
        <v>0.4400003239110174</v>
      </c>
      <c r="F34" s="108">
        <f t="shared" ref="F34:O34" si="8">E34</f>
        <v>0.4400003239110174</v>
      </c>
      <c r="G34" s="108">
        <f t="shared" si="8"/>
        <v>0.4400003239110174</v>
      </c>
      <c r="H34" s="108">
        <f t="shared" si="8"/>
        <v>0.4400003239110174</v>
      </c>
      <c r="I34" s="108">
        <f t="shared" si="8"/>
        <v>0.4400003239110174</v>
      </c>
      <c r="J34" s="108">
        <f t="shared" si="8"/>
        <v>0.4400003239110174</v>
      </c>
      <c r="K34" s="108">
        <f t="shared" si="8"/>
        <v>0.4400003239110174</v>
      </c>
      <c r="L34" s="108">
        <f t="shared" si="8"/>
        <v>0.4400003239110174</v>
      </c>
      <c r="M34" s="108">
        <f t="shared" si="8"/>
        <v>0.4400003239110174</v>
      </c>
      <c r="N34" s="108">
        <f t="shared" si="8"/>
        <v>0.4400003239110174</v>
      </c>
      <c r="O34" s="108">
        <f t="shared" si="8"/>
        <v>0.4400003239110174</v>
      </c>
    </row>
    <row r="35" spans="2:15">
      <c r="C35" s="99"/>
    </row>
    <row r="36" spans="2:15">
      <c r="B36" t="s">
        <v>128</v>
      </c>
      <c r="C36" s="99">
        <f>SUM(D36:O36)</f>
        <v>290174.78638452216</v>
      </c>
      <c r="D36" s="3">
        <f>(D28+D29)*(D30/D33)</f>
        <v>27065.145955994099</v>
      </c>
      <c r="E36" s="3">
        <f t="shared" ref="E36:O36" si="9">(E28+E29)*(E30/E33)</f>
        <v>22864.204220895059</v>
      </c>
      <c r="F36" s="3">
        <f t="shared" si="9"/>
        <v>22954.561980476483</v>
      </c>
      <c r="G36" s="3">
        <f t="shared" si="9"/>
        <v>25191.978174536707</v>
      </c>
      <c r="H36" s="3">
        <f t="shared" si="9"/>
        <v>30572.685555249209</v>
      </c>
      <c r="I36" s="3">
        <f t="shared" si="9"/>
        <v>29261.094041487169</v>
      </c>
      <c r="J36" s="3">
        <f t="shared" si="9"/>
        <v>27340.911855893894</v>
      </c>
      <c r="K36" s="3">
        <f t="shared" si="9"/>
        <v>23189.243275343</v>
      </c>
      <c r="L36" s="3">
        <f t="shared" si="9"/>
        <v>16901.928024090706</v>
      </c>
      <c r="M36" s="3">
        <f t="shared" si="9"/>
        <v>17069.103662495902</v>
      </c>
      <c r="N36" s="3">
        <f t="shared" si="9"/>
        <v>22269.684301854431</v>
      </c>
      <c r="O36" s="3">
        <f t="shared" si="9"/>
        <v>25494.245336205477</v>
      </c>
    </row>
    <row r="37" spans="2:15">
      <c r="B37" t="s">
        <v>129</v>
      </c>
      <c r="C37" s="98">
        <f>SUM(D37:O37)</f>
        <v>8795103.6050191335</v>
      </c>
      <c r="D37" s="25">
        <f>D36*D26</f>
        <v>977459.95137596317</v>
      </c>
      <c r="E37" s="25">
        <f t="shared" ref="E37:O37" si="10">E36*E26</f>
        <v>787400.06952197803</v>
      </c>
      <c r="F37" s="25">
        <f t="shared" si="10"/>
        <v>670517.02873732068</v>
      </c>
      <c r="G37" s="25">
        <f t="shared" si="10"/>
        <v>606262.48313745542</v>
      </c>
      <c r="H37" s="25">
        <f t="shared" si="10"/>
        <v>659092.93226912071</v>
      </c>
      <c r="I37" s="25">
        <f t="shared" si="10"/>
        <v>648753.34226950374</v>
      </c>
      <c r="J37" s="25">
        <f t="shared" si="10"/>
        <v>871058.17775331228</v>
      </c>
      <c r="K37" s="25">
        <f t="shared" si="10"/>
        <v>798540.06813744083</v>
      </c>
      <c r="L37" s="25">
        <f t="shared" si="10"/>
        <v>572203.6139760887</v>
      </c>
      <c r="M37" s="25">
        <f t="shared" si="10"/>
        <v>538252.28318524477</v>
      </c>
      <c r="N37" s="25">
        <f t="shared" si="10"/>
        <v>752016.58186280285</v>
      </c>
      <c r="O37" s="25">
        <f t="shared" si="10"/>
        <v>913547.07279290317</v>
      </c>
    </row>
    <row r="38" spans="2:15">
      <c r="D38" s="25"/>
    </row>
    <row r="39" spans="2:15">
      <c r="B39" t="s">
        <v>130</v>
      </c>
      <c r="C39" s="98">
        <f>SUM(D39:O39)</f>
        <v>1646478.9249498239</v>
      </c>
      <c r="D39" s="25">
        <f>((D36*10.66/11.03)*(D26-$C58))*(1-D34)</f>
        <v>238608.0568305309</v>
      </c>
      <c r="E39" s="25">
        <f t="shared" ref="E39:O39" si="11">((E36*10.66/11.03)*(E26-$C58))*(1-E34)</f>
        <v>180820.75126969843</v>
      </c>
      <c r="F39" s="25">
        <f t="shared" si="11"/>
        <v>116592.41462026146</v>
      </c>
      <c r="G39" s="25">
        <f t="shared" si="11"/>
        <v>57809.569164503919</v>
      </c>
      <c r="H39" s="25">
        <f t="shared" si="11"/>
        <v>28667.489165891446</v>
      </c>
      <c r="I39" s="25">
        <f t="shared" si="11"/>
        <v>37144.855850635904</v>
      </c>
      <c r="J39" s="25">
        <f t="shared" si="11"/>
        <v>178062.91559516039</v>
      </c>
      <c r="K39" s="25">
        <f t="shared" si="11"/>
        <v>183362.2298668864</v>
      </c>
      <c r="L39" s="25">
        <f t="shared" si="11"/>
        <v>128328.1860180887</v>
      </c>
      <c r="M39" s="25">
        <f t="shared" si="11"/>
        <v>108159.44640330461</v>
      </c>
      <c r="N39" s="25">
        <f t="shared" si="11"/>
        <v>168049.8580704832</v>
      </c>
      <c r="O39" s="25">
        <f t="shared" si="11"/>
        <v>220873.15209437849</v>
      </c>
    </row>
    <row r="41" spans="2:15">
      <c r="B41" t="s">
        <v>131</v>
      </c>
      <c r="C41" s="124">
        <f>SUM(D41:O41)</f>
        <v>7148624.6800693097</v>
      </c>
      <c r="D41" s="25">
        <f>D37-D39</f>
        <v>738851.8945454323</v>
      </c>
      <c r="E41" s="25">
        <f t="shared" ref="E41:O41" si="12">E37-E39</f>
        <v>606579.31825227966</v>
      </c>
      <c r="F41" s="25">
        <f t="shared" si="12"/>
        <v>553924.61411705916</v>
      </c>
      <c r="G41" s="25">
        <f t="shared" si="12"/>
        <v>548452.91397295147</v>
      </c>
      <c r="H41" s="25">
        <f t="shared" si="12"/>
        <v>630425.44310322928</v>
      </c>
      <c r="I41" s="25">
        <f t="shared" si="12"/>
        <v>611608.48641886783</v>
      </c>
      <c r="J41" s="25">
        <f t="shared" si="12"/>
        <v>692995.26215815195</v>
      </c>
      <c r="K41" s="25">
        <f t="shared" si="12"/>
        <v>615177.83827055444</v>
      </c>
      <c r="L41" s="25">
        <f t="shared" si="12"/>
        <v>443875.42795799999</v>
      </c>
      <c r="M41" s="25">
        <f t="shared" si="12"/>
        <v>430092.83678194019</v>
      </c>
      <c r="N41" s="25">
        <f t="shared" si="12"/>
        <v>583966.72379231965</v>
      </c>
      <c r="O41" s="25">
        <f t="shared" si="12"/>
        <v>692673.92069852469</v>
      </c>
    </row>
    <row r="42" spans="2:15">
      <c r="B42" t="s">
        <v>132</v>
      </c>
      <c r="C42" s="112">
        <f t="shared" ref="C42:O42" si="13">C41/C36</f>
        <v>24.635581778619397</v>
      </c>
      <c r="D42" s="29">
        <f t="shared" si="13"/>
        <v>27.29901755367402</v>
      </c>
      <c r="E42" s="29">
        <f t="shared" si="13"/>
        <v>26.529649245257399</v>
      </c>
      <c r="F42" s="29">
        <f t="shared" si="13"/>
        <v>24.131351954708961</v>
      </c>
      <c r="G42" s="29">
        <f t="shared" si="13"/>
        <v>21.770934786189642</v>
      </c>
      <c r="H42" s="29">
        <f t="shared" si="13"/>
        <v>20.620545158323122</v>
      </c>
      <c r="I42" s="29">
        <f t="shared" si="13"/>
        <v>20.901764149751639</v>
      </c>
      <c r="J42" s="29">
        <f t="shared" si="13"/>
        <v>25.346457565524194</v>
      </c>
      <c r="K42" s="29">
        <f t="shared" si="13"/>
        <v>26.528586162389775</v>
      </c>
      <c r="L42" s="29">
        <f t="shared" si="13"/>
        <v>26.26182216166902</v>
      </c>
      <c r="M42" s="29">
        <f t="shared" si="13"/>
        <v>25.197154184899393</v>
      </c>
      <c r="N42" s="29">
        <f t="shared" si="13"/>
        <v>26.222496730395584</v>
      </c>
      <c r="O42" s="29">
        <f t="shared" si="13"/>
        <v>27.169814660676721</v>
      </c>
    </row>
    <row r="44" spans="2:15">
      <c r="B44" t="s">
        <v>162</v>
      </c>
      <c r="C44" s="99">
        <f>SUM(D44:O44)</f>
        <v>0</v>
      </c>
      <c r="D44" s="3">
        <f>(D28+D29)*(D31/D33)</f>
        <v>0</v>
      </c>
      <c r="E44" s="3">
        <f t="shared" ref="E44:O44" si="14">(E28+E29)*(E31/E33)</f>
        <v>0</v>
      </c>
      <c r="F44" s="3">
        <f t="shared" si="14"/>
        <v>0</v>
      </c>
      <c r="G44" s="3">
        <f t="shared" si="14"/>
        <v>0</v>
      </c>
      <c r="H44" s="3">
        <f t="shared" si="14"/>
        <v>0</v>
      </c>
      <c r="I44" s="3">
        <f t="shared" si="14"/>
        <v>0</v>
      </c>
      <c r="J44" s="3">
        <f t="shared" si="14"/>
        <v>0</v>
      </c>
      <c r="K44" s="3">
        <f t="shared" si="14"/>
        <v>0</v>
      </c>
      <c r="L44" s="3">
        <f t="shared" si="14"/>
        <v>0</v>
      </c>
      <c r="M44" s="3">
        <f t="shared" si="14"/>
        <v>0</v>
      </c>
      <c r="N44" s="3">
        <f t="shared" si="14"/>
        <v>0</v>
      </c>
      <c r="O44" s="3">
        <f t="shared" si="14"/>
        <v>0</v>
      </c>
    </row>
    <row r="45" spans="2:15">
      <c r="B45" t="s">
        <v>147</v>
      </c>
      <c r="D45" s="110">
        <f>$C58</f>
        <v>19.825674930890067</v>
      </c>
      <c r="E45" s="110">
        <f t="shared" ref="E45:O45" si="15">$C58</f>
        <v>19.825674930890067</v>
      </c>
      <c r="F45" s="110">
        <f t="shared" si="15"/>
        <v>19.825674930890067</v>
      </c>
      <c r="G45" s="110">
        <f t="shared" si="15"/>
        <v>19.825674930890067</v>
      </c>
      <c r="H45" s="110">
        <f t="shared" si="15"/>
        <v>19.825674930890067</v>
      </c>
      <c r="I45" s="110">
        <f t="shared" si="15"/>
        <v>19.825674930890067</v>
      </c>
      <c r="J45" s="110">
        <f t="shared" si="15"/>
        <v>19.825674930890067</v>
      </c>
      <c r="K45" s="110">
        <f t="shared" si="15"/>
        <v>19.825674930890067</v>
      </c>
      <c r="L45" s="110">
        <f t="shared" si="15"/>
        <v>19.825674930890067</v>
      </c>
      <c r="M45" s="110">
        <f t="shared" si="15"/>
        <v>19.825674930890067</v>
      </c>
      <c r="N45" s="110">
        <f t="shared" si="15"/>
        <v>19.825674930890067</v>
      </c>
      <c r="O45" s="110">
        <f t="shared" si="15"/>
        <v>19.825674930890067</v>
      </c>
    </row>
    <row r="46" spans="2:15">
      <c r="B46" t="s">
        <v>163</v>
      </c>
      <c r="C46" s="125">
        <f>SUM(D46:O46)</f>
        <v>0</v>
      </c>
      <c r="D46" s="25">
        <f>D44*D45</f>
        <v>0</v>
      </c>
      <c r="E46" s="25">
        <f t="shared" ref="E46:O46" si="16">E44*E45</f>
        <v>0</v>
      </c>
      <c r="F46" s="25">
        <f t="shared" si="16"/>
        <v>0</v>
      </c>
      <c r="G46" s="25">
        <f t="shared" si="16"/>
        <v>0</v>
      </c>
      <c r="H46" s="25">
        <f t="shared" si="16"/>
        <v>0</v>
      </c>
      <c r="I46" s="25">
        <f t="shared" si="16"/>
        <v>0</v>
      </c>
      <c r="J46" s="25">
        <f t="shared" si="16"/>
        <v>0</v>
      </c>
      <c r="K46" s="25">
        <f t="shared" si="16"/>
        <v>0</v>
      </c>
      <c r="L46" s="25">
        <f t="shared" si="16"/>
        <v>0</v>
      </c>
      <c r="M46" s="25">
        <f t="shared" si="16"/>
        <v>0</v>
      </c>
      <c r="N46" s="25">
        <f t="shared" si="16"/>
        <v>0</v>
      </c>
      <c r="O46" s="25">
        <f t="shared" si="16"/>
        <v>0</v>
      </c>
    </row>
    <row r="47" spans="2:15">
      <c r="C47" s="112"/>
      <c r="D47" s="25"/>
    </row>
    <row r="48" spans="2:15">
      <c r="B48" t="s">
        <v>137</v>
      </c>
      <c r="C48" s="99">
        <f>SUM(D48:O48)</f>
        <v>43086.559190429049</v>
      </c>
      <c r="D48" s="3">
        <f>(D28+D29)*(D32/D33)</f>
        <v>4018.7640964960938</v>
      </c>
      <c r="E48" s="3">
        <f t="shared" ref="E48:O48" si="17">(E28+E29)*(E32/E33)</f>
        <v>3394.9878994662363</v>
      </c>
      <c r="F48" s="3">
        <f t="shared" si="17"/>
        <v>3408.4046577071144</v>
      </c>
      <c r="G48" s="3">
        <f t="shared" si="17"/>
        <v>3740.6270622796928</v>
      </c>
      <c r="H48" s="3">
        <f t="shared" si="17"/>
        <v>4539.580582446094</v>
      </c>
      <c r="I48" s="3">
        <f t="shared" si="17"/>
        <v>4344.8291152511247</v>
      </c>
      <c r="J48" s="3">
        <f t="shared" si="17"/>
        <v>4059.7111543600022</v>
      </c>
      <c r="K48" s="3">
        <f t="shared" si="17"/>
        <v>3443.2512742175973</v>
      </c>
      <c r="L48" s="3">
        <f t="shared" si="17"/>
        <v>2509.6802217589229</v>
      </c>
      <c r="M48" s="3">
        <f t="shared" si="17"/>
        <v>2534.5032710978762</v>
      </c>
      <c r="N48" s="3">
        <f t="shared" si="17"/>
        <v>3306.7106993662642</v>
      </c>
      <c r="O48" s="3">
        <f t="shared" si="17"/>
        <v>3785.5091559820248</v>
      </c>
    </row>
    <row r="49" spans="2:15">
      <c r="B49" t="s">
        <v>147</v>
      </c>
      <c r="D49" s="110">
        <f>$C58</f>
        <v>19.825674930890067</v>
      </c>
      <c r="E49" s="110">
        <f t="shared" ref="E49:O49" si="18">$C58</f>
        <v>19.825674930890067</v>
      </c>
      <c r="F49" s="110">
        <f t="shared" si="18"/>
        <v>19.825674930890067</v>
      </c>
      <c r="G49" s="110">
        <f t="shared" si="18"/>
        <v>19.825674930890067</v>
      </c>
      <c r="H49" s="110">
        <f t="shared" si="18"/>
        <v>19.825674930890067</v>
      </c>
      <c r="I49" s="110">
        <f t="shared" si="18"/>
        <v>19.825674930890067</v>
      </c>
      <c r="J49" s="110">
        <f t="shared" si="18"/>
        <v>19.825674930890067</v>
      </c>
      <c r="K49" s="110">
        <f t="shared" si="18"/>
        <v>19.825674930890067</v>
      </c>
      <c r="L49" s="110">
        <f t="shared" si="18"/>
        <v>19.825674930890067</v>
      </c>
      <c r="M49" s="110">
        <f t="shared" si="18"/>
        <v>19.825674930890067</v>
      </c>
      <c r="N49" s="110">
        <f t="shared" si="18"/>
        <v>19.825674930890067</v>
      </c>
      <c r="O49" s="110">
        <f t="shared" si="18"/>
        <v>19.825674930890067</v>
      </c>
    </row>
    <row r="50" spans="2:15">
      <c r="B50" t="s">
        <v>136</v>
      </c>
      <c r="C50" s="125">
        <f>SUM(D50:O50)</f>
        <v>854220.11640000017</v>
      </c>
      <c r="D50" s="25">
        <f>D48*D49</f>
        <v>79674.710601063678</v>
      </c>
      <c r="E50" s="25">
        <f t="shared" ref="E50:O50" si="19">E48*E49</f>
        <v>67307.926489122881</v>
      </c>
      <c r="F50" s="25">
        <f t="shared" si="19"/>
        <v>67573.922776632884</v>
      </c>
      <c r="G50" s="25">
        <f t="shared" si="19"/>
        <v>74160.456174447463</v>
      </c>
      <c r="H50" s="25">
        <f t="shared" si="19"/>
        <v>90000.248950156849</v>
      </c>
      <c r="I50" s="25">
        <f t="shared" si="19"/>
        <v>86139.169669235489</v>
      </c>
      <c r="J50" s="25">
        <f t="shared" si="19"/>
        <v>80486.513659649863</v>
      </c>
      <c r="K50" s="25">
        <f t="shared" si="19"/>
        <v>68264.7804680111</v>
      </c>
      <c r="L50" s="25">
        <f t="shared" si="19"/>
        <v>49756.104257076498</v>
      </c>
      <c r="M50" s="25">
        <f t="shared" si="19"/>
        <v>50248.237964064036</v>
      </c>
      <c r="N50" s="25">
        <f t="shared" si="19"/>
        <v>65557.771416131698</v>
      </c>
      <c r="O50" s="25">
        <f t="shared" si="19"/>
        <v>75050.273974407639</v>
      </c>
    </row>
    <row r="51" spans="2:15">
      <c r="B51" t="s">
        <v>149</v>
      </c>
      <c r="C51" s="112">
        <f>C50/C48</f>
        <v>19.825674930890067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>
      <c r="B53" t="s">
        <v>150</v>
      </c>
      <c r="C53" s="125">
        <f>SUM(D53:O53)</f>
        <v>8002844.7964693122</v>
      </c>
      <c r="D53" s="25">
        <f>D41+D46+D50</f>
        <v>818526.60514649597</v>
      </c>
      <c r="E53" s="25">
        <f t="shared" ref="E53:O53" si="20">E41+E46+E50</f>
        <v>673887.24474140257</v>
      </c>
      <c r="F53" s="25">
        <f t="shared" si="20"/>
        <v>621498.5368936921</v>
      </c>
      <c r="G53" s="25">
        <f t="shared" si="20"/>
        <v>622613.37014739891</v>
      </c>
      <c r="H53" s="25">
        <f t="shared" si="20"/>
        <v>720425.69205338613</v>
      </c>
      <c r="I53" s="25">
        <f t="shared" si="20"/>
        <v>697747.65608810331</v>
      </c>
      <c r="J53" s="25">
        <f t="shared" si="20"/>
        <v>773481.77581780183</v>
      </c>
      <c r="K53" s="25">
        <f t="shared" si="20"/>
        <v>683442.61873856559</v>
      </c>
      <c r="L53" s="25">
        <f t="shared" si="20"/>
        <v>493631.5322150765</v>
      </c>
      <c r="M53" s="25">
        <f t="shared" si="20"/>
        <v>480341.07474600425</v>
      </c>
      <c r="N53" s="25">
        <f t="shared" si="20"/>
        <v>649524.49520845129</v>
      </c>
      <c r="O53" s="25">
        <f t="shared" si="20"/>
        <v>767724.19467293238</v>
      </c>
    </row>
    <row r="54" spans="2:15">
      <c r="B54" t="s">
        <v>151</v>
      </c>
      <c r="C54" s="112">
        <f>C53/(C28+C29)</f>
        <v>24.013720471129332</v>
      </c>
    </row>
    <row r="56" spans="2:15">
      <c r="B56" t="s">
        <v>187</v>
      </c>
      <c r="C56" s="107">
        <f>SUM(D56:O56)</f>
        <v>8793175.3449855186</v>
      </c>
      <c r="D56" s="56">
        <f>(D28+D29)/D33</f>
        <v>820155.9380604272</v>
      </c>
      <c r="E56" s="56">
        <f>(E28+E29)/E33</f>
        <v>692854.67336045636</v>
      </c>
      <c r="F56" s="56">
        <f t="shared" ref="F56:O56" si="21">(F28+F29)/F33</f>
        <v>695592.78728716611</v>
      </c>
      <c r="G56" s="56">
        <f t="shared" si="21"/>
        <v>763393.27801626385</v>
      </c>
      <c r="H56" s="56">
        <f t="shared" si="21"/>
        <v>926445.01682573359</v>
      </c>
      <c r="I56" s="56">
        <f t="shared" si="21"/>
        <v>886699.81943900511</v>
      </c>
      <c r="J56" s="56">
        <f t="shared" si="21"/>
        <v>828512.4804816331</v>
      </c>
      <c r="K56" s="56">
        <f t="shared" si="21"/>
        <v>702704.3416770607</v>
      </c>
      <c r="L56" s="56">
        <f t="shared" si="21"/>
        <v>512179.63709365774</v>
      </c>
      <c r="M56" s="56">
        <f t="shared" si="21"/>
        <v>517245.56553017884</v>
      </c>
      <c r="N56" s="56">
        <f t="shared" si="21"/>
        <v>674838.91823801305</v>
      </c>
      <c r="O56" s="56">
        <f t="shared" si="21"/>
        <v>772552.88897592342</v>
      </c>
    </row>
    <row r="57" spans="2:15">
      <c r="B57" t="s">
        <v>150</v>
      </c>
      <c r="C57" s="109">
        <v>174330636</v>
      </c>
    </row>
    <row r="58" spans="2:15">
      <c r="B58" t="s">
        <v>189</v>
      </c>
      <c r="C58" s="29">
        <f>C57/C56</f>
        <v>19.825674930890067</v>
      </c>
    </row>
  </sheetData>
  <phoneticPr fontId="6" type="noConversion"/>
  <pageMargins left="0.75" right="0.75" top="1" bottom="1" header="0.5" footer="0.5"/>
  <pageSetup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36"/>
  <sheetViews>
    <sheetView workbookViewId="0">
      <pane xSplit="4470" ySplit="825" activePane="bottomRight"/>
      <selection activeCell="B2" sqref="B2"/>
      <selection pane="topRight" activeCell="K1" sqref="K1"/>
      <selection pane="bottomLeft" activeCell="A26" sqref="A26:XFD26"/>
      <selection pane="bottomRight"/>
    </sheetView>
  </sheetViews>
  <sheetFormatPr defaultColWidth="9.140625" defaultRowHeight="12.75"/>
  <cols>
    <col min="1" max="1" width="20.140625" style="60" customWidth="1"/>
    <col min="2" max="13" width="9.140625" style="60"/>
    <col min="14" max="14" width="10.28515625" style="62" customWidth="1"/>
    <col min="15" max="15" width="9.28515625" style="60" customWidth="1"/>
    <col min="16" max="16384" width="9.140625" style="60"/>
  </cols>
  <sheetData>
    <row r="1" spans="1:16" ht="16.5" thickBot="1">
      <c r="A1" s="57" t="s">
        <v>62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58"/>
    </row>
    <row r="2" spans="1:16">
      <c r="A2" s="61"/>
      <c r="B2" s="70" t="s">
        <v>75</v>
      </c>
      <c r="C2" s="70" t="s">
        <v>76</v>
      </c>
      <c r="D2" s="70" t="s">
        <v>77</v>
      </c>
      <c r="E2" s="70" t="s">
        <v>78</v>
      </c>
      <c r="F2" s="70" t="s">
        <v>79</v>
      </c>
      <c r="G2" s="70" t="s">
        <v>80</v>
      </c>
      <c r="H2" s="70" t="s">
        <v>81</v>
      </c>
      <c r="I2" s="70" t="s">
        <v>82</v>
      </c>
      <c r="J2" s="70" t="s">
        <v>83</v>
      </c>
      <c r="K2" s="70" t="s">
        <v>84</v>
      </c>
      <c r="L2" s="70" t="s">
        <v>85</v>
      </c>
      <c r="M2" s="70" t="s">
        <v>86</v>
      </c>
    </row>
    <row r="3" spans="1:16"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  <c r="L3" s="63">
        <v>11</v>
      </c>
      <c r="M3" s="63">
        <v>12</v>
      </c>
      <c r="N3" s="64" t="s">
        <v>63</v>
      </c>
    </row>
    <row r="4" spans="1:16">
      <c r="A4" s="74" t="s">
        <v>64</v>
      </c>
      <c r="N4" s="75" t="s">
        <v>90</v>
      </c>
    </row>
    <row r="5" spans="1:16">
      <c r="A5" s="65" t="s">
        <v>65</v>
      </c>
      <c r="B5" s="66">
        <v>3.5766636661529501</v>
      </c>
      <c r="C5" s="66">
        <v>2.5745693450927702</v>
      </c>
      <c r="D5" s="66">
        <v>0.877668875837326</v>
      </c>
      <c r="E5" s="66">
        <v>0.53984587565064401</v>
      </c>
      <c r="F5" s="66">
        <v>0.192163354110717</v>
      </c>
      <c r="G5" s="66">
        <v>0.64132983665466303</v>
      </c>
      <c r="H5" s="66">
        <v>3.9052155029296798</v>
      </c>
      <c r="I5" s="66">
        <v>4.8593917388915999</v>
      </c>
      <c r="J5" s="66">
        <v>3.70012777328491</v>
      </c>
      <c r="K5" s="66">
        <v>1.7631938180923399</v>
      </c>
      <c r="L5" s="66">
        <v>2.7825390447616503</v>
      </c>
      <c r="M5" s="66">
        <v>3.5513534229278498</v>
      </c>
      <c r="N5" s="62">
        <f>SUM(B5:M5)</f>
        <v>28.964062254387098</v>
      </c>
      <c r="O5" s="60">
        <f>N5/8760*1000</f>
        <v>3.3063998007291207</v>
      </c>
    </row>
    <row r="6" spans="1:16">
      <c r="A6" s="65" t="s">
        <v>23</v>
      </c>
      <c r="B6" s="66">
        <v>144.64681606445311</v>
      </c>
      <c r="C6" s="66">
        <v>129.70734999999988</v>
      </c>
      <c r="D6" s="66">
        <v>140.0643061279296</v>
      </c>
      <c r="E6" s="66">
        <v>118.80883684082021</v>
      </c>
      <c r="F6" s="66">
        <v>98.796509130859306</v>
      </c>
      <c r="G6" s="66">
        <v>88.363530346679596</v>
      </c>
      <c r="H6" s="66">
        <v>134.88781440429682</v>
      </c>
      <c r="I6" s="66">
        <v>142.49176855468738</v>
      </c>
      <c r="J6" s="66">
        <v>141.30291245117178</v>
      </c>
      <c r="K6" s="66">
        <v>145.1373022460937</v>
      </c>
      <c r="L6" s="66">
        <v>140.4818119140624</v>
      </c>
      <c r="M6" s="66">
        <v>144.89008085937502</v>
      </c>
      <c r="N6" s="62">
        <f t="shared" ref="N6:N12" si="0">SUM(B6:M6)</f>
        <v>1569.579038940429</v>
      </c>
      <c r="O6" s="60">
        <f t="shared" ref="O6:O13" si="1">N6/8760*1000</f>
        <v>179.17568937676128</v>
      </c>
    </row>
    <row r="7" spans="1:16">
      <c r="A7" s="65" t="s">
        <v>66</v>
      </c>
      <c r="B7" s="66">
        <v>195.52091103515602</v>
      </c>
      <c r="C7" s="66">
        <v>163.71533345947199</v>
      </c>
      <c r="D7" s="66">
        <v>151.531780346679</v>
      </c>
      <c r="E7" s="66">
        <v>98.083157514953598</v>
      </c>
      <c r="F7" s="66">
        <v>57.400807485198904</v>
      </c>
      <c r="G7" s="66">
        <v>38.640079107666004</v>
      </c>
      <c r="H7" s="66">
        <v>114.32896149291899</v>
      </c>
      <c r="I7" s="66">
        <v>156.176916845703</v>
      </c>
      <c r="J7" s="66">
        <v>169.710064318847</v>
      </c>
      <c r="K7" s="66">
        <v>170.826034570312</v>
      </c>
      <c r="L7" s="66">
        <v>168.20520957031201</v>
      </c>
      <c r="M7" s="66">
        <v>194.027262695312</v>
      </c>
      <c r="N7" s="62">
        <f t="shared" si="0"/>
        <v>1678.1665184425306</v>
      </c>
      <c r="O7" s="60">
        <f t="shared" si="1"/>
        <v>191.57152037015189</v>
      </c>
      <c r="P7" s="60">
        <f>SUM(B7:M7)</f>
        <v>1678.1665184425306</v>
      </c>
    </row>
    <row r="8" spans="1:16">
      <c r="A8" s="65" t="s">
        <v>21</v>
      </c>
      <c r="B8" s="66">
        <v>31.4608878662109</v>
      </c>
      <c r="C8" s="66">
        <v>27.633674462890603</v>
      </c>
      <c r="D8" s="66">
        <v>25.441701599121</v>
      </c>
      <c r="E8" s="66">
        <v>20.197527978515602</v>
      </c>
      <c r="F8" s="66">
        <v>14.243636462402298</v>
      </c>
      <c r="G8" s="66">
        <v>0.81550888290405199</v>
      </c>
      <c r="H8" s="66">
        <v>22.678094653320297</v>
      </c>
      <c r="I8" s="66">
        <v>29.656227709960902</v>
      </c>
      <c r="J8" s="66">
        <v>30.914686718749998</v>
      </c>
      <c r="K8" s="66">
        <v>30.794468359375003</v>
      </c>
      <c r="L8" s="66">
        <v>29.987345361328103</v>
      </c>
      <c r="M8" s="66">
        <v>32.0241538818359</v>
      </c>
      <c r="N8" s="62">
        <f t="shared" si="0"/>
        <v>295.8479139366147</v>
      </c>
      <c r="O8" s="60">
        <f t="shared" si="1"/>
        <v>33.772592915138667</v>
      </c>
    </row>
    <row r="9" spans="1:16">
      <c r="A9" s="65" t="s">
        <v>67</v>
      </c>
      <c r="B9" s="66">
        <v>0.80317885797023703</v>
      </c>
      <c r="C9" s="66">
        <v>0.63915392098426793</v>
      </c>
      <c r="D9" s="66">
        <v>3.6783893287181797E-2</v>
      </c>
      <c r="E9" s="66">
        <v>2.5000630259513799E-2</v>
      </c>
      <c r="F9" s="66">
        <v>3.1525524592399601E-2</v>
      </c>
      <c r="G9" s="66">
        <v>0.23899093594550999</v>
      </c>
      <c r="H9" s="66">
        <v>1.1659572258114799</v>
      </c>
      <c r="I9" s="66">
        <v>1.9054168881416298</v>
      </c>
      <c r="J9" s="66">
        <v>1.33897056159973</v>
      </c>
      <c r="K9" s="66">
        <v>0.54796849160194305</v>
      </c>
      <c r="L9" s="66">
        <v>0.73231621971130301</v>
      </c>
      <c r="M9" s="66">
        <v>1.0541545082092201</v>
      </c>
      <c r="N9" s="62">
        <f t="shared" si="0"/>
        <v>8.519417658114417</v>
      </c>
      <c r="O9" s="60">
        <f t="shared" si="1"/>
        <v>0.97253626234182844</v>
      </c>
    </row>
    <row r="10" spans="1:16">
      <c r="A10" s="65" t="s">
        <v>165</v>
      </c>
      <c r="B10" s="66">
        <v>176.31598385009698</v>
      </c>
      <c r="C10" s="66">
        <v>146.11172424316399</v>
      </c>
      <c r="D10" s="66">
        <v>140.95054410552899</v>
      </c>
      <c r="E10" s="66">
        <v>92.367723170852585</v>
      </c>
      <c r="F10" s="66">
        <v>50.794362654113698</v>
      </c>
      <c r="G10" s="66">
        <v>39.6414875030517</v>
      </c>
      <c r="H10" s="66">
        <v>96.693079309081995</v>
      </c>
      <c r="I10" s="66">
        <v>131.32583395995999</v>
      </c>
      <c r="J10" s="66">
        <v>143.28311026611303</v>
      </c>
      <c r="K10" s="66">
        <v>155.851076757812</v>
      </c>
      <c r="L10" s="66">
        <v>154.211454003906</v>
      </c>
      <c r="M10" s="66">
        <v>175.03398261718701</v>
      </c>
    </row>
    <row r="11" spans="1:16">
      <c r="A11" s="65" t="s">
        <v>68</v>
      </c>
      <c r="B11" s="66">
        <v>0.341773267745971</v>
      </c>
      <c r="C11" s="66">
        <v>0.201435668754576</v>
      </c>
      <c r="D11" s="66">
        <v>0</v>
      </c>
      <c r="E11" s="66">
        <v>0</v>
      </c>
      <c r="F11" s="66">
        <v>0</v>
      </c>
      <c r="G11" s="66">
        <v>9.3009304046630797E-2</v>
      </c>
      <c r="H11" s="66">
        <v>0.27945982862114799</v>
      </c>
      <c r="I11" s="66">
        <v>0.56751423816680902</v>
      </c>
      <c r="J11" s="66">
        <v>0.23122784180641001</v>
      </c>
      <c r="K11" s="66">
        <v>2.0922572350501902E-2</v>
      </c>
      <c r="L11" s="66">
        <v>4.4179652976989697E-2</v>
      </c>
      <c r="M11" s="66">
        <v>0.11217181794643391</v>
      </c>
      <c r="N11" s="62">
        <f t="shared" si="0"/>
        <v>1.8916941924154704</v>
      </c>
      <c r="O11" s="60">
        <f t="shared" si="1"/>
        <v>0.21594682561820441</v>
      </c>
    </row>
    <row r="12" spans="1:16">
      <c r="A12" s="65" t="s">
        <v>69</v>
      </c>
      <c r="B12" s="66">
        <v>4.8920190658569203</v>
      </c>
      <c r="C12" s="66">
        <v>3.8982824607848996</v>
      </c>
      <c r="D12" s="66">
        <v>1.0686259460449212E-2</v>
      </c>
      <c r="E12" s="66">
        <v>0</v>
      </c>
      <c r="F12" s="66">
        <v>5.3743164062500003E-3</v>
      </c>
      <c r="G12" s="66">
        <v>1.1620868857145301</v>
      </c>
      <c r="H12" s="66">
        <v>6.8943696249961803</v>
      </c>
      <c r="I12" s="66">
        <v>12.592210516357408</v>
      </c>
      <c r="J12" s="66">
        <v>5.9999909780502199</v>
      </c>
      <c r="K12" s="66">
        <v>1.2976893937110889</v>
      </c>
      <c r="L12" s="66">
        <v>2.6896733514308897</v>
      </c>
      <c r="M12" s="66">
        <v>4.6018500695228504</v>
      </c>
      <c r="N12" s="62">
        <f t="shared" si="0"/>
        <v>44.044232922291684</v>
      </c>
      <c r="O12" s="60">
        <f t="shared" si="1"/>
        <v>5.027880470581243</v>
      </c>
    </row>
    <row r="13" spans="1:16">
      <c r="A13" s="65" t="s">
        <v>223</v>
      </c>
      <c r="B13" s="67">
        <v>-1.9340625E-2</v>
      </c>
      <c r="C13" s="67">
        <v>-1.9293749999999998E-2</v>
      </c>
      <c r="D13" s="67">
        <v>-2.1434374999999999E-2</v>
      </c>
      <c r="E13" s="67">
        <v>-2.1628125000000002E-2</v>
      </c>
      <c r="F13" s="67">
        <v>-1.9846875E-2</v>
      </c>
      <c r="G13" s="67">
        <v>-1.6562500000000001E-2</v>
      </c>
      <c r="H13" s="67">
        <v>-1.9324999999999998E-2</v>
      </c>
      <c r="I13" s="67">
        <v>-2.2096875000000002E-2</v>
      </c>
      <c r="J13" s="67">
        <v>-2.1825000000000001E-2</v>
      </c>
      <c r="K13" s="67">
        <v>-2.2421875000000001E-2</v>
      </c>
      <c r="L13" s="67">
        <v>-2.1618749999999999E-2</v>
      </c>
      <c r="M13" s="67">
        <v>-2.2762499999999998E-2</v>
      </c>
      <c r="N13" s="68">
        <f>SUM(N5:N12)</f>
        <v>3627.0128783467826</v>
      </c>
      <c r="O13" s="60">
        <f t="shared" si="1"/>
        <v>414.04256602132222</v>
      </c>
    </row>
    <row r="14" spans="1:16">
      <c r="A14" s="65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</row>
    <row r="15" spans="1:16">
      <c r="A15" s="65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 t="e">
        <f>SUM(#REF!)</f>
        <v>#REF!</v>
      </c>
    </row>
    <row r="16" spans="1:16">
      <c r="A16" s="74" t="s">
        <v>70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5">
      <c r="A17" s="65" t="s">
        <v>65</v>
      </c>
      <c r="B17" s="66">
        <v>110.522640800476</v>
      </c>
      <c r="C17" s="66">
        <v>78.962620574235899</v>
      </c>
      <c r="D17" s="66">
        <v>25.176299937814399</v>
      </c>
      <c r="E17" s="66">
        <v>13.970815948024301</v>
      </c>
      <c r="F17" s="66">
        <v>4.9002626761794001</v>
      </c>
      <c r="G17" s="66">
        <v>16.599979019909998</v>
      </c>
      <c r="H17" s="66">
        <v>103.918329763412</v>
      </c>
      <c r="I17" s="66">
        <v>130.24446487426701</v>
      </c>
      <c r="J17" s="66">
        <v>98.703137814998598</v>
      </c>
      <c r="K17" s="66">
        <v>47.283614324033202</v>
      </c>
      <c r="L17" s="66">
        <v>79.635409760475099</v>
      </c>
      <c r="M17" s="66">
        <v>106.883374303579</v>
      </c>
      <c r="N17" s="67">
        <f>SUM(B17:M17)</f>
        <v>816.800949797405</v>
      </c>
    </row>
    <row r="18" spans="1:15">
      <c r="A18" s="65" t="s">
        <v>23</v>
      </c>
      <c r="B18" s="66">
        <v>2074.5257081883328</v>
      </c>
      <c r="C18" s="66">
        <v>1936.1116945164567</v>
      </c>
      <c r="D18" s="66">
        <v>2037.191161526956</v>
      </c>
      <c r="E18" s="66">
        <v>1846.5303480046168</v>
      </c>
      <c r="F18" s="66">
        <v>1664.8509874241727</v>
      </c>
      <c r="G18" s="66">
        <v>1569.1745733158957</v>
      </c>
      <c r="H18" s="66">
        <v>1991.8527685063259</v>
      </c>
      <c r="I18" s="66">
        <v>2055.9389173405548</v>
      </c>
      <c r="J18" s="66">
        <v>2042.2405515568626</v>
      </c>
      <c r="K18" s="66">
        <v>2078.6556959050076</v>
      </c>
      <c r="L18" s="66">
        <v>2035.4590436833278</v>
      </c>
      <c r="M18" s="66">
        <v>2077.0474721806418</v>
      </c>
      <c r="N18" s="67">
        <f t="shared" ref="N18:N24" si="2">SUM(B18:M18)</f>
        <v>23409.57892214915</v>
      </c>
    </row>
    <row r="19" spans="1:15">
      <c r="A19" s="65" t="s">
        <v>66</v>
      </c>
      <c r="B19" s="66">
        <v>4490.9428955666926</v>
      </c>
      <c r="C19" s="66">
        <v>3737.6408581083006</v>
      </c>
      <c r="D19" s="66">
        <v>3254.3877231341303</v>
      </c>
      <c r="E19" s="66">
        <v>1902.1754371210088</v>
      </c>
      <c r="F19" s="66">
        <v>1106.6657203850066</v>
      </c>
      <c r="G19" s="66">
        <v>754.29705267189786</v>
      </c>
      <c r="H19" s="66">
        <v>2299.5891299760478</v>
      </c>
      <c r="I19" s="66">
        <v>3158.4537909131932</v>
      </c>
      <c r="J19" s="66">
        <v>3402.3176483097718</v>
      </c>
      <c r="K19" s="66">
        <v>3426.780763849421</v>
      </c>
      <c r="L19" s="66">
        <v>3610.1650990818634</v>
      </c>
      <c r="M19" s="66">
        <v>4346.8302555151959</v>
      </c>
      <c r="N19" s="67">
        <f t="shared" si="2"/>
        <v>35490.24637463253</v>
      </c>
      <c r="O19" s="60">
        <f>N19/8760*1000</f>
        <v>4051.3979879717504</v>
      </c>
    </row>
    <row r="20" spans="1:15">
      <c r="A20" s="65" t="s">
        <v>21</v>
      </c>
      <c r="B20" s="66">
        <v>585.95298461914001</v>
      </c>
      <c r="C20" s="66">
        <v>516.23207855224598</v>
      </c>
      <c r="D20" s="66">
        <v>479.478684616088</v>
      </c>
      <c r="E20" s="66">
        <v>392.351489448547</v>
      </c>
      <c r="F20" s="66">
        <v>279.32941436767499</v>
      </c>
      <c r="G20" s="66">
        <v>15.743600106239301</v>
      </c>
      <c r="H20" s="66">
        <v>426.71343841552698</v>
      </c>
      <c r="I20" s="66">
        <v>553.46672782897895</v>
      </c>
      <c r="J20" s="66">
        <v>575.43682365417396</v>
      </c>
      <c r="K20" s="66">
        <v>574.32943382263102</v>
      </c>
      <c r="L20" s="66">
        <v>558.58700332641604</v>
      </c>
      <c r="M20" s="66">
        <v>595.96725769042905</v>
      </c>
      <c r="N20" s="67">
        <f t="shared" si="2"/>
        <v>5553.5889364480918</v>
      </c>
      <c r="O20" s="60">
        <f>N20/8760*1000</f>
        <v>633.97133977717942</v>
      </c>
    </row>
    <row r="21" spans="1:15">
      <c r="A21" s="65" t="s">
        <v>67</v>
      </c>
      <c r="B21" s="66">
        <v>24.0258636131882</v>
      </c>
      <c r="C21" s="66">
        <v>19.114143053442199</v>
      </c>
      <c r="D21" s="66">
        <v>1.02366962879896</v>
      </c>
      <c r="E21" s="66">
        <v>0.62574037406593497</v>
      </c>
      <c r="F21" s="66">
        <v>0.78178769368678303</v>
      </c>
      <c r="G21" s="66">
        <v>5.9943498734384697</v>
      </c>
      <c r="H21" s="66">
        <v>30.054843801818699</v>
      </c>
      <c r="I21" s="66">
        <v>49.501919382810499</v>
      </c>
      <c r="J21" s="66">
        <v>34.598216171562598</v>
      </c>
      <c r="K21" s="66">
        <v>14.228004879876901</v>
      </c>
      <c r="L21" s="66">
        <v>20.326053287088801</v>
      </c>
      <c r="M21" s="66">
        <v>30.724676243960801</v>
      </c>
      <c r="N21" s="67">
        <f t="shared" si="2"/>
        <v>230.99926800373885</v>
      </c>
      <c r="O21" s="60">
        <f>N21/8760*1000</f>
        <v>26.369779452481605</v>
      </c>
    </row>
    <row r="22" spans="1:15">
      <c r="A22" s="65" t="s">
        <v>165</v>
      </c>
      <c r="B22" s="66">
        <v>4154.7306344800672</v>
      </c>
      <c r="C22" s="66">
        <v>3427.1206191106048</v>
      </c>
      <c r="D22" s="66">
        <v>3115.5819329912183</v>
      </c>
      <c r="E22" s="66">
        <v>1855.2908062769857</v>
      </c>
      <c r="F22" s="66">
        <v>1023.3247939322065</v>
      </c>
      <c r="G22" s="66">
        <v>812.92906899446018</v>
      </c>
      <c r="H22" s="66">
        <v>2025.1109227658137</v>
      </c>
      <c r="I22" s="66">
        <v>2762.1365510292967</v>
      </c>
      <c r="J22" s="66">
        <v>2979.4414598679291</v>
      </c>
      <c r="K22" s="66">
        <v>3231.5723880353703</v>
      </c>
      <c r="L22" s="66">
        <v>3401.3868078674536</v>
      </c>
      <c r="M22" s="66">
        <v>4024.4580111367572</v>
      </c>
      <c r="N22" s="67"/>
    </row>
    <row r="23" spans="1:15">
      <c r="A23" s="65" t="s">
        <v>68</v>
      </c>
      <c r="B23" s="66">
        <v>15.139964365959159</v>
      </c>
      <c r="C23" s="66">
        <v>8.8067804813384996</v>
      </c>
      <c r="D23" s="66">
        <v>0</v>
      </c>
      <c r="E23" s="66">
        <v>0</v>
      </c>
      <c r="F23" s="66">
        <v>0</v>
      </c>
      <c r="G23" s="66">
        <v>3.4567372798919598</v>
      </c>
      <c r="H23" s="66">
        <v>10.68199881650507</v>
      </c>
      <c r="I23" s="66">
        <v>21.802160653471802</v>
      </c>
      <c r="J23" s="66">
        <v>8.83283938616513</v>
      </c>
      <c r="K23" s="66">
        <v>0.8022281229496</v>
      </c>
      <c r="L23" s="66">
        <v>1.8229186981916419</v>
      </c>
      <c r="M23" s="66">
        <v>4.8705170318484203</v>
      </c>
      <c r="N23" s="67">
        <f t="shared" si="2"/>
        <v>76.216144836321291</v>
      </c>
    </row>
    <row r="24" spans="1:15">
      <c r="A24" s="65" t="s">
        <v>69</v>
      </c>
      <c r="B24" s="66">
        <v>190.91944356260296</v>
      </c>
      <c r="C24" s="66">
        <v>151.97251939859385</v>
      </c>
      <c r="D24" s="66">
        <v>0.4005175002098072</v>
      </c>
      <c r="E24" s="66">
        <v>0</v>
      </c>
      <c r="F24" s="66">
        <v>0.18590781764984121</v>
      </c>
      <c r="G24" s="66">
        <v>39.288355364674288</v>
      </c>
      <c r="H24" s="66">
        <v>243.12718568071006</v>
      </c>
      <c r="I24" s="66">
        <v>446.88932261028219</v>
      </c>
      <c r="J24" s="66">
        <v>213.99971307141715</v>
      </c>
      <c r="K24" s="66">
        <v>48.421902417540466</v>
      </c>
      <c r="L24" s="66">
        <v>104.50579675500379</v>
      </c>
      <c r="M24" s="66">
        <v>182.47736750462042</v>
      </c>
      <c r="N24" s="67">
        <f t="shared" si="2"/>
        <v>1622.1880316833046</v>
      </c>
    </row>
    <row r="25" spans="1:15">
      <c r="A25" s="65" t="s">
        <v>223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8">
        <f>SUM(N17:N24)</f>
        <v>67199.618627550532</v>
      </c>
    </row>
    <row r="26" spans="1:15">
      <c r="A26" s="65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</row>
    <row r="27" spans="1:15">
      <c r="A27" s="74" t="s">
        <v>71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15">
      <c r="A28" s="65" t="s">
        <v>72</v>
      </c>
      <c r="B28" s="67">
        <v>8.0472940965592805</v>
      </c>
      <c r="C28" s="60">
        <v>10.584671751868701</v>
      </c>
      <c r="D28" s="60">
        <v>24.452425939369199</v>
      </c>
      <c r="E28" s="60">
        <v>10.840534904438201</v>
      </c>
      <c r="F28" s="66">
        <v>4.6967829790890203</v>
      </c>
      <c r="G28" s="66">
        <v>24.259501980590802</v>
      </c>
      <c r="H28" s="66">
        <v>34.562521941375699</v>
      </c>
      <c r="I28" s="66">
        <v>81.245994149780202</v>
      </c>
      <c r="J28" s="66">
        <v>34.283893836665101</v>
      </c>
      <c r="K28" s="66">
        <v>35.390925575676498</v>
      </c>
      <c r="L28" s="66">
        <v>29.767114376831</v>
      </c>
      <c r="M28" s="66">
        <v>21.5169520992279</v>
      </c>
      <c r="N28" s="67">
        <f>SUM(B28:M28)</f>
        <v>319.64861363147162</v>
      </c>
    </row>
    <row r="29" spans="1:15">
      <c r="A29" s="65" t="s">
        <v>73</v>
      </c>
      <c r="B29" s="67">
        <v>-169.718434790039</v>
      </c>
      <c r="C29" s="66">
        <v>-137.11430831298799</v>
      </c>
      <c r="D29" s="60">
        <v>-116.16748722228999</v>
      </c>
      <c r="E29" s="60">
        <v>-185.93376503906202</v>
      </c>
      <c r="F29" s="66">
        <v>-203.75404853515599</v>
      </c>
      <c r="G29" s="66">
        <v>-138.49727749023401</v>
      </c>
      <c r="H29" s="66">
        <v>-110.625639648437</v>
      </c>
      <c r="I29" s="66">
        <v>-54.421208802413908</v>
      </c>
      <c r="J29" s="66">
        <v>-93.024743676757794</v>
      </c>
      <c r="K29" s="66">
        <v>-74.049711962890598</v>
      </c>
      <c r="L29" s="66">
        <v>-104.601504003906</v>
      </c>
      <c r="M29" s="66">
        <v>-135.35547519531201</v>
      </c>
      <c r="N29" s="67">
        <f>SUM(B29:M29)</f>
        <v>-1523.2636046794867</v>
      </c>
    </row>
    <row r="30" spans="1:15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8">
        <f>SUM(B28:B29)</f>
        <v>-161.67114069347971</v>
      </c>
      <c r="O30" s="60">
        <f>N30/8.76</f>
        <v>-18.455609668205447</v>
      </c>
    </row>
    <row r="31" spans="1:15">
      <c r="A31" s="74" t="s">
        <v>74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5">
      <c r="A32" s="65" t="s">
        <v>72</v>
      </c>
      <c r="B32" s="62">
        <v>167.916428214311</v>
      </c>
      <c r="C32" s="60">
        <v>186.25609850771701</v>
      </c>
      <c r="D32" s="60">
        <v>386.60297990925602</v>
      </c>
      <c r="E32" s="60">
        <v>138.74466988518799</v>
      </c>
      <c r="F32" s="66">
        <v>21.9235189324244</v>
      </c>
      <c r="G32" s="66">
        <v>448.15257007479602</v>
      </c>
      <c r="H32" s="66">
        <v>994.66284832954398</v>
      </c>
      <c r="I32" s="66">
        <v>2295.3398135185198</v>
      </c>
      <c r="J32" s="66">
        <v>986.61035695783698</v>
      </c>
      <c r="K32" s="66">
        <v>957.91255381992005</v>
      </c>
      <c r="L32" s="66">
        <v>845.34997408389995</v>
      </c>
      <c r="M32" s="66">
        <v>605.65029125213596</v>
      </c>
      <c r="N32" s="67">
        <f>SUM(B32:M32)</f>
        <v>8035.122103485548</v>
      </c>
    </row>
    <row r="33" spans="1:14">
      <c r="A33" s="65" t="s">
        <v>73</v>
      </c>
      <c r="B33" s="62">
        <v>-5500.8376831054602</v>
      </c>
      <c r="C33" s="60">
        <v>-4229.7906534194899</v>
      </c>
      <c r="D33" s="60">
        <v>-3050.7251289129199</v>
      </c>
      <c r="E33" s="60">
        <v>-3975.1870182037301</v>
      </c>
      <c r="F33" s="66">
        <v>-3608.1210014343201</v>
      </c>
      <c r="G33" s="66">
        <v>-2216.5928236007599</v>
      </c>
      <c r="H33" s="66">
        <v>-2890.9045322418201</v>
      </c>
      <c r="I33" s="66">
        <v>-1667.1420201778401</v>
      </c>
      <c r="J33" s="66">
        <v>-2771.39903163909</v>
      </c>
      <c r="K33" s="66">
        <v>-1997.57215309143</v>
      </c>
      <c r="L33" s="66">
        <v>-3081.04158935546</v>
      </c>
      <c r="M33" s="66">
        <v>-4350.3417144775303</v>
      </c>
      <c r="N33" s="67">
        <f>SUM(B33:M33)</f>
        <v>-39339.655349659857</v>
      </c>
    </row>
    <row r="34" spans="1:14">
      <c r="N34" s="68">
        <f>SUM(N32:N33)</f>
        <v>-31304.533246174309</v>
      </c>
    </row>
    <row r="36" spans="1:14">
      <c r="M36" s="69" t="s">
        <v>91</v>
      </c>
      <c r="N36" s="68">
        <f>N25+N34</f>
        <v>35895.085381376222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Motion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12AAAF9-5CBA-44D1-A331-3E24954E485A}"/>
</file>

<file path=customXml/itemProps2.xml><?xml version="1.0" encoding="utf-8"?>
<ds:datastoreItem xmlns:ds="http://schemas.openxmlformats.org/officeDocument/2006/customXml" ds:itemID="{10374E5D-6900-4237-A413-7ADB40753C5E}"/>
</file>

<file path=customXml/itemProps3.xml><?xml version="1.0" encoding="utf-8"?>
<ds:datastoreItem xmlns:ds="http://schemas.openxmlformats.org/officeDocument/2006/customXml" ds:itemID="{34F4C382-C19C-4AD8-88AA-5A4AACC3112B}"/>
</file>

<file path=customXml/itemProps4.xml><?xml version="1.0" encoding="utf-8"?>
<ds:datastoreItem xmlns:ds="http://schemas.openxmlformats.org/officeDocument/2006/customXml" ds:itemID="{011AA95E-0F00-491F-A0E2-3F3FCB4CF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Attachment A-pg 2</vt:lpstr>
      <vt:lpstr>Attchment C - pg 2</vt:lpstr>
      <vt:lpstr>Attachment G</vt:lpstr>
      <vt:lpstr>WGJ-4</vt:lpstr>
      <vt:lpstr>Index</vt:lpstr>
      <vt:lpstr>Aurora</vt:lpstr>
      <vt:lpstr>'Attachment A-pg 2'!Print_Area</vt:lpstr>
      <vt:lpstr>'Attachment G'!Print_Area</vt:lpstr>
      <vt:lpstr>Index!Print_Area</vt:lpstr>
      <vt:lpstr>'WGJ-4'!Print_Area</vt:lpstr>
      <vt:lpstr>'Attachment 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Liz Andrews</cp:lastModifiedBy>
  <cp:lastPrinted>2016-11-01T19:22:32Z</cp:lastPrinted>
  <dcterms:created xsi:type="dcterms:W3CDTF">1998-10-07T00:01:47Z</dcterms:created>
  <dcterms:modified xsi:type="dcterms:W3CDTF">2016-11-01T19:53:25Z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