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J:\Schroeder\#test cd\RevReq-COS-Attrition WP (C)\RevReq-COS-Attrition WP\"/>
    </mc:Choice>
  </mc:AlternateContent>
  <bookViews>
    <workbookView xWindow="-60" yWindow="285" windowWidth="19320" windowHeight="7875" tabRatio="964"/>
  </bookViews>
  <sheets>
    <sheet name="Lead E" sheetId="78" r:id="rId1"/>
    <sheet name="Lead G" sheetId="79" r:id="rId2"/>
    <sheet name="Summary Prop &amp; Liab Ins" sheetId="90" r:id="rId3"/>
    <sheet name="SAP Download" sheetId="40" r:id="rId4"/>
    <sheet name="Liability Ins - RY" sheetId="18" r:id="rId5"/>
    <sheet name="Proposal" sheetId="50" r:id="rId6"/>
    <sheet name="Prop Ins - RYupdated" sheetId="83" r:id="rId7"/>
    <sheet name=".Rates - Updated" sheetId="80" r:id="rId8"/>
    <sheet name="Freddy1 Ins 2018" sheetId="74" r:id="rId9"/>
    <sheet name="Freddy 1 Ins 2019" sheetId="82" r:id="rId10"/>
    <sheet name="Colstrip Ins " sheetId="52" r:id="rId11"/>
    <sheet name="Calculation" sheetId="91" r:id="rId12"/>
    <sheet name="Pro Forma&gt;&gt;" sheetId="85" r:id="rId13"/>
    <sheet name="Prop Ins - RYupdated (2)" sheetId="86" r:id="rId14"/>
    <sheet name="Liability Ins - RY (2)" sheetId="89" r:id="rId15"/>
    <sheet name="Rates - Updated" sheetId="87" r:id="rId16"/>
    <sheet name="Amortiz" sheetId="88" r:id="rId17"/>
    <sheet name="Colstrip 1&amp;2 2018 " sheetId="75" r:id="rId18"/>
    <sheet name="Colstrip 3&amp;4 2018" sheetId="76" r:id="rId19"/>
  </sheets>
  <externalReferences>
    <externalReference r:id="rId20"/>
  </externalReferences>
  <calcPr calcId="162913" calcMode="autoNoTable"/>
</workbook>
</file>

<file path=xl/calcChain.xml><?xml version="1.0" encoding="utf-8"?>
<calcChain xmlns="http://schemas.openxmlformats.org/spreadsheetml/2006/main">
  <c r="G66" i="18" l="1"/>
  <c r="F66" i="18"/>
  <c r="G65" i="18"/>
  <c r="F65" i="18"/>
  <c r="E11" i="18"/>
  <c r="G28" i="90"/>
  <c r="H21" i="90"/>
  <c r="G21" i="90"/>
  <c r="H8" i="90"/>
  <c r="G8" i="90"/>
  <c r="G66" i="89"/>
  <c r="F66" i="89"/>
  <c r="G65" i="89"/>
  <c r="F65" i="89"/>
  <c r="E11" i="89"/>
  <c r="M4" i="88" l="1"/>
  <c r="B4" i="50"/>
  <c r="C5" i="50"/>
  <c r="C6" i="50"/>
  <c r="C7" i="50"/>
  <c r="B8" i="50"/>
  <c r="D8" i="50" s="1"/>
  <c r="E8" i="50" s="1"/>
  <c r="C8" i="50"/>
  <c r="D10" i="50"/>
  <c r="B12" i="50"/>
  <c r="C12" i="50"/>
  <c r="C14" i="50" s="1"/>
  <c r="C16" i="50" s="1"/>
  <c r="C13" i="50"/>
  <c r="C15" i="50"/>
  <c r="D15" i="50"/>
  <c r="B18" i="50"/>
  <c r="B19" i="50"/>
  <c r="D19" i="50" s="1"/>
  <c r="E19" i="50" s="1"/>
  <c r="D12" i="50" l="1"/>
  <c r="E12" i="50"/>
  <c r="B20" i="50"/>
  <c r="D28" i="40"/>
  <c r="B13" i="50" s="1"/>
  <c r="D13" i="50" s="1"/>
  <c r="E13" i="50" s="1"/>
  <c r="B27" i="40"/>
  <c r="B28" i="40"/>
  <c r="B29" i="40"/>
  <c r="B30" i="40"/>
  <c r="E14" i="50" l="1"/>
  <c r="B14" i="50"/>
  <c r="D14" i="50"/>
  <c r="D16" i="50" s="1"/>
  <c r="F19" i="89" l="1"/>
  <c r="D35" i="89"/>
  <c r="F35" i="89" s="1"/>
  <c r="D33" i="89"/>
  <c r="F33" i="89" s="1"/>
  <c r="D23" i="89"/>
  <c r="D21" i="89"/>
  <c r="D19" i="89"/>
  <c r="B21" i="75"/>
  <c r="R27" i="90" l="1"/>
  <c r="R39" i="90"/>
  <c r="R38" i="90"/>
  <c r="R35" i="90"/>
  <c r="R34" i="90"/>
  <c r="E43" i="86" l="1"/>
  <c r="E12" i="86"/>
  <c r="E8" i="86"/>
  <c r="E7" i="86"/>
  <c r="B18" i="91"/>
  <c r="X39" i="90"/>
  <c r="X38" i="90"/>
  <c r="X11" i="90"/>
  <c r="X12" i="90"/>
  <c r="X10" i="90"/>
  <c r="W9" i="90"/>
  <c r="J39" i="90"/>
  <c r="J38" i="90"/>
  <c r="J35" i="90"/>
  <c r="J34" i="90"/>
  <c r="J27" i="90"/>
  <c r="X40" i="90" l="1"/>
  <c r="T40" i="90"/>
  <c r="L40" i="90"/>
  <c r="H40" i="90"/>
  <c r="S39" i="90"/>
  <c r="P39" i="90"/>
  <c r="P40" i="90" s="1"/>
  <c r="V39" i="90"/>
  <c r="P38" i="90"/>
  <c r="R36" i="90"/>
  <c r="F28" i="90"/>
  <c r="V27" i="90"/>
  <c r="E27" i="90"/>
  <c r="K21" i="90"/>
  <c r="P12" i="90"/>
  <c r="P11" i="90"/>
  <c r="P10" i="90"/>
  <c r="O9" i="90"/>
  <c r="H66" i="89"/>
  <c r="D62" i="89"/>
  <c r="F59" i="89"/>
  <c r="F54" i="89"/>
  <c r="F53" i="89"/>
  <c r="F52" i="89"/>
  <c r="F51" i="89"/>
  <c r="F50" i="89"/>
  <c r="F48" i="89"/>
  <c r="F47" i="89"/>
  <c r="F46" i="89"/>
  <c r="F45" i="89"/>
  <c r="F40" i="89"/>
  <c r="F39" i="89"/>
  <c r="F38" i="89"/>
  <c r="H36" i="89"/>
  <c r="H35" i="89"/>
  <c r="H34" i="89"/>
  <c r="H33" i="89"/>
  <c r="H32" i="89"/>
  <c r="F30" i="89"/>
  <c r="H30" i="89" s="1"/>
  <c r="F28" i="89"/>
  <c r="H28" i="89" s="1"/>
  <c r="H22" i="89"/>
  <c r="H20" i="89"/>
  <c r="H19" i="89"/>
  <c r="H18" i="89"/>
  <c r="F16" i="89"/>
  <c r="H16" i="89" s="1"/>
  <c r="F14" i="89"/>
  <c r="H14" i="89" s="1"/>
  <c r="F12" i="89"/>
  <c r="G12" i="89" s="1"/>
  <c r="E13" i="89"/>
  <c r="L10" i="88"/>
  <c r="R12" i="90" s="1"/>
  <c r="S12" i="90" s="1"/>
  <c r="L9" i="88"/>
  <c r="L8" i="88"/>
  <c r="R11" i="90" s="1"/>
  <c r="S11" i="90" s="1"/>
  <c r="L16" i="88"/>
  <c r="D9" i="88"/>
  <c r="E9" i="88" s="1"/>
  <c r="L11" i="88"/>
  <c r="D8" i="88"/>
  <c r="E8" i="88" s="1"/>
  <c r="D7" i="88"/>
  <c r="E7" i="88" s="1"/>
  <c r="D51" i="86"/>
  <c r="E47" i="86"/>
  <c r="D41" i="86"/>
  <c r="D44" i="86" s="1"/>
  <c r="C41" i="86"/>
  <c r="C44" i="86" s="1"/>
  <c r="E40" i="86"/>
  <c r="E39" i="86"/>
  <c r="E38" i="86"/>
  <c r="E37" i="86"/>
  <c r="E36" i="86"/>
  <c r="E35" i="86"/>
  <c r="E34" i="86"/>
  <c r="E33" i="86"/>
  <c r="E32" i="86"/>
  <c r="E31" i="86"/>
  <c r="E30" i="86"/>
  <c r="E29" i="86"/>
  <c r="E28" i="86"/>
  <c r="E25" i="86"/>
  <c r="E24" i="86"/>
  <c r="E23" i="86"/>
  <c r="E22" i="86"/>
  <c r="E19" i="86"/>
  <c r="E18" i="86"/>
  <c r="E17" i="86"/>
  <c r="D7" i="86"/>
  <c r="C7" i="86"/>
  <c r="C12" i="86" s="1"/>
  <c r="H12" i="89" l="1"/>
  <c r="G30" i="89"/>
  <c r="E41" i="86"/>
  <c r="E44" i="86" s="1"/>
  <c r="G12" i="91" s="1"/>
  <c r="G21" i="91" s="1"/>
  <c r="K39" i="90"/>
  <c r="W39" i="90" s="1"/>
  <c r="G22" i="89"/>
  <c r="L21" i="90"/>
  <c r="T21" i="90" s="1"/>
  <c r="T27" i="90" s="1"/>
  <c r="G14" i="89"/>
  <c r="G33" i="89"/>
  <c r="G35" i="89"/>
  <c r="J28" i="90"/>
  <c r="N28" i="90" s="1"/>
  <c r="G28" i="89"/>
  <c r="G32" i="89"/>
  <c r="G34" i="89"/>
  <c r="G36" i="89"/>
  <c r="J36" i="90"/>
  <c r="V34" i="90"/>
  <c r="V38" i="90"/>
  <c r="V40" i="90" s="1"/>
  <c r="S38" i="90"/>
  <c r="R40" i="90"/>
  <c r="S21" i="90"/>
  <c r="S27" i="90" s="1"/>
  <c r="K27" i="90"/>
  <c r="J40" i="90"/>
  <c r="V35" i="90"/>
  <c r="K38" i="90"/>
  <c r="H28" i="90"/>
  <c r="D20" i="88"/>
  <c r="D26" i="88"/>
  <c r="D19" i="88"/>
  <c r="D25" i="88"/>
  <c r="D18" i="88"/>
  <c r="D17" i="88"/>
  <c r="D16" i="88"/>
  <c r="D15" i="88"/>
  <c r="D24" i="88"/>
  <c r="D23" i="88"/>
  <c r="D22" i="88"/>
  <c r="D21" i="88"/>
  <c r="F25" i="88"/>
  <c r="F18" i="88"/>
  <c r="F17" i="88"/>
  <c r="F16" i="88"/>
  <c r="F15" i="88"/>
  <c r="F24" i="88"/>
  <c r="F23" i="88"/>
  <c r="F22" i="88"/>
  <c r="F21" i="88"/>
  <c r="F20" i="88"/>
  <c r="F26" i="88"/>
  <c r="F19" i="88"/>
  <c r="M45" i="87"/>
  <c r="F13" i="89"/>
  <c r="E15" i="89"/>
  <c r="E26" i="88"/>
  <c r="E19" i="88"/>
  <c r="E25" i="88"/>
  <c r="E18" i="88"/>
  <c r="E17" i="88"/>
  <c r="E16" i="88"/>
  <c r="E15" i="88"/>
  <c r="E24" i="88"/>
  <c r="E23" i="88"/>
  <c r="E22" i="88"/>
  <c r="E21" i="88"/>
  <c r="E20" i="88"/>
  <c r="D6" i="88"/>
  <c r="E6" i="88" s="1"/>
  <c r="F11" i="89"/>
  <c r="G18" i="89"/>
  <c r="G20" i="89"/>
  <c r="E50" i="86"/>
  <c r="E51" i="86" s="1"/>
  <c r="G11" i="91" s="1"/>
  <c r="G29" i="91" s="1"/>
  <c r="G16" i="89"/>
  <c r="G19" i="89"/>
  <c r="C16" i="88" l="1"/>
  <c r="C24" i="88"/>
  <c r="C22" i="88"/>
  <c r="C23" i="88"/>
  <c r="G23" i="88" s="1"/>
  <c r="C17" i="88"/>
  <c r="G17" i="88" s="1"/>
  <c r="C25" i="88"/>
  <c r="C18" i="88"/>
  <c r="G18" i="88" s="1"/>
  <c r="C26" i="88"/>
  <c r="G26" i="88" s="1"/>
  <c r="C19" i="88"/>
  <c r="C15" i="88"/>
  <c r="C21" i="88"/>
  <c r="C20" i="88"/>
  <c r="G20" i="88" s="1"/>
  <c r="J29" i="90"/>
  <c r="J42" i="90" s="1"/>
  <c r="F27" i="88"/>
  <c r="L15" i="88" s="1"/>
  <c r="L17" i="88" s="1"/>
  <c r="R9" i="90" s="1"/>
  <c r="G24" i="88"/>
  <c r="K28" i="90"/>
  <c r="L28" i="90" s="1"/>
  <c r="P28" i="90" s="1"/>
  <c r="T28" i="90" s="1"/>
  <c r="X28" i="90" s="1"/>
  <c r="R28" i="90"/>
  <c r="R29" i="90" s="1"/>
  <c r="G8" i="91"/>
  <c r="G13" i="91" s="1"/>
  <c r="L27" i="90"/>
  <c r="X27" i="90" s="1"/>
  <c r="O28" i="90"/>
  <c r="S28" i="90" s="1"/>
  <c r="W28" i="90" s="1"/>
  <c r="W27" i="90"/>
  <c r="S40" i="90"/>
  <c r="W38" i="90"/>
  <c r="W40" i="90" s="1"/>
  <c r="K40" i="90"/>
  <c r="V36" i="90"/>
  <c r="H11" i="89"/>
  <c r="G11" i="89"/>
  <c r="H13" i="89"/>
  <c r="G13" i="89"/>
  <c r="G25" i="88"/>
  <c r="D10" i="88"/>
  <c r="E27" i="88"/>
  <c r="L7" i="88" s="1"/>
  <c r="R10" i="90" s="1"/>
  <c r="S10" i="90" s="1"/>
  <c r="G22" i="88"/>
  <c r="G16" i="88"/>
  <c r="G19" i="88"/>
  <c r="E53" i="86"/>
  <c r="F15" i="89"/>
  <c r="E17" i="89"/>
  <c r="G21" i="88"/>
  <c r="D27" i="88"/>
  <c r="L21" i="88" s="1"/>
  <c r="R13" i="90" s="1"/>
  <c r="V29" i="90" l="1"/>
  <c r="K29" i="90"/>
  <c r="V28" i="90"/>
  <c r="R42" i="90"/>
  <c r="G16" i="91"/>
  <c r="G17" i="91"/>
  <c r="G31" i="91" s="1"/>
  <c r="G33" i="91" s="1"/>
  <c r="T9" i="90"/>
  <c r="T29" i="90"/>
  <c r="S29" i="90"/>
  <c r="W29" i="90" s="1"/>
  <c r="L29" i="90"/>
  <c r="V42" i="90"/>
  <c r="G15" i="89"/>
  <c r="H15" i="89"/>
  <c r="L12" i="88"/>
  <c r="E21" i="89"/>
  <c r="F21" i="89" s="1"/>
  <c r="F17" i="89"/>
  <c r="G17" i="89" s="1"/>
  <c r="E10" i="88"/>
  <c r="H21" i="89" l="1"/>
  <c r="G21" i="89"/>
  <c r="G18" i="91"/>
  <c r="G23" i="91"/>
  <c r="G25" i="91" s="1"/>
  <c r="X29" i="90"/>
  <c r="C27" i="88"/>
  <c r="L22" i="88" s="1"/>
  <c r="R14" i="90" s="1"/>
  <c r="G15" i="88"/>
  <c r="G27" i="88" s="1"/>
  <c r="H14" i="88" s="1"/>
  <c r="H15" i="88" s="1"/>
  <c r="H16" i="88" s="1"/>
  <c r="H17" i="88" s="1"/>
  <c r="H18" i="88" s="1"/>
  <c r="H19" i="88" s="1"/>
  <c r="H20" i="88" s="1"/>
  <c r="H21" i="88" s="1"/>
  <c r="H22" i="88" s="1"/>
  <c r="H23" i="88" s="1"/>
  <c r="H24" i="88" s="1"/>
  <c r="H25" i="88" s="1"/>
  <c r="H26" i="88" s="1"/>
  <c r="E23" i="89"/>
  <c r="F23" i="89" s="1"/>
  <c r="E25" i="89"/>
  <c r="H17" i="89"/>
  <c r="C41" i="83"/>
  <c r="C44" i="83" s="1"/>
  <c r="C7" i="83"/>
  <c r="C12" i="83" s="1"/>
  <c r="H23" i="89" l="1"/>
  <c r="G23" i="89"/>
  <c r="R16" i="90"/>
  <c r="E27" i="89"/>
  <c r="F25" i="89"/>
  <c r="L23" i="88"/>
  <c r="L26" i="88" s="1"/>
  <c r="D7" i="83"/>
  <c r="H25" i="89" l="1"/>
  <c r="G25" i="89"/>
  <c r="E29" i="89"/>
  <c r="F29" i="89" s="1"/>
  <c r="E31" i="89"/>
  <c r="F27" i="89"/>
  <c r="D8" i="83"/>
  <c r="D12" i="83" l="1"/>
  <c r="D8" i="86"/>
  <c r="D12" i="86" s="1"/>
  <c r="D53" i="86" s="1"/>
  <c r="E37" i="89"/>
  <c r="H29" i="89"/>
  <c r="G29" i="89"/>
  <c r="H27" i="89"/>
  <c r="G27" i="89"/>
  <c r="B26" i="40" l="1"/>
  <c r="B24" i="50"/>
  <c r="E24" i="50"/>
  <c r="D8" i="91"/>
  <c r="E41" i="89"/>
  <c r="F41" i="89" s="1"/>
  <c r="F37" i="89"/>
  <c r="H37" i="89" l="1"/>
  <c r="G37" i="89"/>
  <c r="F62" i="89"/>
  <c r="D51" i="83"/>
  <c r="D41" i="83"/>
  <c r="B15" i="50" l="1"/>
  <c r="B16" i="50" s="1"/>
  <c r="E15" i="50"/>
  <c r="E16" i="50" s="1"/>
  <c r="D11" i="91"/>
  <c r="D44" i="83"/>
  <c r="C10" i="50"/>
  <c r="C4" i="50"/>
  <c r="D4" i="50" l="1"/>
  <c r="C9" i="50"/>
  <c r="B10" i="50"/>
  <c r="E10" i="50"/>
  <c r="D12" i="91"/>
  <c r="D21" i="91" s="1"/>
  <c r="D29" i="91"/>
  <c r="D13" i="91"/>
  <c r="Q5" i="74"/>
  <c r="R5" i="74"/>
  <c r="S5" i="74"/>
  <c r="C11" i="50" l="1"/>
  <c r="D16" i="91"/>
  <c r="D17" i="91"/>
  <c r="D31" i="91" s="1"/>
  <c r="D33" i="91" s="1"/>
  <c r="E4" i="50"/>
  <c r="P6" i="76"/>
  <c r="P5" i="76"/>
  <c r="P5" i="75"/>
  <c r="D18" i="91" l="1"/>
  <c r="D23" i="91"/>
  <c r="D25" i="91" s="1"/>
  <c r="P7" i="76"/>
  <c r="P6" i="75"/>
  <c r="P7" i="75" s="1"/>
  <c r="M27" i="75" s="1"/>
  <c r="M28" i="75" s="1"/>
  <c r="N27" i="75" l="1"/>
  <c r="N28" i="75" s="1"/>
  <c r="M16" i="82" l="1"/>
  <c r="M18" i="82" s="1"/>
  <c r="L16" i="82"/>
  <c r="L18" i="82" s="1"/>
  <c r="K16" i="82"/>
  <c r="K18" i="82" s="1"/>
  <c r="J16" i="82"/>
  <c r="J18" i="82" s="1"/>
  <c r="I16" i="82"/>
  <c r="I18" i="82" s="1"/>
  <c r="H16" i="82"/>
  <c r="H18" i="82" s="1"/>
  <c r="G16" i="82"/>
  <c r="G18" i="82" s="1"/>
  <c r="F16" i="82"/>
  <c r="F18" i="82" s="1"/>
  <c r="E16" i="82"/>
  <c r="E18" i="82" s="1"/>
  <c r="D16" i="82"/>
  <c r="D18" i="82" s="1"/>
  <c r="C16" i="82"/>
  <c r="C18" i="82" s="1"/>
  <c r="B16" i="82"/>
  <c r="M14" i="82"/>
  <c r="L14" i="82"/>
  <c r="K14" i="82"/>
  <c r="J14" i="82"/>
  <c r="I14" i="82"/>
  <c r="H14" i="82"/>
  <c r="G14" i="82"/>
  <c r="F14" i="82"/>
  <c r="E14" i="82"/>
  <c r="D14" i="82"/>
  <c r="C14" i="82"/>
  <c r="B14" i="82"/>
  <c r="N13" i="82"/>
  <c r="N12" i="82"/>
  <c r="N11" i="82"/>
  <c r="N10" i="82"/>
  <c r="N9" i="82"/>
  <c r="N8" i="82"/>
  <c r="N14" i="82" s="1"/>
  <c r="O14" i="82" s="1"/>
  <c r="N5" i="82"/>
  <c r="O5" i="82" s="1"/>
  <c r="D4" i="82"/>
  <c r="E4" i="82" s="1"/>
  <c r="F4" i="82" s="1"/>
  <c r="G4" i="82" s="1"/>
  <c r="H4" i="82" s="1"/>
  <c r="I4" i="82" s="1"/>
  <c r="J4" i="82" s="1"/>
  <c r="K4" i="82" s="1"/>
  <c r="L4" i="82" s="1"/>
  <c r="M4" i="82" s="1"/>
  <c r="N16" i="82" l="1"/>
  <c r="Q5" i="82"/>
  <c r="R5" i="82" s="1"/>
  <c r="F24" i="82"/>
  <c r="G24" i="82" s="1"/>
  <c r="O16" i="82"/>
  <c r="B18" i="82"/>
  <c r="N18" i="82" s="1"/>
  <c r="G10" i="40" l="1"/>
  <c r="F10" i="40"/>
  <c r="M10" i="40"/>
  <c r="F31" i="18" l="1"/>
  <c r="F29" i="18"/>
  <c r="F27" i="18"/>
  <c r="F25" i="18"/>
  <c r="F23" i="18"/>
  <c r="F21" i="18"/>
  <c r="F19" i="18"/>
  <c r="A11" i="79" l="1"/>
  <c r="A12" i="79" s="1"/>
  <c r="A13" i="79" s="1"/>
  <c r="A14" i="79" s="1"/>
  <c r="A15" i="79" s="1"/>
  <c r="A11" i="78"/>
  <c r="A12" i="78" s="1"/>
  <c r="A13" i="78" s="1"/>
  <c r="A14" i="78" s="1"/>
  <c r="A15" i="78" s="1"/>
  <c r="K11" i="88" l="1"/>
  <c r="M11" i="88" s="1"/>
  <c r="D56" i="52" l="1"/>
  <c r="D55" i="52"/>
  <c r="D54" i="52"/>
  <c r="D47" i="52"/>
  <c r="D46" i="52"/>
  <c r="B21" i="76"/>
  <c r="C21" i="76"/>
  <c r="E21" i="76"/>
  <c r="D49" i="52" s="1"/>
  <c r="G21" i="76"/>
  <c r="D51" i="52" s="1"/>
  <c r="I21" i="76"/>
  <c r="D53" i="52" s="1"/>
  <c r="J21" i="76"/>
  <c r="K21" i="76"/>
  <c r="L21" i="76"/>
  <c r="M21" i="76"/>
  <c r="D57" i="52" s="1"/>
  <c r="C46" i="52"/>
  <c r="C21" i="75"/>
  <c r="C47" i="52" s="1"/>
  <c r="D21" i="75"/>
  <c r="C48" i="52" s="1"/>
  <c r="E21" i="75"/>
  <c r="C49" i="52" s="1"/>
  <c r="G21" i="75"/>
  <c r="C51" i="52" s="1"/>
  <c r="I21" i="75"/>
  <c r="C53" i="52" s="1"/>
  <c r="J21" i="75"/>
  <c r="C54" i="52" s="1"/>
  <c r="K21" i="75"/>
  <c r="C55" i="52" s="1"/>
  <c r="L21" i="75"/>
  <c r="C56" i="52" s="1"/>
  <c r="M21" i="75"/>
  <c r="C57" i="52" s="1"/>
  <c r="E20" i="40" l="1"/>
  <c r="M19" i="76" l="1"/>
  <c r="J19" i="76"/>
  <c r="E19" i="76"/>
  <c r="M17" i="76"/>
  <c r="L17" i="76"/>
  <c r="L19" i="76" s="1"/>
  <c r="K17" i="76"/>
  <c r="K19" i="76" s="1"/>
  <c r="J17" i="76"/>
  <c r="G17" i="76"/>
  <c r="G19" i="76" s="1"/>
  <c r="E17" i="76"/>
  <c r="D17" i="76"/>
  <c r="D19" i="76" s="1"/>
  <c r="C17" i="76"/>
  <c r="C19" i="76" s="1"/>
  <c r="B17" i="76"/>
  <c r="B19" i="76" s="1"/>
  <c r="N16" i="76"/>
  <c r="O16" i="76" s="1"/>
  <c r="D15" i="76"/>
  <c r="N14" i="76"/>
  <c r="O14" i="76" s="1"/>
  <c r="N13" i="76"/>
  <c r="O13" i="76" s="1"/>
  <c r="F12" i="76"/>
  <c r="N12" i="76" s="1"/>
  <c r="O12" i="76" s="1"/>
  <c r="N11" i="76"/>
  <c r="O11" i="76" s="1"/>
  <c r="N10" i="76"/>
  <c r="O10" i="76" s="1"/>
  <c r="F9" i="76"/>
  <c r="H8" i="76"/>
  <c r="I5" i="76"/>
  <c r="N5" i="76" s="1"/>
  <c r="J19" i="75"/>
  <c r="M17" i="75"/>
  <c r="M19" i="75" s="1"/>
  <c r="L17" i="75"/>
  <c r="L19" i="75" s="1"/>
  <c r="K17" i="75"/>
  <c r="K19" i="75" s="1"/>
  <c r="J17" i="75"/>
  <c r="G17" i="75"/>
  <c r="G19" i="75" s="1"/>
  <c r="E17" i="75"/>
  <c r="E19" i="75" s="1"/>
  <c r="D17" i="75"/>
  <c r="D19" i="75" s="1"/>
  <c r="C17" i="75"/>
  <c r="C19" i="75" s="1"/>
  <c r="B17" i="75"/>
  <c r="B19" i="75" s="1"/>
  <c r="N16" i="75"/>
  <c r="O16" i="75" s="1"/>
  <c r="N15" i="75"/>
  <c r="O15" i="75" s="1"/>
  <c r="N14" i="75"/>
  <c r="O14" i="75" s="1"/>
  <c r="N13" i="75"/>
  <c r="O13" i="75" s="1"/>
  <c r="F12" i="75"/>
  <c r="N12" i="75" s="1"/>
  <c r="O12" i="75" s="1"/>
  <c r="N11" i="75"/>
  <c r="O11" i="75" s="1"/>
  <c r="N10" i="75"/>
  <c r="O10" i="75" s="1"/>
  <c r="F9" i="75"/>
  <c r="H8" i="75"/>
  <c r="I5" i="75"/>
  <c r="N5" i="75" s="1"/>
  <c r="N22" i="74"/>
  <c r="N17" i="74"/>
  <c r="M16" i="74"/>
  <c r="M18" i="74" s="1"/>
  <c r="L16" i="74"/>
  <c r="L20" i="74" s="1"/>
  <c r="L24" i="74" s="1"/>
  <c r="M14" i="74"/>
  <c r="L14" i="74"/>
  <c r="K14" i="74"/>
  <c r="J14" i="74"/>
  <c r="I14" i="74"/>
  <c r="H14" i="74"/>
  <c r="F14" i="74"/>
  <c r="E14" i="74"/>
  <c r="D14" i="74"/>
  <c r="C14" i="74"/>
  <c r="B14" i="74"/>
  <c r="N13" i="74"/>
  <c r="N12" i="74"/>
  <c r="N11" i="74"/>
  <c r="N10" i="74"/>
  <c r="G9" i="74"/>
  <c r="N9" i="74" s="1"/>
  <c r="N8" i="74"/>
  <c r="N14" i="74" s="1"/>
  <c r="O14" i="74" s="1"/>
  <c r="F39" i="90" s="1"/>
  <c r="K5" i="74"/>
  <c r="K16" i="74" s="1"/>
  <c r="J5" i="74"/>
  <c r="J16" i="74" s="1"/>
  <c r="I5" i="74"/>
  <c r="I16" i="74" s="1"/>
  <c r="H5" i="74"/>
  <c r="H16" i="74" s="1"/>
  <c r="H20" i="74" s="1"/>
  <c r="H24" i="74" s="1"/>
  <c r="G5" i="74"/>
  <c r="F5" i="74"/>
  <c r="F16" i="74" s="1"/>
  <c r="E5" i="74"/>
  <c r="D5" i="74"/>
  <c r="D16" i="74" s="1"/>
  <c r="D20" i="74" s="1"/>
  <c r="D24" i="74" s="1"/>
  <c r="C5" i="74"/>
  <c r="C16" i="74" s="1"/>
  <c r="B5" i="74"/>
  <c r="C4" i="74"/>
  <c r="D4" i="74" s="1"/>
  <c r="E4" i="74" s="1"/>
  <c r="F4" i="74" s="1"/>
  <c r="G4" i="74" s="1"/>
  <c r="H4" i="74" s="1"/>
  <c r="I4" i="74" s="1"/>
  <c r="J4" i="74" s="1"/>
  <c r="K4" i="74" s="1"/>
  <c r="L4" i="74" s="1"/>
  <c r="M4" i="74" s="1"/>
  <c r="I17" i="75" l="1"/>
  <c r="I19" i="75" s="1"/>
  <c r="G39" i="90"/>
  <c r="O39" i="90" s="1"/>
  <c r="N39" i="90"/>
  <c r="E16" i="74"/>
  <c r="T5" i="74"/>
  <c r="T6" i="74" s="1"/>
  <c r="B7" i="50" s="1"/>
  <c r="D7" i="50" s="1"/>
  <c r="E7" i="50" s="1"/>
  <c r="N8" i="76"/>
  <c r="O8" i="76" s="1"/>
  <c r="H21" i="76"/>
  <c r="D52" i="52" s="1"/>
  <c r="F17" i="76"/>
  <c r="F19" i="76" s="1"/>
  <c r="F21" i="76"/>
  <c r="D50" i="52" s="1"/>
  <c r="G16" i="74"/>
  <c r="G14" i="74"/>
  <c r="N15" i="76"/>
  <c r="O15" i="76" s="1"/>
  <c r="D21" i="76"/>
  <c r="N5" i="74"/>
  <c r="O5" i="74" s="1"/>
  <c r="E12" i="90" s="1"/>
  <c r="G12" i="90" s="1"/>
  <c r="F17" i="75"/>
  <c r="F19" i="75" s="1"/>
  <c r="O19" i="75" s="1"/>
  <c r="F21" i="75"/>
  <c r="N8" i="75"/>
  <c r="O8" i="75" s="1"/>
  <c r="H21" i="75"/>
  <c r="C52" i="52" s="1"/>
  <c r="H17" i="75"/>
  <c r="H19" i="75" s="1"/>
  <c r="O5" i="76"/>
  <c r="O5" i="75"/>
  <c r="O17" i="75" s="1"/>
  <c r="P17" i="75" s="1"/>
  <c r="N9" i="76"/>
  <c r="O9" i="76" s="1"/>
  <c r="H17" i="76"/>
  <c r="H19" i="76" s="1"/>
  <c r="N9" i="75"/>
  <c r="O9" i="75" s="1"/>
  <c r="I17" i="76"/>
  <c r="I19" i="76" s="1"/>
  <c r="J18" i="74"/>
  <c r="J20" i="74"/>
  <c r="J24" i="74" s="1"/>
  <c r="C20" i="74"/>
  <c r="C24" i="74" s="1"/>
  <c r="C18" i="74"/>
  <c r="G20" i="74"/>
  <c r="G24" i="74" s="1"/>
  <c r="G18" i="74"/>
  <c r="K20" i="74"/>
  <c r="K24" i="74" s="1"/>
  <c r="K18" i="74"/>
  <c r="E18" i="74"/>
  <c r="E20" i="74"/>
  <c r="E24" i="74" s="1"/>
  <c r="I18" i="74"/>
  <c r="I20" i="74"/>
  <c r="I24" i="74" s="1"/>
  <c r="F18" i="74"/>
  <c r="F20" i="74"/>
  <c r="F24" i="74" s="1"/>
  <c r="B16" i="74"/>
  <c r="M20" i="74"/>
  <c r="M24" i="74" s="1"/>
  <c r="D18" i="74"/>
  <c r="H18" i="74"/>
  <c r="L18" i="74"/>
  <c r="D48" i="52" l="1"/>
  <c r="N21" i="76"/>
  <c r="N23" i="76" s="1"/>
  <c r="J12" i="90"/>
  <c r="K10" i="88"/>
  <c r="M10" i="88" s="1"/>
  <c r="O16" i="74"/>
  <c r="O19" i="76"/>
  <c r="N17" i="75"/>
  <c r="C50" i="52"/>
  <c r="N21" i="75"/>
  <c r="N17" i="76"/>
  <c r="O17" i="76"/>
  <c r="P17" i="76" s="1"/>
  <c r="B18" i="74"/>
  <c r="B20" i="74"/>
  <c r="N16" i="74"/>
  <c r="N18" i="74" s="1"/>
  <c r="N12" i="90" l="1"/>
  <c r="V12" i="90"/>
  <c r="K12" i="90"/>
  <c r="N23" i="75"/>
  <c r="F38" i="90" s="1"/>
  <c r="B24" i="74"/>
  <c r="N20" i="74"/>
  <c r="N24" i="74" s="1"/>
  <c r="G38" i="90" l="1"/>
  <c r="N38" i="90"/>
  <c r="N40" i="90" s="1"/>
  <c r="F40" i="90"/>
  <c r="O12" i="90"/>
  <c r="W12" i="90"/>
  <c r="G40" i="90"/>
  <c r="O38" i="90"/>
  <c r="O40" i="90" s="1"/>
  <c r="B19" i="40"/>
  <c r="F35" i="90" s="1"/>
  <c r="N35" i="90" s="1"/>
  <c r="B18" i="40"/>
  <c r="F34" i="90" s="1"/>
  <c r="B17" i="40"/>
  <c r="F26" i="90" s="1"/>
  <c r="B16" i="40"/>
  <c r="F25" i="90" s="1"/>
  <c r="B15" i="40"/>
  <c r="F24" i="90" s="1"/>
  <c r="B14" i="40"/>
  <c r="F23" i="90" s="1"/>
  <c r="B13" i="40"/>
  <c r="F22" i="90" s="1"/>
  <c r="B9" i="40"/>
  <c r="F14" i="90" s="1"/>
  <c r="B8" i="40"/>
  <c r="F13" i="90" s="1"/>
  <c r="F16" i="90" s="1"/>
  <c r="B7" i="40"/>
  <c r="E10" i="90" s="1"/>
  <c r="G10" i="90" s="1"/>
  <c r="B6" i="40"/>
  <c r="B5" i="40"/>
  <c r="E9" i="90" s="1"/>
  <c r="H23" i="90" l="1"/>
  <c r="G23" i="90"/>
  <c r="G24" i="90"/>
  <c r="H24" i="90"/>
  <c r="H22" i="90"/>
  <c r="H27" i="90" s="1"/>
  <c r="G22" i="90"/>
  <c r="F27" i="90"/>
  <c r="H9" i="90"/>
  <c r="H25" i="90"/>
  <c r="G25" i="90"/>
  <c r="H26" i="90"/>
  <c r="G26" i="90"/>
  <c r="F36" i="90"/>
  <c r="N34" i="90"/>
  <c r="N36" i="90" s="1"/>
  <c r="G31" i="18"/>
  <c r="G23" i="18"/>
  <c r="G21" i="18"/>
  <c r="G19" i="18"/>
  <c r="G29" i="18"/>
  <c r="G27" i="18"/>
  <c r="G25" i="18"/>
  <c r="H29" i="18"/>
  <c r="H21" i="18"/>
  <c r="H27" i="18"/>
  <c r="H19" i="18"/>
  <c r="H25" i="18"/>
  <c r="H31" i="18"/>
  <c r="H23" i="18"/>
  <c r="G55" i="18"/>
  <c r="F39" i="18"/>
  <c r="F45" i="18"/>
  <c r="G45" i="18" s="1"/>
  <c r="F47" i="18"/>
  <c r="G47" i="18" s="1"/>
  <c r="F49" i="18"/>
  <c r="G49" i="18" s="1"/>
  <c r="F51" i="18"/>
  <c r="G51" i="18" s="1"/>
  <c r="F53" i="18"/>
  <c r="G53" i="18" s="1"/>
  <c r="F55" i="18"/>
  <c r="F59" i="18"/>
  <c r="G59" i="18" s="1"/>
  <c r="H29" i="90" l="1"/>
  <c r="P29" i="90" s="1"/>
  <c r="P27" i="90"/>
  <c r="N27" i="90"/>
  <c r="F29" i="90"/>
  <c r="G27" i="90"/>
  <c r="D62" i="18"/>
  <c r="G29" i="90" l="1"/>
  <c r="O29" i="90" s="1"/>
  <c r="O27" i="90"/>
  <c r="N29" i="90"/>
  <c r="N42" i="90" s="1"/>
  <c r="F42" i="90"/>
  <c r="K7" i="88"/>
  <c r="J10" i="90"/>
  <c r="H66" i="18"/>
  <c r="M7" i="88" l="1"/>
  <c r="N10" i="90"/>
  <c r="V10" i="90"/>
  <c r="K10" i="90"/>
  <c r="M4" i="52"/>
  <c r="W10" i="90" l="1"/>
  <c r="O10" i="90"/>
  <c r="G39" i="89" l="1"/>
  <c r="G39" i="18" l="1"/>
  <c r="H39" i="18"/>
  <c r="G13" i="90"/>
  <c r="K8" i="90"/>
  <c r="G32" i="90"/>
  <c r="G14" i="90"/>
  <c r="H32" i="90"/>
  <c r="L8" i="90"/>
  <c r="H13" i="90"/>
  <c r="H14" i="90"/>
  <c r="G57" i="89"/>
  <c r="G43" i="89"/>
  <c r="H65" i="89"/>
  <c r="G51" i="89"/>
  <c r="G44" i="89"/>
  <c r="G42" i="89"/>
  <c r="G46" i="89"/>
  <c r="G58" i="89"/>
  <c r="G53" i="89"/>
  <c r="G54" i="89"/>
  <c r="G48" i="89"/>
  <c r="G45" i="89"/>
  <c r="G56" i="89"/>
  <c r="G40" i="89"/>
  <c r="G47" i="89"/>
  <c r="G59" i="89"/>
  <c r="G50" i="89"/>
  <c r="G52" i="89"/>
  <c r="G41" i="89"/>
  <c r="H58" i="89"/>
  <c r="H50" i="89"/>
  <c r="H40" i="89"/>
  <c r="H44" i="89"/>
  <c r="H42" i="89"/>
  <c r="H46" i="89"/>
  <c r="H43" i="89"/>
  <c r="H51" i="89"/>
  <c r="H48" i="89"/>
  <c r="H54" i="89"/>
  <c r="H52" i="89"/>
  <c r="H53" i="89"/>
  <c r="H59" i="89"/>
  <c r="H45" i="89"/>
  <c r="H47" i="89"/>
  <c r="H39" i="89"/>
  <c r="H56" i="89"/>
  <c r="H57" i="89"/>
  <c r="H41" i="89"/>
  <c r="H65" i="18"/>
  <c r="H62" i="89" l="1"/>
  <c r="G62" i="89"/>
  <c r="H16" i="90"/>
  <c r="D10" i="79" s="1"/>
  <c r="G35" i="90"/>
  <c r="K32" i="90"/>
  <c r="G34" i="90"/>
  <c r="G33" i="90"/>
  <c r="T8" i="90"/>
  <c r="S8" i="90"/>
  <c r="L32" i="90"/>
  <c r="H34" i="90"/>
  <c r="H35" i="90"/>
  <c r="H33" i="90"/>
  <c r="H36" i="90" l="1"/>
  <c r="H42" i="90" s="1"/>
  <c r="D11" i="79" s="1"/>
  <c r="K22" i="88"/>
  <c r="M22" i="88" s="1"/>
  <c r="J14" i="90"/>
  <c r="K34" i="90"/>
  <c r="K35" i="90"/>
  <c r="O35" i="90" s="1"/>
  <c r="S32" i="90"/>
  <c r="T13" i="90"/>
  <c r="X8" i="90"/>
  <c r="T14" i="90"/>
  <c r="S14" i="90"/>
  <c r="W8" i="90"/>
  <c r="S13" i="90"/>
  <c r="G36" i="90"/>
  <c r="T32" i="90"/>
  <c r="L35" i="90"/>
  <c r="P35" i="90" s="1"/>
  <c r="L34" i="90"/>
  <c r="N14" i="90" l="1"/>
  <c r="V14" i="90"/>
  <c r="K14" i="90"/>
  <c r="O14" i="90" s="1"/>
  <c r="L14" i="90"/>
  <c r="P14" i="90" s="1"/>
  <c r="G42" i="90"/>
  <c r="D11" i="78" s="1"/>
  <c r="S16" i="90"/>
  <c r="T16" i="90"/>
  <c r="P34" i="90"/>
  <c r="P36" i="90" s="1"/>
  <c r="P42" i="90" s="1"/>
  <c r="L36" i="90"/>
  <c r="L42" i="90" s="1"/>
  <c r="O34" i="90"/>
  <c r="O36" i="90" s="1"/>
  <c r="O42" i="90" s="1"/>
  <c r="K36" i="90"/>
  <c r="K42" i="90" s="1"/>
  <c r="T35" i="90"/>
  <c r="X35" i="90" s="1"/>
  <c r="T34" i="90"/>
  <c r="S34" i="90"/>
  <c r="S35" i="90"/>
  <c r="W35" i="90" s="1"/>
  <c r="W14" i="90" l="1"/>
  <c r="X14" i="90"/>
  <c r="G10" i="79"/>
  <c r="G10" i="78"/>
  <c r="E11" i="78"/>
  <c r="S36" i="90"/>
  <c r="S42" i="90" s="1"/>
  <c r="G11" i="78" s="1"/>
  <c r="W34" i="90"/>
  <c r="W36" i="90" s="1"/>
  <c r="W42" i="90" s="1"/>
  <c r="X34" i="90"/>
  <c r="X36" i="90" s="1"/>
  <c r="T36" i="90"/>
  <c r="T42" i="90" s="1"/>
  <c r="G11" i="79" s="1"/>
  <c r="E11" i="79"/>
  <c r="X42" i="90" l="1"/>
  <c r="C20" i="40" l="1"/>
  <c r="C58" i="52" l="1"/>
  <c r="C60" i="52" s="1"/>
  <c r="D58" i="52"/>
  <c r="D60" i="52" s="1"/>
  <c r="E60" i="52" l="1"/>
  <c r="E61" i="52" l="1"/>
  <c r="N29" i="52"/>
  <c r="N31" i="52" s="1"/>
  <c r="M29" i="52"/>
  <c r="N5" i="52"/>
  <c r="N7" i="52" s="1"/>
  <c r="M5" i="52"/>
  <c r="M7" i="52" s="1"/>
  <c r="B5" i="50" s="1"/>
  <c r="D5" i="50" l="1"/>
  <c r="B6" i="50"/>
  <c r="D6" i="50" s="1"/>
  <c r="E6" i="50" s="1"/>
  <c r="K9" i="88" s="1"/>
  <c r="M9" i="88" s="1"/>
  <c r="N8" i="52"/>
  <c r="N9" i="52" s="1"/>
  <c r="M8" i="52"/>
  <c r="M9" i="52" s="1"/>
  <c r="O7" i="52"/>
  <c r="M31" i="52"/>
  <c r="O31" i="52" s="1"/>
  <c r="P31" i="52" s="1"/>
  <c r="N32" i="52"/>
  <c r="N33" i="52" s="1"/>
  <c r="P7" i="52" l="1"/>
  <c r="B31" i="40"/>
  <c r="B32" i="40" s="1"/>
  <c r="B9" i="50"/>
  <c r="E5" i="50"/>
  <c r="D9" i="50"/>
  <c r="O9" i="52"/>
  <c r="M32" i="52"/>
  <c r="O33" i="52" l="1"/>
  <c r="E11" i="90" s="1"/>
  <c r="M33" i="52"/>
  <c r="D11" i="50"/>
  <c r="E9" i="50"/>
  <c r="K8" i="88"/>
  <c r="J11" i="90"/>
  <c r="B23" i="50"/>
  <c r="B25" i="50" s="1"/>
  <c r="B11" i="50"/>
  <c r="F11" i="18"/>
  <c r="G11" i="90" l="1"/>
  <c r="G16" i="90" s="1"/>
  <c r="D10" i="78" s="1"/>
  <c r="E16" i="90"/>
  <c r="M8" i="88"/>
  <c r="M12" i="88" s="1"/>
  <c r="K12" i="88"/>
  <c r="V11" i="90"/>
  <c r="K11" i="90"/>
  <c r="N11" i="90"/>
  <c r="E11" i="50"/>
  <c r="H11" i="18"/>
  <c r="G11" i="18"/>
  <c r="K16" i="88"/>
  <c r="O11" i="90" l="1"/>
  <c r="W11" i="90"/>
  <c r="M16" i="88"/>
  <c r="F13" i="18"/>
  <c r="G13" i="18" l="1"/>
  <c r="H13" i="18"/>
  <c r="F15" i="18"/>
  <c r="K15" i="88"/>
  <c r="N20" i="40"/>
  <c r="M20" i="40"/>
  <c r="L20" i="40"/>
  <c r="K20" i="40"/>
  <c r="J20" i="40"/>
  <c r="I20" i="40"/>
  <c r="H20" i="40"/>
  <c r="G20" i="40"/>
  <c r="F20" i="40"/>
  <c r="D20" i="40"/>
  <c r="N10" i="40"/>
  <c r="L10" i="40"/>
  <c r="K10" i="40"/>
  <c r="J10" i="40"/>
  <c r="I10" i="40"/>
  <c r="H10" i="40"/>
  <c r="E10" i="40"/>
  <c r="D10" i="40"/>
  <c r="C10" i="40"/>
  <c r="H15" i="18" l="1"/>
  <c r="G15" i="18"/>
  <c r="M15" i="88"/>
  <c r="M17" i="88" s="1"/>
  <c r="K17" i="88"/>
  <c r="J9" i="90"/>
  <c r="F17" i="18"/>
  <c r="B20" i="40"/>
  <c r="M21" i="40"/>
  <c r="J21" i="40"/>
  <c r="K21" i="40"/>
  <c r="L21" i="40"/>
  <c r="I21" i="40"/>
  <c r="G21" i="40"/>
  <c r="C21" i="40"/>
  <c r="D21" i="40"/>
  <c r="E21" i="40"/>
  <c r="N21" i="40"/>
  <c r="F21" i="40"/>
  <c r="H21" i="40"/>
  <c r="B10" i="40"/>
  <c r="G17" i="18" l="1"/>
  <c r="H17" i="18"/>
  <c r="N9" i="90"/>
  <c r="V9" i="90"/>
  <c r="L9" i="90"/>
  <c r="B21" i="40"/>
  <c r="X9" i="90" l="1"/>
  <c r="P9" i="90"/>
  <c r="F33" i="18" l="1"/>
  <c r="F35" i="18"/>
  <c r="G35" i="18" l="1"/>
  <c r="H35" i="18"/>
  <c r="G33" i="18"/>
  <c r="H33" i="18"/>
  <c r="F41" i="18"/>
  <c r="F37" i="18"/>
  <c r="F11" i="79"/>
  <c r="F11" i="78"/>
  <c r="G41" i="18" l="1"/>
  <c r="H41" i="18"/>
  <c r="G37" i="18"/>
  <c r="H37" i="18"/>
  <c r="F62" i="18"/>
  <c r="D12" i="78"/>
  <c r="D12" i="79"/>
  <c r="D14" i="78" l="1"/>
  <c r="H11" i="78"/>
  <c r="H11" i="79"/>
  <c r="D14" i="79"/>
  <c r="H62" i="18"/>
  <c r="D15" i="78" l="1"/>
  <c r="D15" i="79"/>
  <c r="G62" i="18" l="1"/>
  <c r="D53" i="83" l="1"/>
  <c r="C18" i="50" l="1"/>
  <c r="C21" i="50"/>
  <c r="E21" i="50"/>
  <c r="B21" i="50"/>
  <c r="B22" i="50" s="1"/>
  <c r="C20" i="50" l="1"/>
  <c r="D18" i="50"/>
  <c r="D20" i="50" s="1"/>
  <c r="E18" i="50"/>
  <c r="E20" i="50" l="1"/>
  <c r="K21" i="88"/>
  <c r="J13" i="90"/>
  <c r="D22" i="50"/>
  <c r="D23" i="50"/>
  <c r="C22" i="50"/>
  <c r="C23" i="50"/>
  <c r="G12" i="78"/>
  <c r="G12" i="79"/>
  <c r="N13" i="90" l="1"/>
  <c r="N16" i="90" s="1"/>
  <c r="K13" i="90"/>
  <c r="L13" i="90"/>
  <c r="V13" i="90"/>
  <c r="V16" i="90" s="1"/>
  <c r="J16" i="90"/>
  <c r="M21" i="88"/>
  <c r="M23" i="88" s="1"/>
  <c r="M26" i="88" s="1"/>
  <c r="K23" i="88"/>
  <c r="K26" i="88" s="1"/>
  <c r="E22" i="50"/>
  <c r="E23" i="50"/>
  <c r="E25" i="50" s="1"/>
  <c r="G14" i="78"/>
  <c r="G14" i="79"/>
  <c r="P13" i="90" l="1"/>
  <c r="P16" i="90" s="1"/>
  <c r="L16" i="90"/>
  <c r="E10" i="79" s="1"/>
  <c r="X13" i="90"/>
  <c r="X16" i="90" s="1"/>
  <c r="W13" i="90"/>
  <c r="W16" i="90" s="1"/>
  <c r="O13" i="90"/>
  <c r="O16" i="90" s="1"/>
  <c r="K16" i="90"/>
  <c r="E10" i="78" s="1"/>
  <c r="G15" i="79"/>
  <c r="G15" i="78"/>
  <c r="H10" i="79" l="1"/>
  <c r="H12" i="79" s="1"/>
  <c r="F10" i="79"/>
  <c r="F12" i="79" s="1"/>
  <c r="E12" i="79"/>
  <c r="E14" i="79" s="1"/>
  <c r="F14" i="79" s="1"/>
  <c r="F10" i="78"/>
  <c r="F12" i="78" s="1"/>
  <c r="H10" i="78"/>
  <c r="H12" i="78" s="1"/>
  <c r="E12" i="78"/>
  <c r="E14" i="78" s="1"/>
  <c r="H14" i="78" s="1"/>
  <c r="E15" i="79"/>
  <c r="F14" i="78" l="1"/>
  <c r="E15" i="78"/>
  <c r="H14" i="79"/>
  <c r="F15" i="78"/>
  <c r="F15" i="79"/>
  <c r="H15" i="79"/>
  <c r="H15" i="78"/>
</calcChain>
</file>

<file path=xl/sharedStrings.xml><?xml version="1.0" encoding="utf-8"?>
<sst xmlns="http://schemas.openxmlformats.org/spreadsheetml/2006/main" count="887" uniqueCount="397">
  <si>
    <t>PROPERTY &amp; LIABILITY INSURANCE</t>
  </si>
  <si>
    <t>LINE</t>
  </si>
  <si>
    <t>NO.</t>
  </si>
  <si>
    <t>DESCRIPTION</t>
  </si>
  <si>
    <t>ACTUAL</t>
  </si>
  <si>
    <t>ADJUSTMENT</t>
  </si>
  <si>
    <t>PROPERTY INSURANCE EXPENSE</t>
  </si>
  <si>
    <t>LIABILITY INSURANCE EXPENSE</t>
  </si>
  <si>
    <t>INCREASE(DECREASE) EXPENSE</t>
  </si>
  <si>
    <t>INCREASE (DECREASE) NOI</t>
  </si>
  <si>
    <t>Premium</t>
  </si>
  <si>
    <t>Common:</t>
  </si>
  <si>
    <t>Policy</t>
  </si>
  <si>
    <t>Policy Period</t>
  </si>
  <si>
    <t>Brokerage Fees</t>
  </si>
  <si>
    <t>PSE Aircraft</t>
  </si>
  <si>
    <t>Puget Sound Energy</t>
  </si>
  <si>
    <t>Electric</t>
  </si>
  <si>
    <t>Gas</t>
  </si>
  <si>
    <t>Property Insurance Admin - Common</t>
  </si>
  <si>
    <t>Liability Insurance - Common</t>
  </si>
  <si>
    <t>Marsh Broker Insurance - Common</t>
  </si>
  <si>
    <t>Marsh Broker Liability Insurance - Common</t>
  </si>
  <si>
    <t>Property Insurance PSE Building - Common</t>
  </si>
  <si>
    <t>King Air Hull Ins - Common</t>
  </si>
  <si>
    <t>AEGIS E&amp;O</t>
  </si>
  <si>
    <t>Order</t>
  </si>
  <si>
    <t>Amount</t>
  </si>
  <si>
    <t>Types</t>
  </si>
  <si>
    <t>Order Description</t>
  </si>
  <si>
    <t>Order No.</t>
  </si>
  <si>
    <t>Common</t>
  </si>
  <si>
    <t>General Liability Insurance - Common</t>
  </si>
  <si>
    <t>Property and Liability Insurance - Charged to Income Statement</t>
  </si>
  <si>
    <t>Property Insurance Premium Costs</t>
  </si>
  <si>
    <t>Montana State Fund W/C</t>
  </si>
  <si>
    <t>Liability Insurance Premium Costs</t>
  </si>
  <si>
    <t>Subtotal</t>
  </si>
  <si>
    <t>Property Insurance All Other - Common (Both Electric Generation and Other than Generation)</t>
  </si>
  <si>
    <t>Workers Comp Insurance - Common</t>
  </si>
  <si>
    <t>Total</t>
  </si>
  <si>
    <t>WIND PRODUCTION PLANT</t>
  </si>
  <si>
    <t>WILD HORSE PLANT</t>
  </si>
  <si>
    <t>HYDRO PRODUCTION PLANT</t>
  </si>
  <si>
    <t>UPPER BAKER DAM, POWER PLANT AND TRANSMISSION PLANT</t>
  </si>
  <si>
    <t>LOWER BAKER DAM, POWER PLANT AND TRANSMISSION PLANT</t>
  </si>
  <si>
    <t>SNOQUALMIE FALLS PLANTS 1 AND 2 AND TRANSMISSION PLANT</t>
  </si>
  <si>
    <t>OTHER PRODUCTION PLANT</t>
  </si>
  <si>
    <t>CRYSTAL MOUNTAIN GENERATING PLANT</t>
  </si>
  <si>
    <t>GOLDENDALE PLANT</t>
  </si>
  <si>
    <t>WHITEHORN GENERATING STATION AND TRANSMISSION PLANT</t>
  </si>
  <si>
    <t>FREDERICKSON 1 &amp; 2 GENERATING STATION AND TRANSMISSION PLANT</t>
  </si>
  <si>
    <t>FREDONIA 1, 2, 3 AND 4 GENERATING STATION AND TRANSMISSION PLANT</t>
  </si>
  <si>
    <t>ENCOGEN POWER PLANT</t>
  </si>
  <si>
    <t>ELECTRIC</t>
  </si>
  <si>
    <t xml:space="preserve">  </t>
  </si>
  <si>
    <t>TOTAL O&amp;M</t>
  </si>
  <si>
    <t>Group</t>
  </si>
  <si>
    <t>Electric:</t>
  </si>
  <si>
    <t>to O&amp;M</t>
  </si>
  <si>
    <t>% Charged</t>
  </si>
  <si>
    <t>$ Charged</t>
  </si>
  <si>
    <t>(A)</t>
  </si>
  <si>
    <t>(B)</t>
  </si>
  <si>
    <t>(C) = (A) * (B)</t>
  </si>
  <si>
    <t>Electric Portion</t>
  </si>
  <si>
    <t>of Common</t>
  </si>
  <si>
    <t>Gas Portion</t>
  </si>
  <si>
    <t>FERC</t>
  </si>
  <si>
    <t>SUBTOTAL 925 ORDER GROUP BEFORE ALLOCATED TO O&amp;M</t>
  </si>
  <si>
    <t>SUBTOTAL 925 ORDER GROUP ALLOCATED TO O&amp;M - (1)</t>
  </si>
  <si>
    <t>SUBTOTAL 924 ORDER GROUP - (2)</t>
  </si>
  <si>
    <t>Order Group</t>
  </si>
  <si>
    <t>Invoices</t>
  </si>
  <si>
    <t>Total PSE Property Insurance (Electric, Gas, and Common) - (A)</t>
  </si>
  <si>
    <t>SUMAS GENERATION PLANT</t>
  </si>
  <si>
    <t>MINT FARM POWER PLANT</t>
  </si>
  <si>
    <t>TOTAL GAS - [C]</t>
  </si>
  <si>
    <t>TOTAL COMMON - (D) = (A) - (B) - [C]</t>
  </si>
  <si>
    <t>12 Months</t>
  </si>
  <si>
    <t>92500702  1412 - Workers Comp Insurance - Common</t>
  </si>
  <si>
    <t>Property Insurance All Other - Elec</t>
  </si>
  <si>
    <t>Property Insurance All Other - Gas</t>
  </si>
  <si>
    <t xml:space="preserve">HOPKINS RIDGE POWER PLANT </t>
  </si>
  <si>
    <t xml:space="preserve">   (includes Floating Surface Collector #1)</t>
  </si>
  <si>
    <t>Jackson Prairie plant (PSE 1/3 share)</t>
  </si>
  <si>
    <t>92400322, 92400308</t>
  </si>
  <si>
    <t>LOWER SNAKE RIVER</t>
  </si>
  <si>
    <t>FERNDALE COGENERATION PLANT</t>
  </si>
  <si>
    <t>Fiduciary Insurance - Common</t>
  </si>
  <si>
    <t>Gas in Storage (Clay Basin)</t>
  </si>
  <si>
    <t>(Note 1) Sumas Pipeline has order group 161000040 orders that settle to other generation O&amp;M 553 orders, for PSE’s share and the one 92400013 order for insurance</t>
  </si>
  <si>
    <r>
      <t>SUMAS PIPELINE (PSE 57.3% share)</t>
    </r>
    <r>
      <rPr>
        <sz val="8"/>
        <color indexed="12"/>
        <rFont val="Calibri"/>
        <family val="2"/>
      </rPr>
      <t xml:space="preserve"> (Note 1) book in order 92400013</t>
    </r>
  </si>
  <si>
    <t>Renewal Invoice</t>
  </si>
  <si>
    <t>Continuity Credit applied from prior year- (Membership Credit)</t>
  </si>
  <si>
    <t>RECONCILE</t>
  </si>
  <si>
    <t>Total Property Insurance</t>
  </si>
  <si>
    <t>Total Liability Insurance</t>
  </si>
  <si>
    <t>Total Property &amp; Liability Insurance for Test Year</t>
  </si>
  <si>
    <t xml:space="preserve">Property Insurance </t>
  </si>
  <si>
    <t xml:space="preserve">Liability Insurance </t>
  </si>
  <si>
    <t>Order #92400005</t>
  </si>
  <si>
    <t xml:space="preserve">Colstrip 1&amp;2 </t>
  </si>
  <si>
    <t xml:space="preserve">Colstrip 3&amp;4 </t>
  </si>
  <si>
    <t>Annual (12 mos)</t>
  </si>
  <si>
    <t>PSE's ownership</t>
  </si>
  <si>
    <t>PSE's share (12 mos)</t>
  </si>
  <si>
    <t xml:space="preserve">PSE's Monthly </t>
  </si>
  <si>
    <t>Colstrip 1&amp;2 and 3&amp;4</t>
  </si>
  <si>
    <t>Amort. Sch for 92400635,92400634,92400013,92400308 (w/o J. Prairie &amp; Sumas)</t>
  </si>
  <si>
    <t>AEGIS Excess GL</t>
  </si>
  <si>
    <t>EIM Excess GL</t>
  </si>
  <si>
    <t>1/1/16 - 1/1/17</t>
  </si>
  <si>
    <t>Rate Year 12 ME December 31, 2018</t>
  </si>
  <si>
    <t>GAS - 92400322 Full Amount before Share (Jackson Prairie - PSE 1/3 Share)</t>
  </si>
  <si>
    <t>ELEC - 92400013 Full Amount before Share (Sumas Pipeline - PSE 57.3% Share)</t>
  </si>
  <si>
    <t>DIFFT</t>
  </si>
  <si>
    <t>(Note 2) Jackson Prairie has order group 150 orders that settle to capital orders for PSE’s share and order group 151 orders that settle to gas underground storage orders 814 – 837.</t>
  </si>
  <si>
    <t xml:space="preserve">  The property Ins for PSE’s share bookin order 92400322.</t>
  </si>
  <si>
    <t>COLSTRIP 1&amp;2 (PSE 50% Share)</t>
  </si>
  <si>
    <t>COLSTRIP 3&amp;4 (PSE 25% Share)</t>
  </si>
  <si>
    <r>
      <t xml:space="preserve">COLSTRIP 3&amp;4 (PSE 25% Share) </t>
    </r>
    <r>
      <rPr>
        <sz val="8"/>
        <color rgb="FF0066FF"/>
        <rFont val="Calibri"/>
        <family val="2"/>
      </rPr>
      <t>(Note 3)</t>
    </r>
  </si>
  <si>
    <r>
      <t>COLSTRIP 1&amp;2 (PSE 50% Share)</t>
    </r>
    <r>
      <rPr>
        <sz val="8"/>
        <color indexed="8"/>
        <rFont val="Calibri"/>
        <family val="2"/>
      </rPr>
      <t xml:space="preserve"> </t>
    </r>
    <r>
      <rPr>
        <sz val="8"/>
        <color rgb="FF0066FF"/>
        <rFont val="Calibri"/>
        <family val="2"/>
      </rPr>
      <t>(Note 3)</t>
    </r>
  </si>
  <si>
    <t>(Note 3) Colstrip 1&amp;2 and 3&amp;4 paid separately and does not include with Marsh Invoice.</t>
  </si>
  <si>
    <t>Ck</t>
  </si>
  <si>
    <t>Colstrip</t>
  </si>
  <si>
    <r>
      <t>GAS</t>
    </r>
    <r>
      <rPr>
        <b/>
        <sz val="11"/>
        <color rgb="FF0000FF"/>
        <rFont val="Calibri"/>
        <family val="2"/>
      </rPr>
      <t xml:space="preserve"> </t>
    </r>
  </si>
  <si>
    <t>Elec</t>
  </si>
  <si>
    <t>Ins Premium per Month</t>
  </si>
  <si>
    <t>Auto Liability</t>
  </si>
  <si>
    <t>Workers Comp Ins</t>
  </si>
  <si>
    <t>General Liability</t>
  </si>
  <si>
    <t>Colstrip 1&amp;2</t>
  </si>
  <si>
    <t>Colstrip 3&amp;4</t>
  </si>
  <si>
    <t>Liability Insurance</t>
  </si>
  <si>
    <t>Property Insurance</t>
  </si>
  <si>
    <t>PSE's Test Year</t>
  </si>
  <si>
    <t>Property Insurance Admin - Elec (Colstrip 1&amp;2, 3&amp;4)</t>
  </si>
  <si>
    <t>Insurance Breakdown:</t>
  </si>
  <si>
    <t>Other:</t>
  </si>
  <si>
    <t>Automibile</t>
  </si>
  <si>
    <t>Worker's Comp</t>
  </si>
  <si>
    <t>Unbrella/Excess Liability</t>
  </si>
  <si>
    <t>Finance Charge</t>
  </si>
  <si>
    <t>Broker Fee</t>
  </si>
  <si>
    <t>Per Altlantic statement</t>
  </si>
  <si>
    <t>PER SAP (PSE's booking)</t>
  </si>
  <si>
    <t>Difference</t>
  </si>
  <si>
    <t>Property Insurance Admin - Elec (Freddy 1)</t>
  </si>
  <si>
    <t>SUBTOTAL 92500005</t>
  </si>
  <si>
    <t>Freddy 1</t>
  </si>
  <si>
    <t>(Note 4) Freddy 1 paid separately and does not include with Marsh Invoice.  The policy period is from November 1 - Ot 31.</t>
  </si>
  <si>
    <r>
      <t xml:space="preserve">FREDDY 1 (PSE 49.85% Share) </t>
    </r>
    <r>
      <rPr>
        <sz val="8"/>
        <color rgb="FF0000FF"/>
        <rFont val="Calibri"/>
        <family val="2"/>
      </rPr>
      <t>(Note 4)</t>
    </r>
  </si>
  <si>
    <t>FREDDY 1 (PSE 49.85% Share)</t>
  </si>
  <si>
    <t>Total PSE's Invoice w/o Colstrip 1&amp;2 and 3&amp;4/ Freddy 1</t>
  </si>
  <si>
    <t>11/1/15 - 10/31/16</t>
  </si>
  <si>
    <t>Freddy 1 W/C, Liability, Auto</t>
  </si>
  <si>
    <t>Adjustment</t>
  </si>
  <si>
    <r>
      <t xml:space="preserve">Colstrip 1&amp;2 GL </t>
    </r>
    <r>
      <rPr>
        <b/>
        <i/>
        <sz val="10"/>
        <rFont val="Arial"/>
        <family val="2"/>
      </rPr>
      <t>(b)</t>
    </r>
  </si>
  <si>
    <r>
      <t xml:space="preserve">Colstrip 1&amp;2 Auto </t>
    </r>
    <r>
      <rPr>
        <b/>
        <i/>
        <sz val="10"/>
        <rFont val="Arial"/>
        <family val="2"/>
      </rPr>
      <t>(b)</t>
    </r>
  </si>
  <si>
    <r>
      <t>Colstrip 1&amp;2 W/C</t>
    </r>
    <r>
      <rPr>
        <b/>
        <i/>
        <sz val="10"/>
        <rFont val="Arial"/>
        <family val="2"/>
      </rPr>
      <t xml:space="preserve"> (b)</t>
    </r>
  </si>
  <si>
    <r>
      <t xml:space="preserve">Colstrip 3&amp;4 GL </t>
    </r>
    <r>
      <rPr>
        <b/>
        <i/>
        <sz val="10"/>
        <rFont val="Arial"/>
        <family val="2"/>
      </rPr>
      <t>(b)</t>
    </r>
  </si>
  <si>
    <r>
      <t xml:space="preserve">Colstrip 3&amp;4 W/C </t>
    </r>
    <r>
      <rPr>
        <b/>
        <i/>
        <sz val="10"/>
        <rFont val="Arial"/>
        <family val="2"/>
      </rPr>
      <t>(b)</t>
    </r>
  </si>
  <si>
    <t>(a) Colstrip liability Insurance reflect PSE's share</t>
  </si>
  <si>
    <t>OTHER ELECTRIC ( substation, general plant, communication equipment, etc.)</t>
  </si>
  <si>
    <t>TOTAL ELECTRIC  - (B)</t>
  </si>
  <si>
    <t xml:space="preserve">TOTAL PRODUCTION ELECTRIC </t>
  </si>
  <si>
    <t>Colstrip1&amp;2</t>
  </si>
  <si>
    <t>Colstrip3&amp;4</t>
  </si>
  <si>
    <t>Sumas pipeline</t>
  </si>
  <si>
    <t>PROPERTY INSURANCE TEST YEAR</t>
  </si>
  <si>
    <t>LIABILITY INSURANCE TEST YEAR</t>
  </si>
  <si>
    <t>RESTATED</t>
  </si>
  <si>
    <t>Direct Allocate</t>
  </si>
  <si>
    <t xml:space="preserve">Remaining </t>
  </si>
  <si>
    <t>92400322 (Jackson Prairie)</t>
  </si>
  <si>
    <t xml:space="preserve">Other Gas (communication equipment, Storeroom inventories, Liquified Gas Plt) </t>
  </si>
  <si>
    <t>FOR THE TWELVE MONTHS ENDED DECEMBER 31, 2018</t>
  </si>
  <si>
    <t>April 1, 2018 - April 1, 2019</t>
  </si>
  <si>
    <t>April 1, 2017 - April 1, 2018</t>
  </si>
  <si>
    <t>Colstrip 1&amp;2 and 3&amp;4 Property Insurance for 4/17 - 4/18</t>
  </si>
  <si>
    <t>&lt;=Annualized policy Apr 2018 - April 2019</t>
  </si>
  <si>
    <t>Cyber Ins</t>
  </si>
  <si>
    <t>Financial Services Ins</t>
  </si>
  <si>
    <t>92400322  5040 - Property Insurance Exp - Gas</t>
  </si>
  <si>
    <t xml:space="preserve">  Date:                     2/22/2018</t>
  </si>
  <si>
    <t>92500602  1116 - Liability Insurance - Common</t>
  </si>
  <si>
    <t>12/1/17 - 12/1/18</t>
  </si>
  <si>
    <t>Chubb Excess GL</t>
  </si>
  <si>
    <t>XL/Liberty Crime</t>
  </si>
  <si>
    <t>5/1/18 - 5/1/19</t>
  </si>
  <si>
    <t>Zurich Fiduciary (primary)</t>
  </si>
  <si>
    <t>Travelers Fiduciary (excess)</t>
  </si>
  <si>
    <r>
      <t xml:space="preserve">HPP Fiduciary </t>
    </r>
    <r>
      <rPr>
        <sz val="10"/>
        <color rgb="FFFF0000"/>
        <rFont val="Arial"/>
        <family val="2"/>
      </rPr>
      <t>(not renewed)</t>
    </r>
  </si>
  <si>
    <t>Workers comp Primary</t>
  </si>
  <si>
    <t>12/1/17 - 12/01/18</t>
  </si>
  <si>
    <t>Workers comp Statutory</t>
  </si>
  <si>
    <t>Cyber Primary (Beazley)</t>
  </si>
  <si>
    <t>Cyber Excess (AIG)</t>
  </si>
  <si>
    <t>1/1/18 - 1/1/19</t>
  </si>
  <si>
    <t>1/1/18 -12/31/18</t>
  </si>
  <si>
    <r>
      <t>Colstrip 3&amp;4 Auto</t>
    </r>
    <r>
      <rPr>
        <b/>
        <i/>
        <sz val="10"/>
        <rFont val="Arial"/>
        <family val="2"/>
      </rPr>
      <t xml:space="preserve"> (b)</t>
    </r>
  </si>
  <si>
    <t>April 1, 2017 - April 1, 2018 Insurance premiums Actuals</t>
  </si>
  <si>
    <t>April 1, 2018 - April 1, 2019 Insurance premiums Actuals</t>
  </si>
  <si>
    <t>Insured under Cargo/STP policy</t>
  </si>
  <si>
    <r>
      <t>Gas In storage (Jackson Prairie) (PSE 1/3 share)</t>
    </r>
    <r>
      <rPr>
        <sz val="8"/>
        <color indexed="12"/>
        <rFont val="Calibri"/>
        <family val="2"/>
      </rPr>
      <t xml:space="preserve"> (Note 2) book in order 92400322</t>
    </r>
  </si>
  <si>
    <t>2018-2019 Insurance Premium (including JP &amp; Sumas Pipeline premiums)</t>
  </si>
  <si>
    <t>Total @ 100%</t>
  </si>
  <si>
    <t>PSE's Share @ 49.85%</t>
  </si>
  <si>
    <t>Total Other</t>
  </si>
  <si>
    <t>Break down per Matt</t>
  </si>
  <si>
    <t>PSE's Share @ 49.85% (per Matt's)</t>
  </si>
  <si>
    <t>PSE's Share @ 50%</t>
  </si>
  <si>
    <t>Excess Liablility</t>
  </si>
  <si>
    <t>Jusristictional Inspections</t>
  </si>
  <si>
    <t>Townsite Property Tax</t>
  </si>
  <si>
    <t>Air Pollution Taxes</t>
  </si>
  <si>
    <t>TOTAL COSTS (100%)</t>
  </si>
  <si>
    <t>TOTAL COSTS PSE COSTS ( 50%, by month)</t>
  </si>
  <si>
    <t>PSE's Share @ 25%</t>
  </si>
  <si>
    <t xml:space="preserve">Townsite Property Tax </t>
  </si>
  <si>
    <t xml:space="preserve">Air Pollution Taxes </t>
  </si>
  <si>
    <t>TOTAL COSTS PSE COSTS ( 25%, by month)</t>
  </si>
  <si>
    <t>&lt;=Annualized policy Apr 2017 - April 2018</t>
  </si>
  <si>
    <t>For Twelve Months Ended December 31, 2018</t>
  </si>
  <si>
    <t>Liabilities</t>
  </si>
  <si>
    <t>2019 GENERAL RATE INCREASE</t>
  </si>
  <si>
    <t>Insurance Policy Apr 2018 - Apr 2019</t>
  </si>
  <si>
    <t>Amort. schedule insurance Apr 18- Apr 19 for orders 92400635, 92400634, 92400013, 92400308 (excluding J. Prairie and Sumas Pipeline)</t>
  </si>
  <si>
    <t>PROFORMA</t>
  </si>
  <si>
    <t>Business Interest Name</t>
  </si>
  <si>
    <t>Street Address</t>
  </si>
  <si>
    <t>City</t>
  </si>
  <si>
    <t>2014 TIV</t>
  </si>
  <si>
    <t>2014 rate</t>
  </si>
  <si>
    <t>2014 Premium</t>
  </si>
  <si>
    <t>2016 TIV</t>
  </si>
  <si>
    <t>2017rate</t>
  </si>
  <si>
    <t>2017 TIV</t>
  </si>
  <si>
    <t>2017 Premium Allocation</t>
  </si>
  <si>
    <t>2018 Rate</t>
  </si>
  <si>
    <t>2018 TIV</t>
  </si>
  <si>
    <t>2018 Premium Allocation</t>
  </si>
  <si>
    <t>Type</t>
  </si>
  <si>
    <t>PSE Office buildings</t>
  </si>
  <si>
    <t>PSE EAST building</t>
  </si>
  <si>
    <t>Communication Equipment</t>
  </si>
  <si>
    <t>2015 totals</t>
  </si>
  <si>
    <t>General Plant - Common</t>
  </si>
  <si>
    <t>Crystal Mountain</t>
  </si>
  <si>
    <t>Crystal Mountain Road</t>
  </si>
  <si>
    <t>Upper Baker Hydroelectric Project</t>
  </si>
  <si>
    <t>12 miles North of Concrete~Nation Forest Baker Lake Road</t>
  </si>
  <si>
    <t>Concrete</t>
  </si>
  <si>
    <t>Lower Baker Hydroelectric Project</t>
  </si>
  <si>
    <t>102 Main Street East and 99 Baker River Road~13 miles North of Concrete</t>
  </si>
  <si>
    <t>Snoqualmie Falls Hydroelectric Project</t>
  </si>
  <si>
    <t>37800 Southeast 69th Street</t>
  </si>
  <si>
    <t>Snoqualmie</t>
  </si>
  <si>
    <t>Hopkins Ridge Wind Facility</t>
  </si>
  <si>
    <t>5 miles Northeast of Dayton</t>
  </si>
  <si>
    <t>Dayton</t>
  </si>
  <si>
    <t>Wild Horse Wind and Solar Facility</t>
  </si>
  <si>
    <t>25901 Vantage Highway</t>
  </si>
  <si>
    <t>Ellensburg</t>
  </si>
  <si>
    <t>Lower Snake</t>
  </si>
  <si>
    <t>Glacier Battery Storage</t>
  </si>
  <si>
    <t>Substations - All</t>
  </si>
  <si>
    <t>Jackson Prairie Gas</t>
  </si>
  <si>
    <t>General Plant - Electric</t>
  </si>
  <si>
    <t>Goldendale Generating Facility</t>
  </si>
  <si>
    <t>600 Industrial Park Way</t>
  </si>
  <si>
    <t>Goldendale</t>
  </si>
  <si>
    <t>Sumas Generating Station</t>
  </si>
  <si>
    <t>601 West Front Street</t>
  </si>
  <si>
    <t>Sumas</t>
  </si>
  <si>
    <t>Sumas Pipeline</t>
  </si>
  <si>
    <t>Gas - RCL EDA</t>
  </si>
  <si>
    <t>Mint Farm Generating Station</t>
  </si>
  <si>
    <t>1200 Prudential Boulevard</t>
  </si>
  <si>
    <t>Longview</t>
  </si>
  <si>
    <t>Whitehorn Generating Station</t>
  </si>
  <si>
    <t>4570 and 4950 Brown Road</t>
  </si>
  <si>
    <t>Blaine</t>
  </si>
  <si>
    <t>Frederickson Generating Station</t>
  </si>
  <si>
    <t>4714 192nd Street East</t>
  </si>
  <si>
    <t>Spanaway</t>
  </si>
  <si>
    <t>Fredonia Generating Station</t>
  </si>
  <si>
    <t>1224 Ovenell Road and Best Road</t>
  </si>
  <si>
    <t>Mount Vernon</t>
  </si>
  <si>
    <t>Encogen Generating Station</t>
  </si>
  <si>
    <t>915 Cornwall Avenue</t>
  </si>
  <si>
    <t>Bellingham</t>
  </si>
  <si>
    <t>Ferndale Cogeneration</t>
  </si>
  <si>
    <t xml:space="preserve">Ferndale </t>
  </si>
  <si>
    <t>Gig Harbor LNG</t>
  </si>
  <si>
    <t xml:space="preserve">Swarr Station </t>
  </si>
  <si>
    <t>Other Gas Locations - Misc</t>
  </si>
  <si>
    <t>Clay Basin</t>
  </si>
  <si>
    <t>General Plant - Gas</t>
  </si>
  <si>
    <t>Jackson Prairie</t>
  </si>
  <si>
    <t>239 Zandecki Road</t>
  </si>
  <si>
    <t>Chehalis</t>
  </si>
  <si>
    <t>Gas in storage not insured on this policy</t>
  </si>
  <si>
    <t>Vernell (ICOM)</t>
  </si>
  <si>
    <t>Ardmore</t>
  </si>
  <si>
    <t>These values indicated below</t>
  </si>
  <si>
    <t>EDA RCL JP and  sumas Pipeline</t>
  </si>
  <si>
    <t>Common PSE Building</t>
  </si>
  <si>
    <t xml:space="preserve">Gas </t>
  </si>
  <si>
    <t>Total Premium</t>
  </si>
  <si>
    <t>92500636  1110 - Fiduciary Ins - Common</t>
  </si>
  <si>
    <t>92500637  1116 - General Liability Insur Common</t>
  </si>
  <si>
    <t>92500638  1116 - Marsh Insurance Broker Common</t>
  </si>
  <si>
    <t>92400631  1115 - King Air Hull Ins - Common</t>
  </si>
  <si>
    <t>92400632  1116 - Marsh Insurance Broker Common</t>
  </si>
  <si>
    <t>TY</t>
  </si>
  <si>
    <t>%'s</t>
  </si>
  <si>
    <t>(a)</t>
  </si>
  <si>
    <t>(b)</t>
  </si>
  <si>
    <t>(c)=(b)-(a)</t>
  </si>
  <si>
    <t>(d)</t>
  </si>
  <si>
    <t>(e)=(d)-(b)</t>
  </si>
  <si>
    <t xml:space="preserve">INCREASE (DECREASE) FIT </t>
  </si>
  <si>
    <t>92400308  1116 - Property Insurance Others - Gas</t>
  </si>
  <si>
    <t>92400013  1116 - Property Insurance Others - Electric</t>
  </si>
  <si>
    <t>92400634  1116 - Property Insurance Others - Common</t>
  </si>
  <si>
    <t>92400635  1116 - Property Insurance PSE Bldg -Common</t>
  </si>
  <si>
    <t>Automobile</t>
  </si>
  <si>
    <t>per month</t>
  </si>
  <si>
    <t>4/18-4/19</t>
  </si>
  <si>
    <t>1&amp;2</t>
  </si>
  <si>
    <t>3&amp;4</t>
  </si>
  <si>
    <t>Jan 19 - Mar 19 (3 mos.)</t>
  </si>
  <si>
    <t>Jan 18 - Mar 18 (3 mos.)</t>
  </si>
  <si>
    <t>PSE's monthly</t>
  </si>
  <si>
    <t>PSE's 50% share</t>
  </si>
  <si>
    <t>April 2018 Annualize</t>
  </si>
  <si>
    <t>Remove 2/3rd's Jackson Prairie</t>
  </si>
  <si>
    <t>apr 17-apr 18</t>
  </si>
  <si>
    <t>jan 18 - mar 18</t>
  </si>
  <si>
    <t>apr 18 - dec 18</t>
  </si>
  <si>
    <t># months</t>
  </si>
  <si>
    <t>Apr 18 - Dec 18 (9 mos.)</t>
  </si>
  <si>
    <t>11/1/2018 - 10/31/2019</t>
  </si>
  <si>
    <t>Per Month</t>
  </si>
  <si>
    <t>2019 Rate</t>
  </si>
  <si>
    <t>2019 TIV</t>
  </si>
  <si>
    <t>2019 Premium Allocation</t>
  </si>
  <si>
    <t>April 1, 2019 - April 1, 2020 Insurance premiums Actuals</t>
  </si>
  <si>
    <t>Amortizaiton Schedule</t>
  </si>
  <si>
    <t>2019 - 2020</t>
  </si>
  <si>
    <t>.1/3</t>
  </si>
  <si>
    <t>Monthly Amort.</t>
  </si>
  <si>
    <t>PSE Bldg - Common</t>
  </si>
  <si>
    <t>Restated Total</t>
  </si>
  <si>
    <t>Insurance Policy Apr 2019 - Apr 2020</t>
  </si>
  <si>
    <t>Other - Common</t>
  </si>
  <si>
    <t>CE</t>
  </si>
  <si>
    <t>CC</t>
  </si>
  <si>
    <t>Rate Year 12 ME December 31, 2019</t>
  </si>
  <si>
    <t>12/1/18 - 12/1/19</t>
  </si>
  <si>
    <t>12/1/18 - 12/01/19</t>
  </si>
  <si>
    <t>1/1/19 - 1/1/20</t>
  </si>
  <si>
    <t>Included in labor rates</t>
  </si>
  <si>
    <t>(b) Colstrip liability Insurance reflect PSE's share and includes Excess, GL, Cyber, and FINPRO</t>
  </si>
  <si>
    <t>PRO FORMA</t>
  </si>
  <si>
    <t xml:space="preserve"> 925 Orders are transferred to Balance Sheet.  Therefore, this order group needs to be allocated to O&amp;M</t>
  </si>
  <si>
    <t xml:space="preserve"> Policy Period</t>
  </si>
  <si>
    <t>Policy Premium</t>
  </si>
  <si>
    <t xml:space="preserve">Total PSE Property Insurance (Electric, Gas, and Common) </t>
  </si>
  <si>
    <t>4/1/18 - 4/1/19</t>
  </si>
  <si>
    <t>Less:</t>
  </si>
  <si>
    <t>PSE Gas</t>
  </si>
  <si>
    <t>PSE Production Plant - Reclass to Electric Section Below</t>
  </si>
  <si>
    <t>Total PSE Property other than generation plants - Common</t>
  </si>
  <si>
    <t>(R1)</t>
  </si>
  <si>
    <t>Common Allocated</t>
  </si>
  <si>
    <t>(R2) = (R1) * 60.81%</t>
  </si>
  <si>
    <t>(R3) = (R1) * 39.19%</t>
  </si>
  <si>
    <t>Electric Only:</t>
  </si>
  <si>
    <t xml:space="preserve">PSE Property Electric generation plants </t>
  </si>
  <si>
    <t>4/1/16 - 4/1/17</t>
  </si>
  <si>
    <t>(R4)</t>
  </si>
  <si>
    <t>Electric portion of Common</t>
  </si>
  <si>
    <t>(R2)</t>
  </si>
  <si>
    <t>Total Electric Property Insurance</t>
  </si>
  <si>
    <t>(R5) = (R2) + (R4)</t>
  </si>
  <si>
    <t>Gas only:</t>
  </si>
  <si>
    <t>(R6)</t>
  </si>
  <si>
    <t>Gas portion of Common</t>
  </si>
  <si>
    <t>(R8)</t>
  </si>
  <si>
    <t>Total Gas Property Insurance</t>
  </si>
  <si>
    <t>(R9) =(R6)+(R7)+(R8)</t>
  </si>
  <si>
    <t>PSE no longer has MT employees</t>
  </si>
  <si>
    <t>1/3 Ownership</t>
  </si>
  <si>
    <t>&lt;&lt;&lt;=ck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</si>
</sst>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_(&quot;$&quot;* #,##0_);_(&quot;$&quot;* \(#,##0\);_(&quot;$&quot;* &quot;-&quot;??_);_(@_)"/>
    <numFmt numFmtId="167" formatCode="#,##0;[Red]#,##0"/>
    <numFmt numFmtId="168" formatCode="#,##0.0000"/>
    <numFmt numFmtId="169" formatCode="_(&quot;$&quot;* #,##0.0000_);_(&quot;$&quot;* \(#,##0.0000\);_(&quot;$&quot;* &quot;-&quot;??_);_(@_)"/>
    <numFmt numFmtId="170" formatCode="&quot;$&quot;#,##0"/>
    <numFmt numFmtId="171" formatCode="_(* #,##0.0_);_(* \(#,##0.0\);_(* &quot;-&quot;??_);_(@_)"/>
    <numFmt numFmtId="172" formatCode="_(* #,##0.0000_);_(* \(#,##0.0000\);_(* &quot;-&quot;??_);_(@_)"/>
    <numFmt numFmtId="173" formatCode="_(* #,##0.0_);_(* \(#,##0.0\);_(* &quot;-&quot;?_);_(@_)"/>
    <numFmt numFmtId="174" formatCode="0.0000"/>
    <numFmt numFmtId="175" formatCode="0.000"/>
  </numFmts>
  <fonts count="7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i/>
      <sz val="10"/>
      <name val="Times New Roman"/>
      <family val="1"/>
    </font>
    <font>
      <i/>
      <sz val="10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u/>
      <sz val="11"/>
      <color indexed="8"/>
      <name val="Calibri"/>
      <family val="2"/>
    </font>
    <font>
      <sz val="11"/>
      <name val="Arial"/>
      <family val="2"/>
    </font>
    <font>
      <b/>
      <sz val="11"/>
      <name val="Arial"/>
      <family val="2"/>
    </font>
    <font>
      <b/>
      <sz val="8"/>
      <color indexed="8"/>
      <name val="Calibri"/>
      <family val="2"/>
    </font>
    <font>
      <sz val="8"/>
      <color indexed="8"/>
      <name val="Calibri"/>
      <family val="2"/>
    </font>
    <font>
      <b/>
      <u/>
      <sz val="12"/>
      <name val="Arial"/>
      <family val="2"/>
    </font>
    <font>
      <sz val="8"/>
      <color indexed="12"/>
      <name val="Calibri"/>
      <family val="2"/>
    </font>
    <font>
      <u val="singleAccounting"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sz val="11"/>
      <name val="Calibri"/>
      <family val="2"/>
      <scheme val="minor"/>
    </font>
    <font>
      <sz val="8"/>
      <color rgb="FF0000FF"/>
      <name val="Arial"/>
      <family val="2"/>
    </font>
    <font>
      <sz val="8"/>
      <color rgb="FF0000FF"/>
      <name val="Calibri"/>
      <family val="2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b/>
      <u/>
      <sz val="9"/>
      <color rgb="FF0000FF"/>
      <name val="Arial"/>
      <family val="2"/>
    </font>
    <font>
      <b/>
      <sz val="10"/>
      <color theme="0"/>
      <name val="Arial"/>
      <family val="2"/>
    </font>
    <font>
      <b/>
      <i/>
      <sz val="8"/>
      <name val="Arial"/>
      <family val="2"/>
    </font>
    <font>
      <u val="double"/>
      <sz val="11"/>
      <color indexed="8"/>
      <name val="Calibri"/>
      <family val="2"/>
    </font>
    <font>
      <sz val="8"/>
      <color rgb="FF0066FF"/>
      <name val="Calibri"/>
      <family val="2"/>
    </font>
    <font>
      <sz val="11"/>
      <color rgb="FFFF0000"/>
      <name val="Calibri"/>
      <family val="2"/>
    </font>
    <font>
      <b/>
      <u/>
      <sz val="11"/>
      <color rgb="FF0000FF"/>
      <name val="Calibri"/>
      <family val="2"/>
    </font>
    <font>
      <b/>
      <sz val="11"/>
      <color rgb="FF0000FF"/>
      <name val="Calibri"/>
      <family val="2"/>
    </font>
    <font>
      <u/>
      <sz val="10"/>
      <color rgb="FF0000FF"/>
      <name val="Arial"/>
      <family val="2"/>
    </font>
    <font>
      <b/>
      <u val="doubleAccounting"/>
      <sz val="10"/>
      <name val="Arial"/>
      <family val="2"/>
    </font>
    <font>
      <b/>
      <sz val="10"/>
      <color rgb="FFFF0000"/>
      <name val="Arial"/>
      <family val="2"/>
    </font>
    <font>
      <sz val="8"/>
      <color rgb="FFFF0000"/>
      <name val="Arial"/>
      <family val="2"/>
    </font>
    <font>
      <sz val="12"/>
      <color rgb="FFFF0000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66FF"/>
      <name val="Arial"/>
      <family val="2"/>
    </font>
    <font>
      <b/>
      <sz val="14"/>
      <color rgb="FFFF66FF"/>
      <name val="Arial"/>
      <family val="2"/>
    </font>
    <font>
      <b/>
      <sz val="11"/>
      <name val="Times New Roman"/>
      <family val="1"/>
    </font>
    <font>
      <b/>
      <sz val="8"/>
      <name val="Verdana"/>
      <family val="2"/>
    </font>
    <font>
      <sz val="8"/>
      <name val="Verdana"/>
      <family val="2"/>
    </font>
    <font>
      <b/>
      <sz val="10"/>
      <color rgb="FF0070C0"/>
      <name val="Arial"/>
      <family val="2"/>
    </font>
    <font>
      <b/>
      <sz val="14"/>
      <color rgb="FFFF0000"/>
      <name val="Calibri"/>
      <family val="2"/>
      <scheme val="minor"/>
    </font>
    <font>
      <sz val="10"/>
      <color theme="0" tint="-0.34998626667073579"/>
      <name val="Arial"/>
      <family val="2"/>
    </font>
    <font>
      <b/>
      <sz val="10"/>
      <color rgb="FF0000FF"/>
      <name val="Times New Roman"/>
      <family val="1"/>
    </font>
    <font>
      <b/>
      <u val="singleAccounting"/>
      <sz val="10"/>
      <color rgb="FF0000FF"/>
      <name val="Arial"/>
      <family val="2"/>
    </font>
    <font>
      <u val="singleAccounting"/>
      <sz val="10"/>
      <color rgb="FF0000FF"/>
      <name val="Arial"/>
      <family val="2"/>
    </font>
    <font>
      <b/>
      <u val="singleAccounting"/>
      <sz val="9"/>
      <color rgb="FF0000FF"/>
      <name val="Arial"/>
      <family val="2"/>
    </font>
    <font>
      <u val="singleAccounting"/>
      <sz val="9"/>
      <color rgb="FF0000FF"/>
      <name val="Arial"/>
      <family val="2"/>
    </font>
    <font>
      <sz val="10"/>
      <color rgb="FF00B050"/>
      <name val="Arial"/>
      <family val="2"/>
    </font>
    <font>
      <sz val="1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5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84">
    <xf numFmtId="0" fontId="0" fillId="0" borderId="0" xfId="0"/>
    <xf numFmtId="0" fontId="6" fillId="0" borderId="0" xfId="0" applyFont="1" applyFill="1" applyAlignment="1"/>
    <xf numFmtId="0" fontId="7" fillId="0" borderId="0" xfId="0" applyFont="1" applyFill="1" applyAlignment="1" applyProtection="1">
      <alignment horizontal="centerContinuous"/>
      <protection locked="0"/>
    </xf>
    <xf numFmtId="0" fontId="7" fillId="0" borderId="0" xfId="0" applyFont="1" applyFill="1" applyAlignment="1">
      <alignment horizontal="centerContinuous"/>
    </xf>
    <xf numFmtId="15" fontId="7" fillId="0" borderId="0" xfId="0" applyNumberFormat="1" applyFont="1" applyFill="1" applyAlignment="1">
      <alignment horizontal="centerContinuous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9" fontId="6" fillId="0" borderId="0" xfId="0" applyNumberFormat="1" applyFont="1" applyFill="1" applyAlignment="1">
      <alignment horizontal="center"/>
    </xf>
    <xf numFmtId="0" fontId="10" fillId="0" borderId="0" xfId="0" applyFont="1"/>
    <xf numFmtId="0" fontId="0" fillId="0" borderId="0" xfId="0" applyFill="1"/>
    <xf numFmtId="0" fontId="9" fillId="0" borderId="0" xfId="0" applyFont="1" applyFill="1" applyBorder="1" applyAlignment="1">
      <alignment horizontal="center"/>
    </xf>
    <xf numFmtId="164" fontId="9" fillId="0" borderId="0" xfId="0" applyNumberFormat="1" applyFont="1" applyFill="1" applyBorder="1"/>
    <xf numFmtId="43" fontId="0" fillId="0" borderId="0" xfId="0" applyNumberFormat="1"/>
    <xf numFmtId="42" fontId="7" fillId="0" borderId="5" xfId="0" applyNumberFormat="1" applyFont="1" applyFill="1" applyBorder="1" applyAlignment="1"/>
    <xf numFmtId="0" fontId="0" fillId="0" borderId="14" xfId="0" applyFill="1" applyBorder="1"/>
    <xf numFmtId="43" fontId="10" fillId="0" borderId="0" xfId="0" applyNumberFormat="1" applyFont="1"/>
    <xf numFmtId="43" fontId="0" fillId="0" borderId="0" xfId="0" applyNumberFormat="1" applyFont="1"/>
    <xf numFmtId="0" fontId="7" fillId="0" borderId="0" xfId="0" quotePrefix="1" applyFont="1" applyFill="1" applyAlignment="1">
      <alignment horizontal="centerContinuous"/>
    </xf>
    <xf numFmtId="15" fontId="7" fillId="0" borderId="0" xfId="0" quotePrefix="1" applyNumberFormat="1" applyFont="1" applyFill="1" applyAlignment="1">
      <alignment horizontal="centerContinuous"/>
    </xf>
    <xf numFmtId="0" fontId="8" fillId="0" borderId="0" xfId="0" applyFont="1" applyFill="1"/>
    <xf numFmtId="164" fontId="0" fillId="0" borderId="0" xfId="0" applyNumberFormat="1" applyFont="1"/>
    <xf numFmtId="43" fontId="0" fillId="0" borderId="3" xfId="0" applyNumberFormat="1" applyFont="1" applyFill="1" applyBorder="1"/>
    <xf numFmtId="43" fontId="0" fillId="0" borderId="16" xfId="0" applyNumberFormat="1" applyFont="1" applyFill="1" applyBorder="1"/>
    <xf numFmtId="0" fontId="13" fillId="0" borderId="0" xfId="0" applyFont="1" applyFill="1"/>
    <xf numFmtId="0" fontId="10" fillId="0" borderId="0" xfId="0" applyFont="1" applyFill="1"/>
    <xf numFmtId="0" fontId="10" fillId="0" borderId="27" xfId="0" applyFont="1" applyFill="1" applyBorder="1" applyAlignment="1">
      <alignment horizontal="center"/>
    </xf>
    <xf numFmtId="0" fontId="10" fillId="0" borderId="28" xfId="0" applyFont="1" applyFill="1" applyBorder="1" applyAlignment="1">
      <alignment horizontal="center"/>
    </xf>
    <xf numFmtId="10" fontId="10" fillId="0" borderId="28" xfId="0" applyNumberFormat="1" applyFont="1" applyFill="1" applyBorder="1" applyAlignment="1">
      <alignment horizontal="center"/>
    </xf>
    <xf numFmtId="10" fontId="10" fillId="0" borderId="29" xfId="0" applyNumberFormat="1" applyFont="1" applyFill="1" applyBorder="1" applyAlignment="1">
      <alignment horizontal="center"/>
    </xf>
    <xf numFmtId="0" fontId="10" fillId="0" borderId="30" xfId="0" applyFont="1" applyFill="1" applyBorder="1" applyAlignment="1">
      <alignment horizontal="center"/>
    </xf>
    <xf numFmtId="0" fontId="10" fillId="0" borderId="31" xfId="0" applyFont="1" applyFill="1" applyBorder="1" applyAlignment="1">
      <alignment horizontal="center"/>
    </xf>
    <xf numFmtId="0" fontId="10" fillId="0" borderId="32" xfId="0" applyFont="1" applyFill="1" applyBorder="1" applyAlignment="1">
      <alignment horizontal="center"/>
    </xf>
    <xf numFmtId="0" fontId="10" fillId="0" borderId="33" xfId="0" applyFont="1" applyFill="1" applyBorder="1" applyAlignment="1">
      <alignment horizontal="center"/>
    </xf>
    <xf numFmtId="0" fontId="10" fillId="0" borderId="22" xfId="0" applyFont="1" applyFill="1" applyBorder="1" applyAlignment="1">
      <alignment horizontal="center"/>
    </xf>
    <xf numFmtId="10" fontId="10" fillId="0" borderId="22" xfId="0" applyNumberFormat="1" applyFont="1" applyFill="1" applyBorder="1" applyAlignment="1">
      <alignment horizontal="center"/>
    </xf>
    <xf numFmtId="10" fontId="10" fillId="0" borderId="34" xfId="0" applyNumberFormat="1" applyFont="1" applyFill="1" applyBorder="1" applyAlignment="1">
      <alignment horizontal="center"/>
    </xf>
    <xf numFmtId="41" fontId="0" fillId="0" borderId="0" xfId="0" applyNumberFormat="1" applyFill="1"/>
    <xf numFmtId="0" fontId="0" fillId="0" borderId="0" xfId="0" applyAlignment="1">
      <alignment horizontal="right"/>
    </xf>
    <xf numFmtId="0" fontId="11" fillId="0" borderId="15" xfId="0" applyFont="1" applyBorder="1" applyAlignment="1">
      <alignment horizontal="right"/>
    </xf>
    <xf numFmtId="43" fontId="0" fillId="0" borderId="0" xfId="0" applyNumberFormat="1" applyFont="1" applyFill="1"/>
    <xf numFmtId="164" fontId="0" fillId="0" borderId="0" xfId="0" applyNumberFormat="1" applyFont="1" applyBorder="1"/>
    <xf numFmtId="0" fontId="40" fillId="0" borderId="0" xfId="0" applyFont="1"/>
    <xf numFmtId="42" fontId="10" fillId="0" borderId="5" xfId="0" applyNumberFormat="1" applyFont="1" applyFill="1" applyBorder="1" applyAlignment="1">
      <alignment horizontal="center"/>
    </xf>
    <xf numFmtId="0" fontId="11" fillId="0" borderId="12" xfId="0" applyFont="1" applyBorder="1" applyAlignment="1">
      <alignment horizontal="right"/>
    </xf>
    <xf numFmtId="0" fontId="12" fillId="0" borderId="10" xfId="0" applyFont="1" applyFill="1" applyBorder="1" applyAlignment="1">
      <alignment horizontal="right"/>
    </xf>
    <xf numFmtId="0" fontId="12" fillId="0" borderId="14" xfId="0" applyFont="1" applyFill="1" applyBorder="1" applyAlignment="1">
      <alignment horizontal="right"/>
    </xf>
    <xf numFmtId="0" fontId="29" fillId="0" borderId="0" xfId="0" applyFont="1" applyFill="1"/>
    <xf numFmtId="0" fontId="28" fillId="0" borderId="0" xfId="0" applyFont="1" applyFill="1"/>
    <xf numFmtId="0" fontId="37" fillId="0" borderId="15" xfId="0" applyFont="1" applyFill="1" applyBorder="1"/>
    <xf numFmtId="0" fontId="38" fillId="0" borderId="11" xfId="0" applyFont="1" applyFill="1" applyBorder="1" applyAlignment="1">
      <alignment horizontal="center"/>
    </xf>
    <xf numFmtId="17" fontId="39" fillId="0" borderId="11" xfId="0" applyNumberFormat="1" applyFont="1" applyFill="1" applyBorder="1"/>
    <xf numFmtId="17" fontId="39" fillId="0" borderId="12" xfId="0" applyNumberFormat="1" applyFont="1" applyFill="1" applyBorder="1"/>
    <xf numFmtId="164" fontId="28" fillId="0" borderId="0" xfId="0" applyNumberFormat="1" applyFont="1" applyFill="1" applyBorder="1"/>
    <xf numFmtId="164" fontId="34" fillId="0" borderId="0" xfId="0" applyNumberFormat="1" applyFont="1" applyFill="1" applyBorder="1"/>
    <xf numFmtId="164" fontId="34" fillId="0" borderId="13" xfId="0" applyNumberFormat="1" applyFont="1" applyFill="1" applyBorder="1"/>
    <xf numFmtId="0" fontId="28" fillId="0" borderId="14" xfId="0" applyFont="1" applyFill="1" applyBorder="1"/>
    <xf numFmtId="164" fontId="28" fillId="0" borderId="3" xfId="0" applyNumberFormat="1" applyFont="1" applyFill="1" applyBorder="1"/>
    <xf numFmtId="164" fontId="34" fillId="0" borderId="3" xfId="0" applyNumberFormat="1" applyFont="1" applyFill="1" applyBorder="1"/>
    <xf numFmtId="164" fontId="34" fillId="0" borderId="16" xfId="0" applyNumberFormat="1" applyFont="1" applyFill="1" applyBorder="1"/>
    <xf numFmtId="0" fontId="28" fillId="0" borderId="10" xfId="0" applyFont="1" applyFill="1" applyBorder="1"/>
    <xf numFmtId="0" fontId="29" fillId="0" borderId="10" xfId="0" applyFont="1" applyFill="1" applyBorder="1"/>
    <xf numFmtId="164" fontId="29" fillId="0" borderId="5" xfId="0" applyNumberFormat="1" applyFont="1" applyFill="1" applyBorder="1"/>
    <xf numFmtId="164" fontId="29" fillId="0" borderId="24" xfId="0" applyNumberFormat="1" applyFont="1" applyFill="1" applyBorder="1"/>
    <xf numFmtId="43" fontId="10" fillId="0" borderId="0" xfId="0" applyNumberFormat="1" applyFont="1" applyFill="1"/>
    <xf numFmtId="0" fontId="10" fillId="0" borderId="0" xfId="0" applyFont="1" applyAlignment="1"/>
    <xf numFmtId="0" fontId="5" fillId="0" borderId="0" xfId="0" applyFont="1"/>
    <xf numFmtId="0" fontId="17" fillId="0" borderId="0" xfId="0" applyFont="1" applyAlignment="1">
      <alignment horizontal="center"/>
    </xf>
    <xf numFmtId="0" fontId="5" fillId="0" borderId="0" xfId="0" applyFont="1"/>
    <xf numFmtId="0" fontId="5" fillId="0" borderId="15" xfId="0" applyFont="1" applyBorder="1"/>
    <xf numFmtId="0" fontId="5" fillId="0" borderId="10" xfId="0" applyFont="1" applyBorder="1"/>
    <xf numFmtId="164" fontId="5" fillId="0" borderId="0" xfId="0" applyNumberFormat="1" applyFont="1" applyBorder="1"/>
    <xf numFmtId="164" fontId="5" fillId="0" borderId="13" xfId="0" applyNumberFormat="1" applyFont="1" applyBorder="1"/>
    <xf numFmtId="0" fontId="10" fillId="0" borderId="14" xfId="0" applyFont="1" applyFill="1" applyBorder="1"/>
    <xf numFmtId="0" fontId="5" fillId="3" borderId="0" xfId="0" applyFont="1" applyFill="1"/>
    <xf numFmtId="43" fontId="5" fillId="0" borderId="0" xfId="0" applyNumberFormat="1" applyFont="1"/>
    <xf numFmtId="18" fontId="7" fillId="0" borderId="0" xfId="0" quotePrefix="1" applyNumberFormat="1" applyFont="1" applyFill="1" applyAlignment="1">
      <alignment horizontal="centerContinuous"/>
    </xf>
    <xf numFmtId="18" fontId="7" fillId="0" borderId="0" xfId="0" applyNumberFormat="1" applyFont="1" applyFill="1" applyAlignment="1">
      <alignment horizontal="centerContinuous"/>
    </xf>
    <xf numFmtId="0" fontId="28" fillId="0" borderId="9" xfId="0" applyFont="1" applyFill="1" applyBorder="1"/>
    <xf numFmtId="164" fontId="34" fillId="0" borderId="0" xfId="0" applyNumberFormat="1" applyFont="1" applyFill="1" applyBorder="1"/>
    <xf numFmtId="164" fontId="34" fillId="0" borderId="13" xfId="0" applyNumberFormat="1" applyFont="1" applyFill="1" applyBorder="1"/>
    <xf numFmtId="164" fontId="10" fillId="0" borderId="39" xfId="0" applyNumberFormat="1" applyFont="1" applyFill="1" applyBorder="1"/>
    <xf numFmtId="165" fontId="5" fillId="0" borderId="0" xfId="0" applyNumberFormat="1" applyFont="1"/>
    <xf numFmtId="0" fontId="17" fillId="0" borderId="0" xfId="0" applyFont="1"/>
    <xf numFmtId="164" fontId="5" fillId="0" borderId="0" xfId="0" applyNumberFormat="1" applyFont="1"/>
    <xf numFmtId="164" fontId="27" fillId="0" borderId="0" xfId="0" applyNumberFormat="1" applyFont="1"/>
    <xf numFmtId="164" fontId="5" fillId="0" borderId="0" xfId="0" applyNumberFormat="1" applyFont="1"/>
    <xf numFmtId="9" fontId="48" fillId="0" borderId="0" xfId="0" applyNumberFormat="1" applyFont="1" applyAlignment="1">
      <alignment horizontal="center"/>
    </xf>
    <xf numFmtId="164" fontId="49" fillId="0" borderId="0" xfId="0" applyNumberFormat="1" applyFont="1"/>
    <xf numFmtId="0" fontId="10" fillId="0" borderId="0" xfId="0" applyFont="1"/>
    <xf numFmtId="43" fontId="0" fillId="0" borderId="0" xfId="0" applyNumberFormat="1" applyFont="1" applyAlignment="1">
      <alignment vertical="top"/>
    </xf>
    <xf numFmtId="0" fontId="28" fillId="0" borderId="10" xfId="0" applyFont="1" applyFill="1" applyBorder="1"/>
    <xf numFmtId="9" fontId="5" fillId="0" borderId="0" xfId="0" applyNumberFormat="1" applyFont="1"/>
    <xf numFmtId="10" fontId="33" fillId="0" borderId="3" xfId="0" applyNumberFormat="1" applyFont="1" applyFill="1" applyBorder="1" applyAlignment="1">
      <alignment horizontal="right" vertical="center"/>
    </xf>
    <xf numFmtId="10" fontId="33" fillId="0" borderId="16" xfId="0" applyNumberFormat="1" applyFont="1" applyFill="1" applyBorder="1" applyAlignment="1">
      <alignment horizontal="right" vertical="center"/>
    </xf>
    <xf numFmtId="10" fontId="33" fillId="0" borderId="0" xfId="0" applyNumberFormat="1" applyFont="1" applyFill="1" applyBorder="1" applyAlignment="1">
      <alignment horizontal="center" vertical="center"/>
    </xf>
    <xf numFmtId="10" fontId="33" fillId="0" borderId="0" xfId="0" applyNumberFormat="1" applyFont="1" applyFill="1" applyBorder="1" applyAlignment="1">
      <alignment horizontal="right" vertical="center"/>
    </xf>
    <xf numFmtId="10" fontId="33" fillId="0" borderId="13" xfId="0" applyNumberFormat="1" applyFont="1" applyFill="1" applyBorder="1" applyAlignment="1">
      <alignment horizontal="right" vertical="center"/>
    </xf>
    <xf numFmtId="10" fontId="33" fillId="0" borderId="7" xfId="0" applyNumberFormat="1" applyFont="1" applyFill="1" applyBorder="1" applyAlignment="1">
      <alignment horizontal="right" vertical="center"/>
    </xf>
    <xf numFmtId="164" fontId="10" fillId="0" borderId="5" xfId="0" applyNumberFormat="1" applyFont="1" applyBorder="1"/>
    <xf numFmtId="10" fontId="33" fillId="0" borderId="21" xfId="0" applyNumberFormat="1" applyFont="1" applyFill="1" applyBorder="1" applyAlignment="1">
      <alignment horizontal="right" vertical="center"/>
    </xf>
    <xf numFmtId="41" fontId="0" fillId="0" borderId="0" xfId="0" applyNumberFormat="1"/>
    <xf numFmtId="0" fontId="51" fillId="0" borderId="0" xfId="0" applyFont="1"/>
    <xf numFmtId="164" fontId="51" fillId="0" borderId="0" xfId="0" applyNumberFormat="1" applyFont="1"/>
    <xf numFmtId="0" fontId="5" fillId="0" borderId="0" xfId="0" applyFont="1"/>
    <xf numFmtId="0" fontId="0" fillId="0" borderId="10" xfId="0" applyBorder="1"/>
    <xf numFmtId="0" fontId="0" fillId="0" borderId="0" xfId="0" applyBorder="1"/>
    <xf numFmtId="0" fontId="0" fillId="0" borderId="13" xfId="0" applyBorder="1"/>
    <xf numFmtId="0" fontId="0" fillId="0" borderId="15" xfId="0" applyBorder="1"/>
    <xf numFmtId="42" fontId="10" fillId="0" borderId="18" xfId="0" applyNumberFormat="1" applyFont="1" applyBorder="1" applyAlignment="1">
      <alignment wrapText="1"/>
    </xf>
    <xf numFmtId="0" fontId="10" fillId="0" borderId="18" xfId="0" applyFont="1" applyBorder="1" applyAlignment="1">
      <alignment horizontal="center"/>
    </xf>
    <xf numFmtId="41" fontId="10" fillId="0" borderId="18" xfId="0" applyNumberFormat="1" applyFont="1" applyBorder="1" applyAlignment="1">
      <alignment horizontal="center"/>
    </xf>
    <xf numFmtId="0" fontId="0" fillId="0" borderId="12" xfId="0" applyBorder="1"/>
    <xf numFmtId="0" fontId="0" fillId="0" borderId="10" xfId="0" applyBorder="1" applyAlignment="1">
      <alignment horizontal="left"/>
    </xf>
    <xf numFmtId="41" fontId="0" fillId="0" borderId="0" xfId="0" applyNumberFormat="1" applyBorder="1"/>
    <xf numFmtId="164" fontId="0" fillId="0" borderId="0" xfId="0" applyNumberFormat="1" applyBorder="1"/>
    <xf numFmtId="0" fontId="10" fillId="0" borderId="10" xfId="0" applyFont="1" applyBorder="1"/>
    <xf numFmtId="0" fontId="51" fillId="0" borderId="10" xfId="0" applyFont="1" applyBorder="1" applyAlignment="1">
      <alignment horizontal="right"/>
    </xf>
    <xf numFmtId="41" fontId="51" fillId="0" borderId="0" xfId="0" applyNumberFormat="1" applyFont="1" applyBorder="1"/>
    <xf numFmtId="0" fontId="0" fillId="0" borderId="16" xfId="0" applyBorder="1"/>
    <xf numFmtId="41" fontId="0" fillId="0" borderId="13" xfId="0" applyNumberFormat="1" applyBorder="1"/>
    <xf numFmtId="0" fontId="41" fillId="0" borderId="0" xfId="0" applyFont="1" applyFill="1" applyAlignment="1"/>
    <xf numFmtId="0" fontId="10" fillId="0" borderId="0" xfId="0" applyFont="1" applyAlignment="1">
      <alignment horizontal="center"/>
    </xf>
    <xf numFmtId="0" fontId="5" fillId="0" borderId="0" xfId="0" applyFont="1" applyFill="1"/>
    <xf numFmtId="0" fontId="11" fillId="0" borderId="0" xfId="0" applyFont="1" applyFill="1" applyBorder="1" applyAlignment="1">
      <alignment horizontal="centerContinuous" vertical="center"/>
    </xf>
    <xf numFmtId="0" fontId="5" fillId="0" borderId="0" xfId="0" applyFont="1" applyFill="1" applyAlignment="1">
      <alignment horizontal="centerContinuous" vertical="center"/>
    </xf>
    <xf numFmtId="0" fontId="31" fillId="0" borderId="0" xfId="0" applyFont="1" applyFill="1"/>
    <xf numFmtId="0" fontId="5" fillId="0" borderId="0" xfId="0" applyFont="1" applyFill="1"/>
    <xf numFmtId="0" fontId="5" fillId="0" borderId="0" xfId="0" applyFont="1" applyFill="1" applyBorder="1"/>
    <xf numFmtId="0" fontId="5" fillId="0" borderId="0" xfId="0" applyFont="1" applyFill="1" applyBorder="1"/>
    <xf numFmtId="0" fontId="5" fillId="0" borderId="18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10" fontId="5" fillId="0" borderId="0" xfId="0" applyNumberFormat="1" applyFont="1" applyFill="1" applyBorder="1"/>
    <xf numFmtId="10" fontId="5" fillId="0" borderId="13" xfId="0" applyNumberFormat="1" applyFont="1" applyFill="1" applyBorder="1"/>
    <xf numFmtId="10" fontId="5" fillId="0" borderId="3" xfId="0" applyNumberFormat="1" applyFont="1" applyFill="1" applyBorder="1"/>
    <xf numFmtId="10" fontId="5" fillId="0" borderId="16" xfId="0" applyNumberFormat="1" applyFont="1" applyFill="1" applyBorder="1"/>
    <xf numFmtId="0" fontId="42" fillId="0" borderId="0" xfId="0" applyFont="1" applyFill="1"/>
    <xf numFmtId="0" fontId="31" fillId="0" borderId="0" xfId="0" applyFont="1"/>
    <xf numFmtId="0" fontId="25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10" fillId="0" borderId="2" xfId="0" applyFont="1" applyBorder="1" applyAlignment="1">
      <alignment vertical="top"/>
    </xf>
    <xf numFmtId="165" fontId="10" fillId="4" borderId="2" xfId="0" applyNumberFormat="1" applyFont="1" applyFill="1" applyBorder="1" applyAlignment="1">
      <alignment horizontal="center" vertical="top"/>
    </xf>
    <xf numFmtId="0" fontId="5" fillId="0" borderId="0" xfId="0" applyFont="1" applyAlignment="1">
      <alignment vertical="top"/>
    </xf>
    <xf numFmtId="43" fontId="0" fillId="0" borderId="0" xfId="0" applyNumberFormat="1" applyFont="1" applyFill="1" applyAlignment="1">
      <alignment vertical="top"/>
    </xf>
    <xf numFmtId="0" fontId="11" fillId="0" borderId="0" xfId="0" applyFont="1" applyAlignment="1">
      <alignment vertical="top"/>
    </xf>
    <xf numFmtId="0" fontId="10" fillId="0" borderId="0" xfId="0" applyFont="1" applyAlignment="1">
      <alignment horizontal="left" vertical="top"/>
    </xf>
    <xf numFmtId="43" fontId="10" fillId="0" borderId="2" xfId="0" applyNumberFormat="1" applyFont="1" applyFill="1" applyBorder="1" applyAlignment="1">
      <alignment vertical="top"/>
    </xf>
    <xf numFmtId="0" fontId="10" fillId="0" borderId="0" xfId="0" applyFont="1" applyAlignment="1">
      <alignment vertical="top"/>
    </xf>
    <xf numFmtId="43" fontId="10" fillId="4" borderId="5" xfId="0" applyNumberFormat="1" applyFont="1" applyFill="1" applyBorder="1" applyAlignment="1">
      <alignment vertical="top"/>
    </xf>
    <xf numFmtId="43" fontId="5" fillId="0" borderId="0" xfId="0" applyNumberFormat="1" applyFont="1" applyFill="1" applyAlignment="1">
      <alignment vertical="top"/>
    </xf>
    <xf numFmtId="43" fontId="5" fillId="0" borderId="0" xfId="0" applyNumberFormat="1" applyFont="1" applyAlignment="1">
      <alignment vertical="top"/>
    </xf>
    <xf numFmtId="0" fontId="5" fillId="0" borderId="0" xfId="0" quotePrefix="1" applyFont="1" applyAlignment="1">
      <alignment vertical="top"/>
    </xf>
    <xf numFmtId="0" fontId="54" fillId="0" borderId="0" xfId="0" applyFont="1" applyAlignment="1">
      <alignment vertical="top"/>
    </xf>
    <xf numFmtId="0" fontId="55" fillId="0" borderId="0" xfId="0" applyFont="1" applyAlignment="1">
      <alignment vertical="top"/>
    </xf>
    <xf numFmtId="0" fontId="55" fillId="0" borderId="0" xfId="0" applyFont="1"/>
    <xf numFmtId="0" fontId="54" fillId="0" borderId="2" xfId="0" applyFont="1" applyBorder="1" applyAlignment="1">
      <alignment vertical="top"/>
    </xf>
    <xf numFmtId="165" fontId="54" fillId="6" borderId="2" xfId="0" applyNumberFormat="1" applyFont="1" applyFill="1" applyBorder="1" applyAlignment="1">
      <alignment horizontal="center" vertical="top"/>
    </xf>
    <xf numFmtId="43" fontId="55" fillId="0" borderId="0" xfId="0" applyNumberFormat="1" applyFont="1" applyFill="1"/>
    <xf numFmtId="43" fontId="0" fillId="0" borderId="0" xfId="0" applyNumberFormat="1" applyFont="1"/>
    <xf numFmtId="43" fontId="5" fillId="0" borderId="0" xfId="0" applyNumberFormat="1" applyFont="1" applyFill="1"/>
    <xf numFmtId="43" fontId="54" fillId="0" borderId="0" xfId="0" applyNumberFormat="1" applyFont="1" applyFill="1" applyBorder="1" applyAlignment="1">
      <alignment vertical="top"/>
    </xf>
    <xf numFmtId="43" fontId="54" fillId="0" borderId="0" xfId="0" applyNumberFormat="1" applyFont="1" applyFill="1" applyAlignment="1">
      <alignment vertical="top"/>
    </xf>
    <xf numFmtId="43" fontId="55" fillId="0" borderId="0" xfId="0" applyNumberFormat="1" applyFont="1" applyAlignment="1">
      <alignment vertical="top"/>
    </xf>
    <xf numFmtId="0" fontId="55" fillId="0" borderId="0" xfId="0" applyFont="1"/>
    <xf numFmtId="43" fontId="0" fillId="0" borderId="0" xfId="0" applyNumberFormat="1" applyFont="1" applyAlignment="1">
      <alignment horizontal="right"/>
    </xf>
    <xf numFmtId="43" fontId="55" fillId="0" borderId="0" xfId="0" applyNumberFormat="1" applyFont="1" applyFill="1" applyAlignment="1">
      <alignment vertical="top"/>
    </xf>
    <xf numFmtId="43" fontId="55" fillId="0" borderId="0" xfId="0" applyNumberFormat="1" applyFont="1" applyFill="1" applyBorder="1"/>
    <xf numFmtId="43" fontId="55" fillId="0" borderId="0" xfId="0" applyNumberFormat="1" applyFont="1" applyFill="1" applyAlignment="1">
      <alignment horizontal="center"/>
    </xf>
    <xf numFmtId="0" fontId="55" fillId="0" borderId="0" xfId="0" applyFont="1"/>
    <xf numFmtId="0" fontId="55" fillId="0" borderId="0" xfId="0" applyFont="1" applyAlignment="1"/>
    <xf numFmtId="43" fontId="55" fillId="0" borderId="0" xfId="0" applyNumberFormat="1" applyFont="1"/>
    <xf numFmtId="43" fontId="0" fillId="0" borderId="0" xfId="0" applyNumberFormat="1" applyFont="1"/>
    <xf numFmtId="0" fontId="54" fillId="0" borderId="0" xfId="0" applyFont="1" applyFill="1"/>
    <xf numFmtId="43" fontId="54" fillId="0" borderId="5" xfId="0" applyNumberFormat="1" applyFont="1" applyFill="1" applyBorder="1" applyAlignment="1">
      <alignment vertical="top"/>
    </xf>
    <xf numFmtId="43" fontId="54" fillId="0" borderId="5" xfId="0" applyNumberFormat="1" applyFont="1" applyFill="1" applyBorder="1" applyAlignment="1">
      <alignment vertical="top"/>
    </xf>
    <xf numFmtId="43" fontId="54" fillId="0" borderId="0" xfId="0" applyNumberFormat="1" applyFont="1" applyFill="1" applyBorder="1" applyAlignment="1">
      <alignment vertical="top"/>
    </xf>
    <xf numFmtId="0" fontId="54" fillId="0" borderId="0" xfId="0" applyFont="1" applyFill="1" applyAlignment="1"/>
    <xf numFmtId="0" fontId="55" fillId="0" borderId="0" xfId="0" applyFont="1" applyFill="1"/>
    <xf numFmtId="43" fontId="54" fillId="0" borderId="5" xfId="0" applyNumberFormat="1" applyFont="1" applyBorder="1"/>
    <xf numFmtId="43" fontId="54" fillId="0" borderId="0" xfId="0" applyNumberFormat="1" applyFont="1" applyFill="1"/>
    <xf numFmtId="43" fontId="54" fillId="0" borderId="0" xfId="0" applyNumberFormat="1" applyFont="1"/>
    <xf numFmtId="164" fontId="0" fillId="0" borderId="0" xfId="0" applyNumberFormat="1" applyFont="1" applyFill="1"/>
    <xf numFmtId="43" fontId="55" fillId="0" borderId="0" xfId="0" applyNumberFormat="1" applyFont="1"/>
    <xf numFmtId="43" fontId="5" fillId="0" borderId="0" xfId="0" applyNumberFormat="1" applyFont="1"/>
    <xf numFmtId="164" fontId="5" fillId="0" borderId="6" xfId="0" applyNumberFormat="1" applyFont="1" applyBorder="1"/>
    <xf numFmtId="49" fontId="0" fillId="0" borderId="31" xfId="0" applyNumberFormat="1" applyFill="1" applyBorder="1" applyAlignment="1">
      <alignment horizontal="left"/>
    </xf>
    <xf numFmtId="164" fontId="0" fillId="0" borderId="31" xfId="0" applyNumberFormat="1" applyFont="1" applyFill="1" applyBorder="1"/>
    <xf numFmtId="0" fontId="58" fillId="0" borderId="0" xfId="0" applyFont="1" applyFill="1" applyAlignment="1">
      <alignment horizontal="center"/>
    </xf>
    <xf numFmtId="0" fontId="58" fillId="0" borderId="6" xfId="0" applyFont="1" applyFill="1" applyBorder="1" applyAlignment="1">
      <alignment horizontal="center"/>
    </xf>
    <xf numFmtId="0" fontId="58" fillId="0" borderId="0" xfId="0" applyFont="1" applyFill="1" applyBorder="1" applyAlignment="1">
      <alignment horizontal="center"/>
    </xf>
    <xf numFmtId="42" fontId="6" fillId="0" borderId="0" xfId="0" applyNumberFormat="1" applyFont="1" applyFill="1" applyBorder="1" applyAlignment="1" applyProtection="1">
      <protection locked="0"/>
    </xf>
    <xf numFmtId="41" fontId="6" fillId="0" borderId="0" xfId="0" applyNumberFormat="1" applyFont="1" applyFill="1" applyBorder="1" applyAlignment="1" applyProtection="1">
      <protection locked="0"/>
    </xf>
    <xf numFmtId="37" fontId="6" fillId="0" borderId="0" xfId="0" applyNumberFormat="1" applyFont="1" applyFill="1" applyBorder="1" applyAlignment="1" applyProtection="1">
      <protection locked="0"/>
    </xf>
    <xf numFmtId="0" fontId="6" fillId="0" borderId="0" xfId="0" applyFont="1" applyFill="1" applyBorder="1" applyAlignment="1"/>
    <xf numFmtId="0" fontId="14" fillId="0" borderId="0" xfId="0" applyFont="1" applyFill="1" applyBorder="1" applyAlignment="1"/>
    <xf numFmtId="0" fontId="0" fillId="0" borderId="0" xfId="0" applyFill="1" applyBorder="1"/>
    <xf numFmtId="41" fontId="14" fillId="0" borderId="0" xfId="0" applyNumberFormat="1" applyFont="1" applyFill="1" applyBorder="1" applyAlignment="1"/>
    <xf numFmtId="164" fontId="6" fillId="0" borderId="0" xfId="0" applyNumberFormat="1" applyFont="1" applyFill="1" applyBorder="1" applyAlignment="1" applyProtection="1">
      <protection locked="0"/>
    </xf>
    <xf numFmtId="42" fontId="6" fillId="0" borderId="2" xfId="0" applyNumberFormat="1" applyFont="1" applyFill="1" applyBorder="1" applyAlignment="1" applyProtection="1">
      <protection locked="0"/>
    </xf>
    <xf numFmtId="164" fontId="6" fillId="0" borderId="2" xfId="0" applyNumberFormat="1" applyFont="1" applyFill="1" applyBorder="1" applyAlignment="1" applyProtection="1">
      <protection locked="0"/>
    </xf>
    <xf numFmtId="0" fontId="5" fillId="0" borderId="0" xfId="0" applyFont="1" applyFill="1"/>
    <xf numFmtId="0" fontId="12" fillId="0" borderId="0" xfId="0" applyFont="1"/>
    <xf numFmtId="0" fontId="5" fillId="0" borderId="0" xfId="0" applyFont="1"/>
    <xf numFmtId="43" fontId="5" fillId="0" borderId="0" xfId="0" applyNumberFormat="1" applyFont="1"/>
    <xf numFmtId="0" fontId="10" fillId="7" borderId="4" xfId="0" applyFont="1" applyFill="1" applyBorder="1" applyAlignment="1">
      <alignment horizontal="center" vertical="center"/>
    </xf>
    <xf numFmtId="0" fontId="59" fillId="2" borderId="4" xfId="0" applyFont="1" applyFill="1" applyBorder="1" applyAlignment="1">
      <alignment horizontal="left"/>
    </xf>
    <xf numFmtId="0" fontId="59" fillId="2" borderId="4" xfId="0" applyFont="1" applyFill="1" applyBorder="1" applyAlignment="1">
      <alignment horizontal="center"/>
    </xf>
    <xf numFmtId="0" fontId="59" fillId="2" borderId="4" xfId="0" applyFont="1" applyFill="1" applyBorder="1" applyAlignment="1">
      <alignment horizontal="center" vertical="center" wrapText="1"/>
    </xf>
    <xf numFmtId="0" fontId="59" fillId="5" borderId="4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wrapText="1"/>
    </xf>
    <xf numFmtId="0" fontId="10" fillId="7" borderId="4" xfId="0" applyFont="1" applyFill="1" applyBorder="1" applyAlignment="1">
      <alignment horizontal="center" wrapText="1"/>
    </xf>
    <xf numFmtId="0" fontId="60" fillId="8" borderId="4" xfId="0" applyFont="1" applyFill="1" applyBorder="1" applyAlignment="1">
      <alignment horizontal="right"/>
    </xf>
    <xf numFmtId="3" fontId="60" fillId="9" borderId="4" xfId="0" applyNumberFormat="1" applyFont="1" applyFill="1" applyBorder="1" applyAlignment="1">
      <alignment horizontal="right"/>
    </xf>
    <xf numFmtId="168" fontId="60" fillId="9" borderId="4" xfId="0" applyNumberFormat="1" applyFont="1" applyFill="1" applyBorder="1" applyAlignment="1">
      <alignment horizontal="right"/>
    </xf>
    <xf numFmtId="3" fontId="60" fillId="0" borderId="4" xfId="0" applyNumberFormat="1" applyFont="1" applyFill="1" applyBorder="1"/>
    <xf numFmtId="168" fontId="60" fillId="0" borderId="4" xfId="0" applyNumberFormat="1" applyFont="1" applyBorder="1"/>
    <xf numFmtId="44" fontId="60" fillId="0" borderId="4" xfId="0" applyNumberFormat="1" applyFont="1" applyBorder="1"/>
    <xf numFmtId="44" fontId="60" fillId="0" borderId="4" xfId="0" applyNumberFormat="1" applyFont="1" applyFill="1" applyBorder="1"/>
    <xf numFmtId="169" fontId="60" fillId="0" borderId="4" xfId="0" applyNumberFormat="1" applyFont="1" applyFill="1" applyBorder="1"/>
    <xf numFmtId="0" fontId="5" fillId="0" borderId="4" xfId="0" applyFont="1" applyBorder="1"/>
    <xf numFmtId="0" fontId="15" fillId="0" borderId="4" xfId="0" applyFont="1" applyBorder="1"/>
    <xf numFmtId="0" fontId="12" fillId="0" borderId="4" xfId="0" applyFont="1" applyBorder="1"/>
    <xf numFmtId="3" fontId="5" fillId="10" borderId="4" xfId="0" applyNumberFormat="1" applyFont="1" applyFill="1" applyBorder="1"/>
    <xf numFmtId="0" fontId="5" fillId="10" borderId="4" xfId="0" applyFont="1" applyFill="1" applyBorder="1"/>
    <xf numFmtId="4" fontId="60" fillId="0" borderId="4" xfId="0" applyNumberFormat="1" applyFont="1" applyBorder="1"/>
    <xf numFmtId="3" fontId="60" fillId="0" borderId="4" xfId="0" applyNumberFormat="1" applyFont="1" applyBorder="1"/>
    <xf numFmtId="164" fontId="60" fillId="0" borderId="4" xfId="0" applyNumberFormat="1" applyFont="1" applyFill="1" applyBorder="1"/>
    <xf numFmtId="0" fontId="5" fillId="0" borderId="0" xfId="0" applyFont="1" applyBorder="1"/>
    <xf numFmtId="164" fontId="18" fillId="0" borderId="0" xfId="0" applyNumberFormat="1" applyFont="1" applyFill="1" applyBorder="1" applyAlignment="1">
      <alignment horizontal="center" vertical="top"/>
    </xf>
    <xf numFmtId="43" fontId="18" fillId="0" borderId="0" xfId="0" applyNumberFormat="1" applyFont="1" applyFill="1" applyBorder="1" applyAlignment="1">
      <alignment horizontal="center" vertical="top"/>
    </xf>
    <xf numFmtId="0" fontId="5" fillId="10" borderId="4" xfId="0" applyFont="1" applyFill="1" applyBorder="1"/>
    <xf numFmtId="164" fontId="18" fillId="0" borderId="0" xfId="0" applyNumberFormat="1" applyFont="1" applyFill="1" applyBorder="1" applyAlignment="1">
      <alignment horizontal="right" vertical="top"/>
    </xf>
    <xf numFmtId="43" fontId="18" fillId="0" borderId="0" xfId="0" applyNumberFormat="1" applyFont="1" applyFill="1" applyBorder="1" applyAlignment="1">
      <alignment horizontal="right" vertical="top"/>
    </xf>
    <xf numFmtId="0" fontId="5" fillId="0" borderId="4" xfId="0" applyFont="1" applyFill="1" applyBorder="1"/>
    <xf numFmtId="164" fontId="18" fillId="0" borderId="0" xfId="0" applyNumberFormat="1" applyFont="1" applyFill="1" applyBorder="1" applyAlignment="1">
      <alignment vertical="top"/>
    </xf>
    <xf numFmtId="43" fontId="18" fillId="0" borderId="0" xfId="0" applyNumberFormat="1" applyFont="1" applyFill="1" applyBorder="1" applyAlignment="1">
      <alignment vertical="top"/>
    </xf>
    <xf numFmtId="43" fontId="5" fillId="0" borderId="0" xfId="0" applyNumberFormat="1" applyFont="1" applyBorder="1"/>
    <xf numFmtId="166" fontId="60" fillId="0" borderId="4" xfId="0" applyNumberFormat="1" applyFont="1" applyBorder="1"/>
    <xf numFmtId="166" fontId="60" fillId="0" borderId="4" xfId="0" applyNumberFormat="1" applyFont="1" applyFill="1" applyBorder="1"/>
    <xf numFmtId="164" fontId="60" fillId="10" borderId="4" xfId="0" applyNumberFormat="1" applyFont="1" applyFill="1" applyBorder="1"/>
    <xf numFmtId="166" fontId="59" fillId="0" borderId="4" xfId="0" applyNumberFormat="1" applyFont="1" applyBorder="1"/>
    <xf numFmtId="166" fontId="5" fillId="0" borderId="0" xfId="0" applyNumberFormat="1" applyFont="1"/>
    <xf numFmtId="43" fontId="5" fillId="0" borderId="4" xfId="0" applyNumberFormat="1" applyFont="1" applyBorder="1"/>
    <xf numFmtId="44" fontId="5" fillId="0" borderId="4" xfId="0" applyNumberFormat="1" applyFont="1" applyBorder="1"/>
    <xf numFmtId="43" fontId="5" fillId="0" borderId="43" xfId="0" applyNumberFormat="1" applyFont="1" applyBorder="1"/>
    <xf numFmtId="43" fontId="10" fillId="0" borderId="44" xfId="0" applyNumberFormat="1" applyFont="1" applyBorder="1"/>
    <xf numFmtId="43" fontId="10" fillId="0" borderId="4" xfId="0" applyNumberFormat="1" applyFont="1" applyBorder="1"/>
    <xf numFmtId="44" fontId="10" fillId="0" borderId="4" xfId="0" applyNumberFormat="1" applyFont="1" applyBorder="1"/>
    <xf numFmtId="43" fontId="10" fillId="0" borderId="45" xfId="0" applyNumberFormat="1" applyFont="1" applyBorder="1"/>
    <xf numFmtId="44" fontId="5" fillId="0" borderId="0" xfId="0" applyNumberFormat="1" applyFont="1"/>
    <xf numFmtId="164" fontId="0" fillId="0" borderId="0" xfId="0" applyNumberFormat="1" applyFont="1" applyFill="1" applyBorder="1"/>
    <xf numFmtId="41" fontId="0" fillId="0" borderId="0" xfId="0" applyNumberFormat="1" applyFill="1" applyBorder="1"/>
    <xf numFmtId="164" fontId="5" fillId="0" borderId="6" xfId="0" applyNumberFormat="1" applyFont="1" applyFill="1" applyBorder="1"/>
    <xf numFmtId="41" fontId="5" fillId="0" borderId="6" xfId="0" applyNumberFormat="1" applyFont="1" applyFill="1" applyBorder="1"/>
    <xf numFmtId="164" fontId="5" fillId="0" borderId="0" xfId="0" applyNumberFormat="1" applyFont="1" applyFill="1"/>
    <xf numFmtId="164" fontId="5" fillId="0" borderId="0" xfId="0" applyNumberFormat="1" applyFont="1" applyFill="1" applyBorder="1"/>
    <xf numFmtId="0" fontId="10" fillId="0" borderId="0" xfId="0" applyFont="1" applyBorder="1"/>
    <xf numFmtId="171" fontId="55" fillId="0" borderId="0" xfId="0" applyNumberFormat="1" applyFont="1"/>
    <xf numFmtId="0" fontId="61" fillId="0" borderId="5" xfId="0" applyFont="1" applyBorder="1" applyAlignment="1">
      <alignment horizontal="right"/>
    </xf>
    <xf numFmtId="43" fontId="61" fillId="0" borderId="5" xfId="0" applyNumberFormat="1" applyFont="1" applyBorder="1"/>
    <xf numFmtId="164" fontId="31" fillId="0" borderId="0" xfId="0" applyNumberFormat="1" applyFont="1"/>
    <xf numFmtId="0" fontId="11" fillId="0" borderId="0" xfId="0" quotePrefix="1" applyFont="1" applyFill="1" applyAlignment="1">
      <alignment vertical="top"/>
    </xf>
    <xf numFmtId="0" fontId="5" fillId="0" borderId="0" xfId="0" applyFont="1" applyFill="1" applyAlignment="1">
      <alignment vertical="top"/>
    </xf>
    <xf numFmtId="0" fontId="5" fillId="0" borderId="0" xfId="0" quotePrefix="1" applyFont="1" applyFill="1" applyAlignment="1">
      <alignment vertical="top"/>
    </xf>
    <xf numFmtId="0" fontId="5" fillId="0" borderId="0" xfId="0" applyFont="1" applyFill="1" applyAlignment="1">
      <alignment vertical="top"/>
    </xf>
    <xf numFmtId="0" fontId="10" fillId="0" borderId="0" xfId="0" applyFont="1" applyFill="1" applyAlignment="1">
      <alignment vertical="top"/>
    </xf>
    <xf numFmtId="9" fontId="6" fillId="0" borderId="0" xfId="0" applyNumberFormat="1" applyFont="1" applyFill="1" applyAlignment="1">
      <alignment horizontal="left"/>
    </xf>
    <xf numFmtId="164" fontId="7" fillId="0" borderId="5" xfId="0" applyNumberFormat="1" applyFont="1" applyFill="1" applyBorder="1" applyAlignment="1"/>
    <xf numFmtId="164" fontId="5" fillId="0" borderId="31" xfId="0" applyNumberFormat="1" applyFont="1" applyFill="1" applyBorder="1"/>
    <xf numFmtId="0" fontId="62" fillId="0" borderId="0" xfId="0" applyFont="1" applyFill="1"/>
    <xf numFmtId="10" fontId="33" fillId="0" borderId="6" xfId="0" applyNumberFormat="1" applyFont="1" applyBorder="1" applyAlignment="1">
      <alignment horizontal="center"/>
    </xf>
    <xf numFmtId="10" fontId="33" fillId="0" borderId="23" xfId="0" applyNumberFormat="1" applyFont="1" applyBorder="1" applyAlignment="1">
      <alignment horizontal="center"/>
    </xf>
    <xf numFmtId="0" fontId="63" fillId="0" borderId="0" xfId="0" applyFont="1" applyFill="1"/>
    <xf numFmtId="0" fontId="34" fillId="0" borderId="10" xfId="0" applyFont="1" applyFill="1" applyBorder="1"/>
    <xf numFmtId="164" fontId="28" fillId="0" borderId="47" xfId="0" applyNumberFormat="1" applyFont="1" applyFill="1" applyBorder="1"/>
    <xf numFmtId="164" fontId="0" fillId="0" borderId="46" xfId="0" applyNumberFormat="1" applyFont="1" applyFill="1" applyBorder="1"/>
    <xf numFmtId="49" fontId="0" fillId="0" borderId="48" xfId="0" applyNumberFormat="1" applyFill="1" applyBorder="1" applyAlignment="1">
      <alignment horizontal="left"/>
    </xf>
    <xf numFmtId="164" fontId="28" fillId="0" borderId="31" xfId="0" applyNumberFormat="1" applyFont="1" applyFill="1" applyBorder="1"/>
    <xf numFmtId="164" fontId="28" fillId="0" borderId="46" xfId="0" applyNumberFormat="1" applyFont="1" applyFill="1" applyBorder="1"/>
    <xf numFmtId="0" fontId="38" fillId="0" borderId="31" xfId="0" applyFont="1" applyFill="1" applyBorder="1" applyAlignment="1">
      <alignment horizontal="center"/>
    </xf>
    <xf numFmtId="164" fontId="34" fillId="0" borderId="49" xfId="0" applyNumberFormat="1" applyFont="1" applyFill="1" applyBorder="1"/>
    <xf numFmtId="0" fontId="50" fillId="0" borderId="0" xfId="0" applyFont="1"/>
    <xf numFmtId="0" fontId="58" fillId="0" borderId="0" xfId="0" applyFont="1" applyFill="1" applyAlignment="1">
      <alignment horizontal="left"/>
    </xf>
    <xf numFmtId="0" fontId="22" fillId="0" borderId="6" xfId="0" applyFont="1" applyBorder="1" applyAlignment="1">
      <alignment horizontal="center"/>
    </xf>
    <xf numFmtId="0" fontId="0" fillId="0" borderId="0" xfId="0" applyAlignment="1">
      <alignment horizontal="centerContinuous"/>
    </xf>
    <xf numFmtId="0" fontId="64" fillId="0" borderId="0" xfId="0" applyFont="1" applyFill="1" applyAlignment="1" applyProtection="1">
      <alignment horizontal="centerContinuous"/>
      <protection locked="0"/>
    </xf>
    <xf numFmtId="164" fontId="10" fillId="0" borderId="0" xfId="0" applyNumberFormat="1" applyFont="1" applyBorder="1"/>
    <xf numFmtId="0" fontId="10" fillId="0" borderId="13" xfId="0" applyFont="1" applyBorder="1"/>
    <xf numFmtId="164" fontId="10" fillId="0" borderId="0" xfId="0" applyNumberFormat="1" applyFont="1" applyBorder="1"/>
    <xf numFmtId="0" fontId="25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10" fillId="0" borderId="2" xfId="0" applyFont="1" applyBorder="1" applyAlignment="1">
      <alignment vertical="top"/>
    </xf>
    <xf numFmtId="165" fontId="10" fillId="4" borderId="2" xfId="0" applyNumberFormat="1" applyFont="1" applyFill="1" applyBorder="1" applyAlignment="1">
      <alignment horizontal="center" vertical="top"/>
    </xf>
    <xf numFmtId="0" fontId="5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vertical="top"/>
    </xf>
    <xf numFmtId="43" fontId="5" fillId="0" borderId="0" xfId="0" applyNumberFormat="1" applyFont="1" applyFill="1" applyAlignment="1">
      <alignment vertical="top"/>
    </xf>
    <xf numFmtId="43" fontId="5" fillId="0" borderId="0" xfId="0" applyNumberFormat="1" applyFont="1" applyAlignment="1">
      <alignment vertical="top"/>
    </xf>
    <xf numFmtId="164" fontId="65" fillId="0" borderId="0" xfId="0" applyNumberFormat="1" applyFont="1" applyBorder="1"/>
    <xf numFmtId="164" fontId="66" fillId="0" borderId="0" xfId="0" applyNumberFormat="1" applyFont="1" applyBorder="1"/>
    <xf numFmtId="43" fontId="0" fillId="0" borderId="0" xfId="0" applyNumberFormat="1" applyBorder="1"/>
    <xf numFmtId="41" fontId="0" fillId="0" borderId="6" xfId="0" applyNumberFormat="1" applyFill="1" applyBorder="1"/>
    <xf numFmtId="164" fontId="51" fillId="0" borderId="0" xfId="0" applyNumberFormat="1" applyFont="1" applyBorder="1"/>
    <xf numFmtId="164" fontId="66" fillId="0" borderId="0" xfId="0" applyNumberFormat="1" applyFont="1" applyFill="1" applyBorder="1"/>
    <xf numFmtId="41" fontId="10" fillId="0" borderId="0" xfId="0" applyNumberFormat="1" applyFont="1" applyFill="1" applyBorder="1"/>
    <xf numFmtId="164" fontId="63" fillId="0" borderId="0" xfId="0" applyNumberFormat="1" applyFont="1" applyFill="1"/>
    <xf numFmtId="43" fontId="0" fillId="0" borderId="0" xfId="0" applyNumberFormat="1" applyFont="1" applyBorder="1"/>
    <xf numFmtId="164" fontId="0" fillId="0" borderId="6" xfId="0" applyNumberFormat="1" applyBorder="1"/>
    <xf numFmtId="0" fontId="0" fillId="0" borderId="0" xfId="0"/>
    <xf numFmtId="43" fontId="0" fillId="0" borderId="0" xfId="0" applyNumberFormat="1" applyFont="1"/>
    <xf numFmtId="164" fontId="0" fillId="0" borderId="0" xfId="0" applyNumberFormat="1" applyFont="1"/>
    <xf numFmtId="164" fontId="10" fillId="0" borderId="0" xfId="0" applyNumberFormat="1" applyFont="1" applyFill="1" applyBorder="1"/>
    <xf numFmtId="164" fontId="0" fillId="0" borderId="0" xfId="0" applyNumberFormat="1" applyFont="1" applyBorder="1"/>
    <xf numFmtId="0" fontId="0" fillId="0" borderId="0" xfId="0" applyBorder="1"/>
    <xf numFmtId="0" fontId="0" fillId="0" borderId="13" xfId="0" applyBorder="1"/>
    <xf numFmtId="41" fontId="0" fillId="0" borderId="0" xfId="0" applyNumberFormat="1" applyBorder="1"/>
    <xf numFmtId="164" fontId="0" fillId="0" borderId="0" xfId="0" applyNumberFormat="1" applyBorder="1"/>
    <xf numFmtId="0" fontId="10" fillId="0" borderId="10" xfId="0" applyFont="1" applyBorder="1"/>
    <xf numFmtId="0" fontId="51" fillId="0" borderId="10" xfId="0" applyFont="1" applyBorder="1" applyAlignment="1">
      <alignment horizontal="right"/>
    </xf>
    <xf numFmtId="165" fontId="10" fillId="4" borderId="2" xfId="0" applyNumberFormat="1" applyFont="1" applyFill="1" applyBorder="1" applyAlignment="1">
      <alignment horizontal="center" vertical="top"/>
    </xf>
    <xf numFmtId="43" fontId="0" fillId="0" borderId="0" xfId="0" applyNumberFormat="1" applyFont="1" applyFill="1" applyAlignment="1">
      <alignment vertical="top"/>
    </xf>
    <xf numFmtId="43" fontId="5" fillId="0" borderId="0" xfId="0" applyNumberFormat="1" applyFont="1" applyAlignment="1">
      <alignment vertical="top"/>
    </xf>
    <xf numFmtId="164" fontId="21" fillId="0" borderId="13" xfId="0" applyNumberFormat="1" applyFont="1" applyFill="1" applyBorder="1"/>
    <xf numFmtId="41" fontId="0" fillId="0" borderId="0" xfId="0" applyNumberFormat="1" applyFill="1" applyBorder="1"/>
    <xf numFmtId="41" fontId="5" fillId="0" borderId="6" xfId="0" applyNumberFormat="1" applyFont="1" applyFill="1" applyBorder="1"/>
    <xf numFmtId="165" fontId="10" fillId="4" borderId="2" xfId="0" applyNumberFormat="1" applyFont="1" applyFill="1" applyBorder="1" applyAlignment="1">
      <alignment horizontal="center" vertical="top"/>
    </xf>
    <xf numFmtId="41" fontId="5" fillId="0" borderId="0" xfId="0" applyNumberFormat="1" applyFont="1" applyFill="1" applyBorder="1"/>
    <xf numFmtId="10" fontId="5" fillId="0" borderId="0" xfId="0" applyNumberFormat="1" applyFont="1"/>
    <xf numFmtId="0" fontId="10" fillId="0" borderId="0" xfId="0" applyFont="1" applyAlignment="1">
      <alignment vertical="top"/>
    </xf>
    <xf numFmtId="43" fontId="5" fillId="0" borderId="0" xfId="0" applyNumberFormat="1" applyFont="1" applyAlignment="1">
      <alignment vertical="top"/>
    </xf>
    <xf numFmtId="172" fontId="0" fillId="0" borderId="0" xfId="0" applyNumberFormat="1" applyBorder="1"/>
    <xf numFmtId="164" fontId="55" fillId="0" borderId="11" xfId="0" applyNumberFormat="1" applyFont="1" applyBorder="1"/>
    <xf numFmtId="164" fontId="55" fillId="0" borderId="12" xfId="0" applyNumberFormat="1" applyFont="1" applyBorder="1"/>
    <xf numFmtId="164" fontId="55" fillId="0" borderId="3" xfId="0" applyNumberFormat="1" applyFont="1" applyBorder="1"/>
    <xf numFmtId="164" fontId="55" fillId="0" borderId="16" xfId="0" applyNumberFormat="1" applyFont="1" applyBorder="1"/>
    <xf numFmtId="164" fontId="5" fillId="0" borderId="0" xfId="0" applyNumberFormat="1" applyFont="1" applyFill="1" applyBorder="1"/>
    <xf numFmtId="164" fontId="10" fillId="0" borderId="0" xfId="0" applyNumberFormat="1" applyFont="1" applyFill="1" applyBorder="1"/>
    <xf numFmtId="0" fontId="10" fillId="0" borderId="0" xfId="0" applyFont="1" applyFill="1" applyBorder="1"/>
    <xf numFmtId="164" fontId="10" fillId="0" borderId="0" xfId="0" applyNumberFormat="1" applyFont="1" applyFill="1" applyBorder="1"/>
    <xf numFmtId="164" fontId="67" fillId="0" borderId="0" xfId="0" applyNumberFormat="1" applyFont="1" applyBorder="1"/>
    <xf numFmtId="164" fontId="68" fillId="0" borderId="0" xfId="0" applyNumberFormat="1" applyFont="1" applyBorder="1"/>
    <xf numFmtId="164" fontId="68" fillId="0" borderId="0" xfId="0" applyNumberFormat="1" applyFont="1" applyFill="1" applyBorder="1"/>
    <xf numFmtId="165" fontId="10" fillId="0" borderId="0" xfId="0" applyNumberFormat="1" applyFont="1" applyFill="1" applyBorder="1" applyAlignment="1">
      <alignment horizontal="center" vertical="top"/>
    </xf>
    <xf numFmtId="43" fontId="0" fillId="0" borderId="0" xfId="0" applyNumberFormat="1" applyFont="1"/>
    <xf numFmtId="0" fontId="3" fillId="0" borderId="0" xfId="0" applyFont="1" applyFill="1" applyBorder="1" applyAlignment="1">
      <alignment vertical="top"/>
    </xf>
    <xf numFmtId="0" fontId="3" fillId="0" borderId="0" xfId="0" applyFont="1" applyBorder="1" applyAlignment="1">
      <alignment vertical="top"/>
    </xf>
    <xf numFmtId="0" fontId="13" fillId="0" borderId="0" xfId="0" applyFont="1" applyFill="1"/>
    <xf numFmtId="0" fontId="3" fillId="0" borderId="9" xfId="0" applyFont="1" applyFill="1" applyBorder="1" applyAlignment="1">
      <alignment vertical="top"/>
    </xf>
    <xf numFmtId="41" fontId="3" fillId="0" borderId="0" xfId="0" applyNumberFormat="1" applyFont="1" applyBorder="1" applyAlignment="1">
      <alignment vertical="top"/>
    </xf>
    <xf numFmtId="41" fontId="18" fillId="0" borderId="9" xfId="0" applyNumberFormat="1" applyFont="1" applyFill="1" applyBorder="1" applyAlignment="1">
      <alignment vertical="top"/>
    </xf>
    <xf numFmtId="0" fontId="3" fillId="0" borderId="0" xfId="0" applyFont="1" applyBorder="1" applyAlignment="1">
      <alignment vertical="top"/>
    </xf>
    <xf numFmtId="41" fontId="18" fillId="0" borderId="35" xfId="0" applyNumberFormat="1" applyFont="1" applyFill="1" applyBorder="1" applyAlignment="1">
      <alignment vertical="top"/>
    </xf>
    <xf numFmtId="41" fontId="18" fillId="0" borderId="38" xfId="0" applyNumberFormat="1" applyFont="1" applyFill="1" applyBorder="1" applyAlignment="1">
      <alignment vertical="top"/>
    </xf>
    <xf numFmtId="0" fontId="36" fillId="0" borderId="0" xfId="0" applyFont="1" applyFill="1" applyBorder="1" applyAlignment="1">
      <alignment vertical="top"/>
    </xf>
    <xf numFmtId="0" fontId="18" fillId="0" borderId="0" xfId="0" applyFont="1" applyFill="1" applyBorder="1" applyAlignment="1">
      <alignment vertical="top"/>
    </xf>
    <xf numFmtId="0" fontId="19" fillId="0" borderId="0" xfId="0" applyFont="1" applyFill="1" applyBorder="1" applyAlignment="1">
      <alignment vertical="top"/>
    </xf>
    <xf numFmtId="41" fontId="5" fillId="0" borderId="0" xfId="0" applyNumberFormat="1" applyFont="1"/>
    <xf numFmtId="44" fontId="3" fillId="0" borderId="0" xfId="0" applyNumberFormat="1" applyFont="1" applyBorder="1" applyAlignment="1">
      <alignment vertical="top"/>
    </xf>
    <xf numFmtId="164" fontId="3" fillId="0" borderId="0" xfId="0" applyNumberFormat="1" applyFont="1" applyBorder="1" applyAlignment="1">
      <alignment vertical="top"/>
    </xf>
    <xf numFmtId="164" fontId="0" fillId="0" borderId="0" xfId="0" applyNumberFormat="1"/>
    <xf numFmtId="0" fontId="10" fillId="0" borderId="0" xfId="0" applyFont="1" applyFill="1" applyBorder="1"/>
    <xf numFmtId="164" fontId="65" fillId="0" borderId="0" xfId="0" applyNumberFormat="1" applyFont="1" applyFill="1" applyBorder="1"/>
    <xf numFmtId="4" fontId="0" fillId="0" borderId="0" xfId="0" applyNumberFormat="1" applyBorder="1"/>
    <xf numFmtId="43" fontId="3" fillId="0" borderId="0" xfId="0" applyNumberFormat="1" applyFont="1" applyBorder="1" applyAlignment="1">
      <alignment vertical="top"/>
    </xf>
    <xf numFmtId="41" fontId="18" fillId="0" borderId="20" xfId="0" applyNumberFormat="1" applyFont="1" applyFill="1" applyBorder="1" applyAlignment="1">
      <alignment vertical="top"/>
    </xf>
    <xf numFmtId="164" fontId="0" fillId="0" borderId="6" xfId="0" applyNumberFormat="1" applyFill="1" applyBorder="1"/>
    <xf numFmtId="0" fontId="5" fillId="0" borderId="0" xfId="0" applyFont="1" applyBorder="1"/>
    <xf numFmtId="0" fontId="5" fillId="0" borderId="0" xfId="0" applyFont="1" applyBorder="1"/>
    <xf numFmtId="164" fontId="18" fillId="0" borderId="13" xfId="0" applyNumberFormat="1" applyFont="1" applyFill="1" applyBorder="1" applyAlignment="1">
      <alignment vertical="top"/>
    </xf>
    <xf numFmtId="164" fontId="18" fillId="0" borderId="26" xfId="0" applyNumberFormat="1" applyFont="1" applyFill="1" applyBorder="1" applyAlignment="1">
      <alignment vertical="top"/>
    </xf>
    <xf numFmtId="164" fontId="18" fillId="0" borderId="23" xfId="0" applyNumberFormat="1" applyFont="1" applyFill="1" applyBorder="1" applyAlignment="1">
      <alignment vertical="top"/>
    </xf>
    <xf numFmtId="14" fontId="23" fillId="0" borderId="42" xfId="0" applyNumberFormat="1" applyFont="1" applyFill="1" applyBorder="1" applyAlignment="1">
      <alignment vertical="top"/>
    </xf>
    <xf numFmtId="0" fontId="43" fillId="0" borderId="9" xfId="0" applyFont="1" applyFill="1" applyBorder="1" applyAlignment="1">
      <alignment vertical="top"/>
    </xf>
    <xf numFmtId="0" fontId="19" fillId="0" borderId="9" xfId="0" applyFont="1" applyFill="1" applyBorder="1" applyAlignment="1">
      <alignment vertical="top"/>
    </xf>
    <xf numFmtId="0" fontId="46" fillId="0" borderId="9" xfId="0" applyFont="1" applyFill="1" applyBorder="1" applyAlignment="1">
      <alignment vertical="top"/>
    </xf>
    <xf numFmtId="0" fontId="20" fillId="0" borderId="9" xfId="0" applyFont="1" applyFill="1" applyBorder="1" applyAlignment="1">
      <alignment vertical="top"/>
    </xf>
    <xf numFmtId="0" fontId="34" fillId="0" borderId="9" xfId="0" applyFont="1" applyFill="1" applyBorder="1"/>
    <xf numFmtId="0" fontId="3" fillId="0" borderId="9" xfId="0" applyFont="1" applyFill="1" applyBorder="1" applyAlignment="1">
      <alignment vertical="top"/>
    </xf>
    <xf numFmtId="0" fontId="18" fillId="0" borderId="9" xfId="0" applyFont="1" applyFill="1" applyBorder="1" applyAlignment="1">
      <alignment vertical="top"/>
    </xf>
    <xf numFmtId="0" fontId="47" fillId="0" borderId="9" xfId="0" applyFont="1" applyFill="1" applyBorder="1" applyAlignment="1">
      <alignment vertical="top"/>
    </xf>
    <xf numFmtId="0" fontId="3" fillId="0" borderId="20" xfId="0" applyFont="1" applyFill="1" applyBorder="1" applyAlignment="1">
      <alignment vertical="top"/>
    </xf>
    <xf numFmtId="164" fontId="5" fillId="0" borderId="0" xfId="0" applyNumberFormat="1" applyFont="1" applyFill="1" applyBorder="1"/>
    <xf numFmtId="0" fontId="5" fillId="0" borderId="0" xfId="0" applyFont="1" applyAlignment="1">
      <alignment horizontal="center"/>
    </xf>
    <xf numFmtId="0" fontId="10" fillId="0" borderId="10" xfId="0" applyFont="1" applyFill="1" applyBorder="1"/>
    <xf numFmtId="164" fontId="55" fillId="0" borderId="0" xfId="0" applyNumberFormat="1" applyFont="1" applyFill="1" applyBorder="1"/>
    <xf numFmtId="164" fontId="55" fillId="0" borderId="0" xfId="0" applyNumberFormat="1" applyFont="1" applyFill="1" applyBorder="1"/>
    <xf numFmtId="164" fontId="5" fillId="0" borderId="0" xfId="0" applyNumberFormat="1" applyFont="1" applyFill="1" applyBorder="1"/>
    <xf numFmtId="164" fontId="5" fillId="0" borderId="0" xfId="0" applyNumberFormat="1" applyFont="1" applyAlignment="1">
      <alignment vertical="top"/>
    </xf>
    <xf numFmtId="165" fontId="10" fillId="4" borderId="2" xfId="0" applyNumberFormat="1" applyFont="1" applyFill="1" applyBorder="1" applyAlignment="1">
      <alignment horizontal="left" vertical="top"/>
    </xf>
    <xf numFmtId="0" fontId="10" fillId="11" borderId="4" xfId="0" applyFont="1" applyFill="1" applyBorder="1" applyAlignment="1">
      <alignment horizontal="center" wrapText="1"/>
    </xf>
    <xf numFmtId="0" fontId="10" fillId="11" borderId="4" xfId="0" applyFont="1" applyFill="1" applyBorder="1" applyAlignment="1">
      <alignment horizontal="center" vertical="center"/>
    </xf>
    <xf numFmtId="166" fontId="5" fillId="0" borderId="4" xfId="0" applyNumberFormat="1" applyFont="1" applyBorder="1"/>
    <xf numFmtId="166" fontId="10" fillId="0" borderId="4" xfId="0" applyNumberFormat="1" applyFont="1" applyBorder="1"/>
    <xf numFmtId="0" fontId="1" fillId="0" borderId="0" xfId="0" applyFont="1" applyFill="1" applyBorder="1" applyAlignment="1">
      <alignment vertical="top"/>
    </xf>
    <xf numFmtId="0" fontId="1" fillId="0" borderId="0" xfId="0" applyFont="1" applyBorder="1" applyAlignment="1">
      <alignment vertical="top"/>
    </xf>
    <xf numFmtId="0" fontId="13" fillId="0" borderId="0" xfId="0" applyFont="1" applyFill="1"/>
    <xf numFmtId="14" fontId="23" fillId="0" borderId="42" xfId="0" applyNumberFormat="1" applyFont="1" applyFill="1" applyBorder="1" applyAlignment="1">
      <alignment vertical="top"/>
    </xf>
    <xf numFmtId="0" fontId="43" fillId="0" borderId="9" xfId="0" applyFont="1" applyFill="1" applyBorder="1" applyAlignment="1">
      <alignment vertical="top"/>
    </xf>
    <xf numFmtId="0" fontId="19" fillId="0" borderId="9" xfId="0" applyFont="1" applyFill="1" applyBorder="1" applyAlignment="1">
      <alignment vertical="top"/>
    </xf>
    <xf numFmtId="173" fontId="1" fillId="0" borderId="0" xfId="0" applyNumberFormat="1" applyFont="1" applyBorder="1" applyAlignment="1">
      <alignment vertical="top"/>
    </xf>
    <xf numFmtId="164" fontId="1" fillId="0" borderId="0" xfId="0" applyNumberFormat="1" applyFont="1" applyBorder="1" applyAlignment="1">
      <alignment vertical="top"/>
    </xf>
    <xf numFmtId="41" fontId="18" fillId="0" borderId="20" xfId="0" applyNumberFormat="1" applyFont="1" applyFill="1" applyBorder="1" applyAlignment="1">
      <alignment vertical="top"/>
    </xf>
    <xf numFmtId="41" fontId="18" fillId="0" borderId="36" xfId="0" applyNumberFormat="1" applyFont="1" applyFill="1" applyBorder="1" applyAlignment="1">
      <alignment vertical="top"/>
    </xf>
    <xf numFmtId="41" fontId="1" fillId="0" borderId="0" xfId="0" applyNumberFormat="1" applyFont="1" applyBorder="1" applyAlignment="1">
      <alignment vertical="top"/>
    </xf>
    <xf numFmtId="0" fontId="46" fillId="0" borderId="9" xfId="0" applyFont="1" applyFill="1" applyBorder="1" applyAlignment="1">
      <alignment vertical="top"/>
    </xf>
    <xf numFmtId="0" fontId="1" fillId="0" borderId="9" xfId="0" applyFont="1" applyFill="1" applyBorder="1" applyAlignment="1">
      <alignment vertical="top"/>
    </xf>
    <xf numFmtId="0" fontId="20" fillId="0" borderId="9" xfId="0" applyFont="1" applyFill="1" applyBorder="1" applyAlignment="1">
      <alignment vertical="top"/>
    </xf>
    <xf numFmtId="164" fontId="18" fillId="0" borderId="13" xfId="0" applyNumberFormat="1" applyFont="1" applyFill="1" applyBorder="1" applyAlignment="1">
      <alignment vertical="top"/>
    </xf>
    <xf numFmtId="41" fontId="18" fillId="0" borderId="10" xfId="0" applyNumberFormat="1" applyFont="1" applyFill="1" applyBorder="1" applyAlignment="1">
      <alignment vertical="top"/>
    </xf>
    <xf numFmtId="41" fontId="18" fillId="0" borderId="9" xfId="0" applyNumberFormat="1" applyFont="1" applyFill="1" applyBorder="1" applyAlignment="1">
      <alignment vertical="top"/>
    </xf>
    <xf numFmtId="44" fontId="1" fillId="0" borderId="0" xfId="0" applyNumberFormat="1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1" fillId="0" borderId="9" xfId="0" applyFont="1" applyFill="1" applyBorder="1" applyAlignment="1">
      <alignment vertical="top"/>
    </xf>
    <xf numFmtId="0" fontId="18" fillId="0" borderId="9" xfId="0" applyFont="1" applyFill="1" applyBorder="1" applyAlignment="1">
      <alignment vertical="top"/>
    </xf>
    <xf numFmtId="164" fontId="18" fillId="0" borderId="26" xfId="0" applyNumberFormat="1" applyFont="1" applyFill="1" applyBorder="1" applyAlignment="1">
      <alignment vertical="top"/>
    </xf>
    <xf numFmtId="41" fontId="18" fillId="0" borderId="53" xfId="0" applyNumberFormat="1" applyFont="1" applyFill="1" applyBorder="1" applyAlignment="1">
      <alignment vertical="top"/>
    </xf>
    <xf numFmtId="41" fontId="18" fillId="0" borderId="35" xfId="0" applyNumberFormat="1" applyFont="1" applyFill="1" applyBorder="1" applyAlignment="1">
      <alignment vertical="top"/>
    </xf>
    <xf numFmtId="164" fontId="1" fillId="0" borderId="0" xfId="0" applyNumberFormat="1" applyFont="1" applyBorder="1" applyAlignment="1">
      <alignment vertical="top"/>
    </xf>
    <xf numFmtId="0" fontId="47" fillId="0" borderId="9" xfId="0" applyFont="1" applyFill="1" applyBorder="1" applyAlignment="1">
      <alignment vertical="top"/>
    </xf>
    <xf numFmtId="164" fontId="18" fillId="0" borderId="23" xfId="0" applyNumberFormat="1" applyFont="1" applyFill="1" applyBorder="1" applyAlignment="1">
      <alignment vertical="top"/>
    </xf>
    <xf numFmtId="41" fontId="18" fillId="0" borderId="25" xfId="0" applyNumberFormat="1" applyFont="1" applyFill="1" applyBorder="1" applyAlignment="1">
      <alignment vertical="top"/>
    </xf>
    <xf numFmtId="41" fontId="18" fillId="0" borderId="38" xfId="0" applyNumberFormat="1" applyFont="1" applyFill="1" applyBorder="1" applyAlignment="1">
      <alignment vertical="top"/>
    </xf>
    <xf numFmtId="0" fontId="1" fillId="0" borderId="20" xfId="0" applyFont="1" applyFill="1" applyBorder="1" applyAlignment="1">
      <alignment vertical="top"/>
    </xf>
    <xf numFmtId="0" fontId="36" fillId="0" borderId="0" xfId="0" applyFont="1" applyFill="1" applyBorder="1" applyAlignment="1">
      <alignment vertical="top"/>
    </xf>
    <xf numFmtId="0" fontId="18" fillId="0" borderId="0" xfId="0" applyFont="1" applyFill="1" applyBorder="1" applyAlignment="1">
      <alignment vertical="top"/>
    </xf>
    <xf numFmtId="0" fontId="19" fillId="0" borderId="0" xfId="0" applyFont="1" applyFill="1" applyBorder="1" applyAlignment="1">
      <alignment vertical="top"/>
    </xf>
    <xf numFmtId="0" fontId="1" fillId="0" borderId="0" xfId="0" applyFont="1"/>
    <xf numFmtId="43" fontId="5" fillId="0" borderId="0" xfId="0" applyNumberFormat="1" applyFont="1"/>
    <xf numFmtId="43" fontId="18" fillId="0" borderId="0" xfId="0" applyNumberFormat="1" applyFont="1" applyFill="1" applyBorder="1" applyAlignment="1">
      <alignment horizontal="center" vertical="top"/>
    </xf>
    <xf numFmtId="4" fontId="60" fillId="0" borderId="4" xfId="0" applyNumberFormat="1" applyFont="1" applyBorder="1" applyAlignment="1"/>
    <xf numFmtId="3" fontId="60" fillId="0" borderId="4" xfId="0" applyNumberFormat="1" applyFont="1" applyBorder="1"/>
    <xf numFmtId="43" fontId="18" fillId="0" borderId="0" xfId="0" applyNumberFormat="1" applyFont="1" applyFill="1" applyBorder="1" applyAlignment="1">
      <alignment horizontal="right" vertical="top"/>
    </xf>
    <xf numFmtId="43" fontId="18" fillId="0" borderId="0" xfId="0" applyNumberFormat="1" applyFont="1" applyFill="1" applyBorder="1" applyAlignment="1">
      <alignment vertical="top"/>
    </xf>
    <xf numFmtId="43" fontId="5" fillId="0" borderId="0" xfId="0" applyNumberFormat="1" applyFont="1" applyBorder="1"/>
    <xf numFmtId="166" fontId="1" fillId="0" borderId="0" xfId="0" applyNumberFormat="1" applyFont="1"/>
    <xf numFmtId="43" fontId="5" fillId="0" borderId="4" xfId="0" applyNumberFormat="1" applyFont="1" applyBorder="1"/>
    <xf numFmtId="43" fontId="5" fillId="0" borderId="43" xfId="0" applyNumberFormat="1" applyFont="1" applyBorder="1"/>
    <xf numFmtId="43" fontId="10" fillId="0" borderId="44" xfId="0" applyNumberFormat="1" applyFont="1" applyBorder="1"/>
    <xf numFmtId="43" fontId="10" fillId="0" borderId="4" xfId="0" applyNumberFormat="1" applyFont="1" applyBorder="1"/>
    <xf numFmtId="43" fontId="10" fillId="0" borderId="45" xfId="0" applyNumberFormat="1" applyFont="1" applyBorder="1"/>
    <xf numFmtId="0" fontId="29" fillId="0" borderId="0" xfId="0" applyFont="1"/>
    <xf numFmtId="43" fontId="0" fillId="0" borderId="0" xfId="0" applyNumberFormat="1" applyFont="1"/>
    <xf numFmtId="0" fontId="29" fillId="0" borderId="4" xfId="0" applyFont="1" applyBorder="1"/>
    <xf numFmtId="43" fontId="5" fillId="0" borderId="4" xfId="0" applyNumberFormat="1" applyFont="1" applyBorder="1"/>
    <xf numFmtId="41" fontId="10" fillId="0" borderId="18" xfId="0" applyNumberFormat="1" applyFont="1" applyBorder="1" applyAlignment="1">
      <alignment horizontal="center" wrapText="1"/>
    </xf>
    <xf numFmtId="0" fontId="10" fillId="0" borderId="19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41" fontId="10" fillId="0" borderId="0" xfId="0" applyNumberFormat="1" applyFont="1" applyBorder="1" applyAlignment="1">
      <alignment horizontal="center" wrapText="1"/>
    </xf>
    <xf numFmtId="0" fontId="5" fillId="0" borderId="10" xfId="0" applyFont="1" applyBorder="1" applyAlignment="1">
      <alignment horizontal="left"/>
    </xf>
    <xf numFmtId="164" fontId="0" fillId="0" borderId="13" xfId="0" applyNumberFormat="1" applyFont="1" applyBorder="1"/>
    <xf numFmtId="43" fontId="10" fillId="0" borderId="51" xfId="0" applyNumberFormat="1" applyFont="1" applyBorder="1"/>
    <xf numFmtId="164" fontId="0" fillId="0" borderId="6" xfId="0" applyNumberFormat="1" applyFont="1" applyBorder="1"/>
    <xf numFmtId="164" fontId="0" fillId="0" borderId="23" xfId="0" applyNumberFormat="1" applyFont="1" applyBorder="1"/>
    <xf numFmtId="0" fontId="5" fillId="0" borderId="4" xfId="0" applyFont="1" applyBorder="1"/>
    <xf numFmtId="0" fontId="10" fillId="0" borderId="10" xfId="0" applyFont="1" applyBorder="1"/>
    <xf numFmtId="164" fontId="10" fillId="0" borderId="13" xfId="0" applyNumberFormat="1" applyFont="1" applyBorder="1"/>
    <xf numFmtId="0" fontId="5" fillId="0" borderId="13" xfId="0" applyFont="1" applyBorder="1"/>
    <xf numFmtId="0" fontId="29" fillId="0" borderId="4" xfId="0" applyFont="1" applyFill="1" applyBorder="1"/>
    <xf numFmtId="43" fontId="29" fillId="0" borderId="4" xfId="0" applyNumberFormat="1" applyFont="1" applyBorder="1"/>
    <xf numFmtId="0" fontId="51" fillId="0" borderId="10" xfId="0" applyFont="1" applyBorder="1" applyAlignment="1">
      <alignment horizontal="right"/>
    </xf>
    <xf numFmtId="165" fontId="29" fillId="0" borderId="4" xfId="0" applyNumberFormat="1" applyFont="1" applyBorder="1"/>
    <xf numFmtId="39" fontId="0" fillId="0" borderId="4" xfId="0" applyNumberFormat="1" applyFont="1" applyBorder="1"/>
    <xf numFmtId="43" fontId="0" fillId="0" borderId="4" xfId="0" applyNumberFormat="1" applyFont="1" applyBorder="1"/>
    <xf numFmtId="0" fontId="5" fillId="0" borderId="6" xfId="0" applyFont="1" applyBorder="1"/>
    <xf numFmtId="0" fontId="5" fillId="0" borderId="23" xfId="0" applyFont="1" applyBorder="1"/>
    <xf numFmtId="0" fontId="10" fillId="0" borderId="14" xfId="0" applyFont="1" applyBorder="1"/>
    <xf numFmtId="164" fontId="10" fillId="0" borderId="3" xfId="0" applyNumberFormat="1" applyFont="1" applyBorder="1"/>
    <xf numFmtId="164" fontId="10" fillId="0" borderId="16" xfId="0" applyNumberFormat="1" applyFont="1" applyBorder="1"/>
    <xf numFmtId="165" fontId="5" fillId="0" borderId="4" xfId="0" applyNumberFormat="1" applyFont="1" applyBorder="1"/>
    <xf numFmtId="0" fontId="8" fillId="0" borderId="0" xfId="0" applyFont="1" applyFill="1"/>
    <xf numFmtId="0" fontId="13" fillId="0" borderId="0" xfId="0" applyFont="1" applyFill="1"/>
    <xf numFmtId="0" fontId="5" fillId="0" borderId="0" xfId="0" applyFont="1" applyFill="1" applyBorder="1" applyAlignment="1">
      <alignment horizontal="center"/>
    </xf>
    <xf numFmtId="0" fontId="10" fillId="0" borderId="0" xfId="0" applyFont="1" applyFill="1"/>
    <xf numFmtId="0" fontId="10" fillId="0" borderId="27" xfId="0" applyFont="1" applyFill="1" applyBorder="1" applyAlignment="1">
      <alignment horizontal="center"/>
    </xf>
    <xf numFmtId="0" fontId="10" fillId="0" borderId="28" xfId="0" applyFont="1" applyFill="1" applyBorder="1" applyAlignment="1">
      <alignment horizontal="center"/>
    </xf>
    <xf numFmtId="10" fontId="10" fillId="0" borderId="29" xfId="0" applyNumberFormat="1" applyFont="1" applyFill="1" applyBorder="1" applyAlignment="1">
      <alignment horizontal="center"/>
    </xf>
    <xf numFmtId="10" fontId="10" fillId="0" borderId="28" xfId="0" applyNumberFormat="1" applyFont="1" applyFill="1" applyBorder="1" applyAlignment="1">
      <alignment horizontal="center"/>
    </xf>
    <xf numFmtId="0" fontId="10" fillId="0" borderId="30" xfId="0" applyFont="1" applyFill="1" applyBorder="1" applyAlignment="1">
      <alignment horizontal="center"/>
    </xf>
    <xf numFmtId="0" fontId="10" fillId="0" borderId="31" xfId="0" applyFont="1" applyFill="1" applyBorder="1" applyAlignment="1">
      <alignment horizontal="center"/>
    </xf>
    <xf numFmtId="0" fontId="10" fillId="0" borderId="32" xfId="0" applyFont="1" applyFill="1" applyBorder="1" applyAlignment="1">
      <alignment horizontal="center"/>
    </xf>
    <xf numFmtId="0" fontId="10" fillId="0" borderId="33" xfId="0" applyFont="1" applyFill="1" applyBorder="1" applyAlignment="1">
      <alignment horizontal="center"/>
    </xf>
    <xf numFmtId="0" fontId="10" fillId="0" borderId="22" xfId="0" applyFont="1" applyFill="1" applyBorder="1" applyAlignment="1">
      <alignment horizontal="center"/>
    </xf>
    <xf numFmtId="10" fontId="10" fillId="0" borderId="34" xfId="0" applyNumberFormat="1" applyFont="1" applyFill="1" applyBorder="1" applyAlignment="1">
      <alignment horizontal="center"/>
    </xf>
    <xf numFmtId="10" fontId="10" fillId="0" borderId="22" xfId="0" applyNumberFormat="1" applyFont="1" applyFill="1" applyBorder="1" applyAlignment="1">
      <alignment horizontal="center"/>
    </xf>
    <xf numFmtId="0" fontId="5" fillId="0" borderId="11" xfId="0" applyFont="1" applyFill="1" applyBorder="1"/>
    <xf numFmtId="0" fontId="5" fillId="0" borderId="0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10" fillId="0" borderId="0" xfId="0" applyFont="1" applyFill="1" applyAlignment="1"/>
    <xf numFmtId="0" fontId="5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Continuous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Continuous" vertical="center"/>
    </xf>
    <xf numFmtId="0" fontId="5" fillId="0" borderId="17" xfId="0" applyFont="1" applyBorder="1" applyAlignment="1">
      <alignment horizontal="centerContinuous" vertical="center"/>
    </xf>
    <xf numFmtId="0" fontId="8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Continuous" vertical="center"/>
    </xf>
    <xf numFmtId="0" fontId="10" fillId="0" borderId="17" xfId="0" applyFont="1" applyBorder="1" applyAlignment="1">
      <alignment horizontal="centerContinuous" vertical="center"/>
    </xf>
    <xf numFmtId="0" fontId="10" fillId="0" borderId="18" xfId="0" applyFont="1" applyBorder="1" applyAlignment="1">
      <alignment horizontal="centerContinuous" vertical="center"/>
    </xf>
    <xf numFmtId="0" fontId="10" fillId="0" borderId="19" xfId="0" applyFont="1" applyBorder="1" applyAlignment="1">
      <alignment horizontal="centerContinuous" vertical="center"/>
    </xf>
    <xf numFmtId="0" fontId="5" fillId="0" borderId="17" xfId="0" applyFont="1" applyBorder="1"/>
    <xf numFmtId="0" fontId="5" fillId="0" borderId="19" xfId="0" applyFont="1" applyBorder="1"/>
    <xf numFmtId="0" fontId="10" fillId="0" borderId="1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Continuous" vertical="center"/>
    </xf>
    <xf numFmtId="0" fontId="10" fillId="0" borderId="0" xfId="0" applyFont="1" applyFill="1" applyBorder="1" applyAlignment="1">
      <alignment horizontal="centerContinuous" vertical="center"/>
    </xf>
    <xf numFmtId="0" fontId="10" fillId="0" borderId="13" xfId="0" applyFont="1" applyFill="1" applyBorder="1" applyAlignment="1">
      <alignment horizontal="centerContinuous" vertical="center"/>
    </xf>
    <xf numFmtId="0" fontId="5" fillId="0" borderId="10" xfId="0" applyFont="1" applyFill="1" applyBorder="1" applyAlignment="1">
      <alignment horizontal="centerContinuous" vertical="center"/>
    </xf>
    <xf numFmtId="0" fontId="5" fillId="0" borderId="0" xfId="0" applyFont="1" applyFill="1" applyBorder="1" applyAlignment="1">
      <alignment horizontal="centerContinuous" vertical="center"/>
    </xf>
    <xf numFmtId="0" fontId="5" fillId="0" borderId="13" xfId="0" applyFont="1" applyFill="1" applyBorder="1" applyAlignment="1">
      <alignment horizontal="centerContinuous" vertical="center"/>
    </xf>
    <xf numFmtId="0" fontId="5" fillId="0" borderId="13" xfId="0" applyFont="1" applyBorder="1"/>
    <xf numFmtId="0" fontId="10" fillId="0" borderId="2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10" fontId="33" fillId="0" borderId="6" xfId="0" applyNumberFormat="1" applyFont="1" applyFill="1" applyBorder="1" applyAlignment="1">
      <alignment horizontal="center" vertical="center"/>
    </xf>
    <xf numFmtId="10" fontId="33" fillId="0" borderId="23" xfId="0" applyNumberFormat="1" applyFont="1" applyFill="1" applyBorder="1" applyAlignment="1">
      <alignment horizontal="center" vertical="center"/>
    </xf>
    <xf numFmtId="0" fontId="10" fillId="0" borderId="25" xfId="0" applyFont="1" applyFill="1" applyBorder="1"/>
    <xf numFmtId="0" fontId="5" fillId="0" borderId="25" xfId="0" applyFont="1" applyBorder="1"/>
    <xf numFmtId="10" fontId="5" fillId="0" borderId="6" xfId="0" applyNumberFormat="1" applyFont="1" applyBorder="1" applyAlignment="1">
      <alignment horizontal="center"/>
    </xf>
    <xf numFmtId="10" fontId="5" fillId="0" borderId="23" xfId="0" applyNumberFormat="1" applyFont="1" applyBorder="1" applyAlignment="1">
      <alignment horizontal="center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Continuous" vertical="center"/>
    </xf>
    <xf numFmtId="164" fontId="5" fillId="0" borderId="0" xfId="0" applyNumberFormat="1" applyFont="1" applyFill="1" applyBorder="1" applyAlignment="1">
      <alignment horizontal="center"/>
    </xf>
    <xf numFmtId="164" fontId="5" fillId="0" borderId="13" xfId="0" applyNumberFormat="1" applyFont="1" applyFill="1" applyBorder="1"/>
    <xf numFmtId="42" fontId="5" fillId="0" borderId="1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2" fontId="5" fillId="0" borderId="13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164" fontId="5" fillId="0" borderId="0" xfId="0" applyNumberFormat="1" applyFont="1" applyFill="1" applyBorder="1" applyAlignment="1">
      <alignment vertical="center"/>
    </xf>
    <xf numFmtId="41" fontId="5" fillId="0" borderId="10" xfId="0" applyNumberFormat="1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vertical="center"/>
    </xf>
    <xf numFmtId="41" fontId="5" fillId="0" borderId="13" xfId="0" applyNumberFormat="1" applyFont="1" applyFill="1" applyBorder="1" applyAlignment="1">
      <alignment vertical="center"/>
    </xf>
    <xf numFmtId="171" fontId="5" fillId="0" borderId="13" xfId="0" applyNumberFormat="1" applyFont="1" applyFill="1" applyBorder="1" applyAlignment="1">
      <alignment horizontal="right"/>
    </xf>
    <xf numFmtId="164" fontId="5" fillId="0" borderId="10" xfId="0" applyNumberFormat="1" applyFont="1" applyFill="1" applyBorder="1" applyAlignment="1">
      <alignment vertical="center"/>
    </xf>
    <xf numFmtId="43" fontId="5" fillId="0" borderId="0" xfId="0" applyNumberFormat="1" applyFont="1" applyFill="1" applyBorder="1"/>
    <xf numFmtId="43" fontId="5" fillId="0" borderId="13" xfId="0" applyNumberFormat="1" applyFont="1" applyFill="1" applyBorder="1"/>
    <xf numFmtId="0" fontId="5" fillId="0" borderId="10" xfId="0" applyFont="1" applyFill="1" applyBorder="1" applyAlignment="1">
      <alignment horizontal="left" vertical="center"/>
    </xf>
    <xf numFmtId="164" fontId="5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164" fontId="10" fillId="0" borderId="2" xfId="0" applyNumberFormat="1" applyFont="1" applyFill="1" applyBorder="1" applyAlignment="1">
      <alignment horizontal="center" vertical="center"/>
    </xf>
    <xf numFmtId="164" fontId="10" fillId="0" borderId="2" xfId="0" applyNumberFormat="1" applyFont="1" applyFill="1" applyBorder="1" applyAlignment="1">
      <alignment horizontal="centerContinuous" vertical="center"/>
    </xf>
    <xf numFmtId="164" fontId="10" fillId="0" borderId="2" xfId="0" applyNumberFormat="1" applyFont="1" applyFill="1" applyBorder="1" applyAlignment="1">
      <alignment horizontal="left" vertical="center"/>
    </xf>
    <xf numFmtId="164" fontId="10" fillId="0" borderId="26" xfId="0" applyNumberFormat="1" applyFont="1" applyFill="1" applyBorder="1" applyAlignment="1">
      <alignment horizontal="left" vertical="center"/>
    </xf>
    <xf numFmtId="41" fontId="10" fillId="0" borderId="40" xfId="0" applyNumberFormat="1" applyFont="1" applyFill="1" applyBorder="1" applyAlignment="1">
      <alignment vertical="center"/>
    </xf>
    <xf numFmtId="41" fontId="10" fillId="0" borderId="5" xfId="0" applyNumberFormat="1" applyFont="1" applyFill="1" applyBorder="1" applyAlignment="1">
      <alignment vertical="center"/>
    </xf>
    <xf numFmtId="41" fontId="10" fillId="0" borderId="24" xfId="0" applyNumberFormat="1" applyFont="1" applyFill="1" applyBorder="1" applyAlignment="1">
      <alignment vertical="center"/>
    </xf>
    <xf numFmtId="164" fontId="10" fillId="0" borderId="24" xfId="0" applyNumberFormat="1" applyFont="1" applyBorder="1"/>
    <xf numFmtId="0" fontId="5" fillId="0" borderId="14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44" fontId="10" fillId="0" borderId="3" xfId="0" applyNumberFormat="1" applyFont="1" applyFill="1" applyBorder="1" applyAlignment="1">
      <alignment horizontal="centerContinuous" vertical="center"/>
    </xf>
    <xf numFmtId="164" fontId="5" fillId="0" borderId="14" xfId="0" applyNumberFormat="1" applyFont="1" applyFill="1" applyBorder="1"/>
    <xf numFmtId="10" fontId="33" fillId="0" borderId="54" xfId="0" applyNumberFormat="1" applyFont="1" applyFill="1" applyBorder="1" applyAlignment="1">
      <alignment horizontal="right" vertical="center"/>
    </xf>
    <xf numFmtId="10" fontId="33" fillId="0" borderId="55" xfId="0" applyNumberFormat="1" applyFont="1" applyFill="1" applyBorder="1" applyAlignment="1">
      <alignment horizontal="right" vertical="center"/>
    </xf>
    <xf numFmtId="0" fontId="5" fillId="0" borderId="14" xfId="0" applyFont="1" applyFill="1" applyBorder="1"/>
    <xf numFmtId="0" fontId="5" fillId="0" borderId="14" xfId="0" applyFont="1" applyBorder="1"/>
    <xf numFmtId="0" fontId="5" fillId="0" borderId="3" xfId="0" applyFont="1" applyBorder="1"/>
    <xf numFmtId="0" fontId="5" fillId="0" borderId="16" xfId="0" applyFont="1" applyBorder="1"/>
    <xf numFmtId="0" fontId="31" fillId="0" borderId="0" xfId="0" applyFont="1" applyFill="1" applyBorder="1" applyAlignment="1">
      <alignment horizontal="centerContinuous" vertical="center"/>
    </xf>
    <xf numFmtId="167" fontId="51" fillId="0" borderId="0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41" fontId="5" fillId="0" borderId="11" xfId="0" applyNumberFormat="1" applyFont="1" applyBorder="1"/>
    <xf numFmtId="0" fontId="5" fillId="0" borderId="12" xfId="0" applyFont="1" applyBorder="1"/>
    <xf numFmtId="0" fontId="10" fillId="0" borderId="18" xfId="0" applyFont="1" applyBorder="1"/>
    <xf numFmtId="164" fontId="5" fillId="0" borderId="0" xfId="0" applyNumberFormat="1" applyFont="1" applyFill="1" applyBorder="1" applyAlignment="1">
      <alignment horizontal="centerContinuous" vertical="center"/>
    </xf>
    <xf numFmtId="164" fontId="5" fillId="0" borderId="13" xfId="0" applyNumberFormat="1" applyFont="1" applyFill="1" applyBorder="1" applyAlignment="1">
      <alignment vertical="center"/>
    </xf>
    <xf numFmtId="0" fontId="5" fillId="0" borderId="10" xfId="0" applyFont="1" applyFill="1" applyBorder="1"/>
    <xf numFmtId="0" fontId="5" fillId="0" borderId="13" xfId="0" applyFont="1" applyFill="1" applyBorder="1"/>
    <xf numFmtId="0" fontId="5" fillId="0" borderId="10" xfId="0" applyFont="1" applyFill="1" applyBorder="1" applyAlignment="1">
      <alignment vertical="center"/>
    </xf>
    <xf numFmtId="0" fontId="5" fillId="0" borderId="0" xfId="0" applyFont="1" applyFill="1" applyBorder="1" applyAlignment="1"/>
    <xf numFmtId="0" fontId="5" fillId="0" borderId="13" xfId="0" applyFont="1" applyFill="1" applyBorder="1" applyAlignment="1"/>
    <xf numFmtId="164" fontId="5" fillId="0" borderId="6" xfId="0" applyNumberFormat="1" applyFont="1" applyFill="1" applyBorder="1" applyAlignment="1">
      <alignment horizontal="centerContinuous" vertical="center"/>
    </xf>
    <xf numFmtId="0" fontId="5" fillId="0" borderId="25" xfId="0" applyFont="1" applyFill="1" applyBorder="1"/>
    <xf numFmtId="0" fontId="5" fillId="0" borderId="6" xfId="0" applyFont="1" applyFill="1" applyBorder="1"/>
    <xf numFmtId="0" fontId="5" fillId="0" borderId="23" xfId="0" applyFont="1" applyFill="1" applyBorder="1"/>
    <xf numFmtId="164" fontId="10" fillId="0" borderId="0" xfId="0" applyNumberFormat="1" applyFont="1" applyFill="1" applyBorder="1" applyAlignment="1">
      <alignment horizontal="center" vertical="center"/>
    </xf>
    <xf numFmtId="164" fontId="10" fillId="0" borderId="7" xfId="0" applyNumberFormat="1" applyFont="1" applyFill="1" applyBorder="1" applyAlignment="1">
      <alignment horizontal="centerContinuous" vertical="center"/>
    </xf>
    <xf numFmtId="164" fontId="10" fillId="0" borderId="21" xfId="0" applyNumberFormat="1" applyFont="1" applyFill="1" applyBorder="1" applyAlignment="1">
      <alignment horizontal="centerContinuous" vertical="center"/>
    </xf>
    <xf numFmtId="43" fontId="5" fillId="0" borderId="0" xfId="0" applyNumberFormat="1" applyFont="1" applyFill="1" applyAlignment="1">
      <alignment horizontal="left" vertical="center"/>
    </xf>
    <xf numFmtId="41" fontId="5" fillId="0" borderId="41" xfId="0" applyNumberFormat="1" applyFont="1" applyFill="1" applyBorder="1" applyAlignment="1">
      <alignment vertical="center"/>
    </xf>
    <xf numFmtId="41" fontId="5" fillId="0" borderId="7" xfId="0" applyNumberFormat="1" applyFont="1" applyFill="1" applyBorder="1" applyAlignment="1">
      <alignment vertical="center"/>
    </xf>
    <xf numFmtId="41" fontId="5" fillId="0" borderId="21" xfId="0" applyNumberFormat="1" applyFont="1" applyFill="1" applyBorder="1" applyAlignment="1">
      <alignment vertical="center"/>
    </xf>
    <xf numFmtId="41" fontId="5" fillId="0" borderId="10" xfId="0" applyNumberFormat="1" applyFont="1" applyFill="1" applyBorder="1"/>
    <xf numFmtId="0" fontId="35" fillId="0" borderId="10" xfId="0" applyFont="1" applyFill="1" applyBorder="1" applyAlignment="1">
      <alignment horizontal="left" vertical="center"/>
    </xf>
    <xf numFmtId="0" fontId="57" fillId="0" borderId="0" xfId="0" applyFont="1" applyFill="1" applyBorder="1" applyAlignment="1">
      <alignment horizontal="centerContinuous" vertical="center"/>
    </xf>
    <xf numFmtId="0" fontId="56" fillId="0" borderId="6" xfId="0" applyFont="1" applyFill="1" applyBorder="1" applyAlignment="1">
      <alignment horizontal="right" vertical="center"/>
    </xf>
    <xf numFmtId="10" fontId="33" fillId="0" borderId="0" xfId="0" applyNumberFormat="1" applyFont="1" applyFill="1" applyBorder="1"/>
    <xf numFmtId="10" fontId="33" fillId="0" borderId="6" xfId="0" applyNumberFormat="1" applyFont="1" applyFill="1" applyBorder="1" applyAlignment="1">
      <alignment horizontal="right" vertical="center"/>
    </xf>
    <xf numFmtId="10" fontId="33" fillId="0" borderId="23" xfId="0" applyNumberFormat="1" applyFont="1" applyFill="1" applyBorder="1" applyAlignment="1">
      <alignment horizontal="right" vertical="center"/>
    </xf>
    <xf numFmtId="0" fontId="32" fillId="0" borderId="0" xfId="0" applyFont="1" applyFill="1" applyAlignment="1">
      <alignment horizontal="left" vertical="center"/>
    </xf>
    <xf numFmtId="10" fontId="33" fillId="0" borderId="10" xfId="0" applyNumberFormat="1" applyFont="1" applyFill="1" applyBorder="1" applyAlignment="1">
      <alignment vertical="center"/>
    </xf>
    <xf numFmtId="10" fontId="33" fillId="0" borderId="0" xfId="0" applyNumberFormat="1" applyFont="1" applyFill="1" applyBorder="1" applyAlignment="1">
      <alignment vertical="center"/>
    </xf>
    <xf numFmtId="10" fontId="33" fillId="0" borderId="13" xfId="0" applyNumberFormat="1" applyFont="1" applyFill="1" applyBorder="1" applyAlignment="1">
      <alignment vertical="center"/>
    </xf>
    <xf numFmtId="0" fontId="33" fillId="0" borderId="0" xfId="0" applyFont="1" applyFill="1" applyAlignment="1">
      <alignment vertical="center"/>
    </xf>
    <xf numFmtId="10" fontId="33" fillId="0" borderId="25" xfId="0" applyNumberFormat="1" applyFont="1" applyFill="1" applyBorder="1" applyAlignment="1">
      <alignment vertical="center"/>
    </xf>
    <xf numFmtId="10" fontId="33" fillId="0" borderId="6" xfId="0" applyNumberFormat="1" applyFont="1" applyFill="1" applyBorder="1" applyAlignment="1">
      <alignment vertical="center"/>
    </xf>
    <xf numFmtId="10" fontId="33" fillId="0" borderId="23" xfId="0" applyNumberFormat="1" applyFont="1" applyFill="1" applyBorder="1" applyAlignment="1">
      <alignment vertical="center"/>
    </xf>
    <xf numFmtId="164" fontId="10" fillId="0" borderId="7" xfId="0" applyNumberFormat="1" applyFont="1" applyFill="1" applyBorder="1" applyAlignment="1">
      <alignment horizontal="center" vertical="center"/>
    </xf>
    <xf numFmtId="164" fontId="10" fillId="0" borderId="13" xfId="0" applyNumberFormat="1" applyFont="1" applyFill="1" applyBorder="1" applyAlignment="1">
      <alignment horizontal="center" vertical="center"/>
    </xf>
    <xf numFmtId="164" fontId="5" fillId="0" borderId="10" xfId="0" applyNumberFormat="1" applyFont="1" applyFill="1" applyBorder="1"/>
    <xf numFmtId="43" fontId="5" fillId="0" borderId="0" xfId="0" applyNumberFormat="1" applyFont="1" applyFill="1" applyBorder="1" applyAlignment="1">
      <alignment horizontal="center" vertical="center"/>
    </xf>
    <xf numFmtId="10" fontId="33" fillId="0" borderId="13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/>
    <xf numFmtId="0" fontId="5" fillId="0" borderId="10" xfId="0" applyFont="1" applyFill="1" applyBorder="1" applyAlignment="1"/>
    <xf numFmtId="164" fontId="5" fillId="0" borderId="6" xfId="0" applyNumberFormat="1" applyFont="1" applyFill="1" applyBorder="1" applyAlignment="1">
      <alignment horizontal="centerContinuous" vertical="center"/>
    </xf>
    <xf numFmtId="164" fontId="5" fillId="0" borderId="6" xfId="0" applyNumberFormat="1" applyFont="1" applyFill="1" applyBorder="1" applyAlignment="1">
      <alignment horizontal="center" vertical="center"/>
    </xf>
    <xf numFmtId="164" fontId="5" fillId="0" borderId="23" xfId="0" applyNumberFormat="1" applyFont="1" applyFill="1" applyBorder="1" applyAlignment="1">
      <alignment vertical="center"/>
    </xf>
    <xf numFmtId="43" fontId="5" fillId="0" borderId="6" xfId="0" applyNumberFormat="1" applyFont="1" applyFill="1" applyBorder="1"/>
    <xf numFmtId="43" fontId="5" fillId="0" borderId="23" xfId="0" applyNumberFormat="1" applyFont="1" applyFill="1" applyBorder="1"/>
    <xf numFmtId="164" fontId="10" fillId="0" borderId="0" xfId="0" applyNumberFormat="1" applyFont="1" applyFill="1" applyBorder="1" applyAlignment="1">
      <alignment horizontal="centerContinuous" vertical="center"/>
    </xf>
    <xf numFmtId="164" fontId="10" fillId="0" borderId="13" xfId="0" applyNumberFormat="1" applyFont="1" applyFill="1" applyBorder="1" applyAlignment="1">
      <alignment horizontal="centerContinuous" vertical="center"/>
    </xf>
    <xf numFmtId="0" fontId="5" fillId="0" borderId="13" xfId="0" applyFont="1" applyFill="1" applyBorder="1" applyAlignment="1">
      <alignment vertical="center"/>
    </xf>
    <xf numFmtId="0" fontId="1" fillId="0" borderId="0" xfId="0" applyFont="1" applyFill="1" applyBorder="1"/>
    <xf numFmtId="164" fontId="5" fillId="0" borderId="6" xfId="0" applyNumberFormat="1" applyFont="1" applyFill="1" applyBorder="1"/>
    <xf numFmtId="164" fontId="10" fillId="0" borderId="23" xfId="0" applyNumberFormat="1" applyFont="1" applyFill="1" applyBorder="1" applyAlignment="1">
      <alignment horizontal="center" vertical="center"/>
    </xf>
    <xf numFmtId="164" fontId="5" fillId="0" borderId="53" xfId="0" applyNumberFormat="1" applyFont="1" applyFill="1" applyBorder="1"/>
    <xf numFmtId="164" fontId="5" fillId="0" borderId="2" xfId="0" applyNumberFormat="1" applyFont="1" applyFill="1" applyBorder="1"/>
    <xf numFmtId="0" fontId="5" fillId="0" borderId="26" xfId="0" applyFont="1" applyFill="1" applyBorder="1"/>
    <xf numFmtId="43" fontId="10" fillId="0" borderId="0" xfId="0" applyNumberFormat="1" applyFont="1" applyFill="1" applyBorder="1" applyAlignment="1">
      <alignment horizontal="centerContinuous" vertical="center"/>
    </xf>
    <xf numFmtId="0" fontId="5" fillId="0" borderId="41" xfId="0" applyFont="1" applyFill="1" applyBorder="1" applyAlignment="1">
      <alignment vertical="center"/>
    </xf>
    <xf numFmtId="166" fontId="10" fillId="0" borderId="5" xfId="0" applyNumberFormat="1" applyFont="1" applyFill="1" applyBorder="1" applyAlignment="1">
      <alignment horizontal="centerContinuous" vertical="center"/>
    </xf>
    <xf numFmtId="166" fontId="10" fillId="0" borderId="24" xfId="0" applyNumberFormat="1" applyFont="1" applyFill="1" applyBorder="1" applyAlignment="1">
      <alignment horizontal="centerContinuous" vertical="center"/>
    </xf>
    <xf numFmtId="166" fontId="5" fillId="0" borderId="0" xfId="0" applyNumberFormat="1" applyFont="1" applyFill="1" applyAlignment="1">
      <alignment horizontal="left" vertical="center"/>
    </xf>
    <xf numFmtId="166" fontId="10" fillId="0" borderId="40" xfId="0" applyNumberFormat="1" applyFont="1" applyFill="1" applyBorder="1" applyAlignment="1">
      <alignment horizontal="centerContinuous" vertical="center"/>
    </xf>
    <xf numFmtId="164" fontId="10" fillId="0" borderId="40" xfId="0" applyNumberFormat="1" applyFont="1" applyBorder="1"/>
    <xf numFmtId="164" fontId="10" fillId="0" borderId="5" xfId="0" applyNumberFormat="1" applyFont="1" applyBorder="1"/>
    <xf numFmtId="164" fontId="10" fillId="0" borderId="24" xfId="0" applyNumberFormat="1" applyFont="1" applyBorder="1"/>
    <xf numFmtId="0" fontId="5" fillId="0" borderId="14" xfId="0" applyFont="1" applyFill="1" applyBorder="1" applyAlignment="1">
      <alignment horizontal="centerContinuous" vertical="center"/>
    </xf>
    <xf numFmtId="0" fontId="5" fillId="0" borderId="3" xfId="0" applyFont="1" applyFill="1" applyBorder="1" applyAlignment="1">
      <alignment horizontal="centerContinuous" vertical="center"/>
    </xf>
    <xf numFmtId="0" fontId="5" fillId="0" borderId="16" xfId="0" applyFont="1" applyFill="1" applyBorder="1" applyAlignment="1">
      <alignment horizontal="centerContinuous" vertical="center"/>
    </xf>
    <xf numFmtId="167" fontId="31" fillId="0" borderId="14" xfId="0" applyNumberFormat="1" applyFont="1" applyFill="1" applyBorder="1" applyAlignment="1">
      <alignment vertical="center"/>
    </xf>
    <xf numFmtId="167" fontId="31" fillId="0" borderId="3" xfId="0" applyNumberFormat="1" applyFont="1" applyFill="1" applyBorder="1" applyAlignment="1">
      <alignment vertical="center"/>
    </xf>
    <xf numFmtId="167" fontId="31" fillId="0" borderId="16" xfId="0" applyNumberFormat="1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167" fontId="51" fillId="0" borderId="3" xfId="0" applyNumberFormat="1" applyFont="1" applyFill="1" applyBorder="1" applyAlignment="1">
      <alignment vertical="center"/>
    </xf>
    <xf numFmtId="167" fontId="51" fillId="0" borderId="16" xfId="0" applyNumberFormat="1" applyFont="1" applyFill="1" applyBorder="1" applyAlignment="1">
      <alignment vertical="center"/>
    </xf>
    <xf numFmtId="0" fontId="5" fillId="0" borderId="0" xfId="0" applyFont="1" applyFill="1" applyAlignme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9" fillId="0" borderId="0" xfId="0" applyFont="1"/>
    <xf numFmtId="0" fontId="13" fillId="0" borderId="0" xfId="0" applyFont="1" applyFill="1"/>
    <xf numFmtId="0" fontId="5" fillId="0" borderId="0" xfId="0" applyFont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10" fillId="0" borderId="0" xfId="0" quotePrefix="1" applyFont="1" applyFill="1"/>
    <xf numFmtId="0" fontId="10" fillId="0" borderId="17" xfId="0" applyFont="1" applyFill="1" applyBorder="1"/>
    <xf numFmtId="0" fontId="10" fillId="0" borderId="18" xfId="0" applyFont="1" applyFill="1" applyBorder="1" applyAlignment="1">
      <alignment horizontal="center"/>
    </xf>
    <xf numFmtId="0" fontId="10" fillId="0" borderId="19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0" fillId="0" borderId="10" xfId="0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10" xfId="0" applyFont="1" applyFill="1" applyBorder="1" applyAlignment="1"/>
    <xf numFmtId="0" fontId="5" fillId="0" borderId="0" xfId="0" applyFont="1" applyFill="1" applyBorder="1" applyAlignment="1"/>
    <xf numFmtId="42" fontId="5" fillId="0" borderId="13" xfId="0" applyNumberFormat="1" applyFont="1" applyFill="1" applyBorder="1"/>
    <xf numFmtId="44" fontId="5" fillId="0" borderId="0" xfId="0" applyNumberFormat="1" applyFont="1"/>
    <xf numFmtId="0" fontId="11" fillId="0" borderId="10" xfId="0" applyFont="1" applyFill="1" applyBorder="1" applyAlignment="1"/>
    <xf numFmtId="0" fontId="5" fillId="0" borderId="13" xfId="0" applyFont="1" applyFill="1" applyBorder="1" applyAlignment="1"/>
    <xf numFmtId="164" fontId="5" fillId="0" borderId="13" xfId="0" applyNumberFormat="1" applyFont="1" applyFill="1" applyBorder="1" applyAlignment="1"/>
    <xf numFmtId="0" fontId="5" fillId="0" borderId="25" xfId="0" applyFont="1" applyFill="1" applyBorder="1" applyAlignment="1"/>
    <xf numFmtId="0" fontId="5" fillId="0" borderId="6" xfId="0" applyFont="1" applyFill="1" applyBorder="1" applyAlignment="1"/>
    <xf numFmtId="164" fontId="5" fillId="0" borderId="23" xfId="0" applyNumberFormat="1" applyFont="1" applyFill="1" applyBorder="1" applyAlignment="1"/>
    <xf numFmtId="0" fontId="12" fillId="0" borderId="0" xfId="0" applyFont="1" applyFill="1" applyBorder="1" applyAlignment="1">
      <alignment horizontal="center"/>
    </xf>
    <xf numFmtId="0" fontId="12" fillId="0" borderId="0" xfId="0" applyFont="1"/>
    <xf numFmtId="0" fontId="5" fillId="0" borderId="10" xfId="0" applyFont="1" applyFill="1" applyBorder="1"/>
    <xf numFmtId="0" fontId="70" fillId="0" borderId="0" xfId="0" applyFont="1" applyFill="1" applyBorder="1" applyAlignment="1">
      <alignment horizontal="center"/>
    </xf>
    <xf numFmtId="0" fontId="12" fillId="0" borderId="0" xfId="0" applyFont="1" applyFill="1" applyBorder="1" applyAlignment="1"/>
    <xf numFmtId="42" fontId="5" fillId="0" borderId="13" xfId="0" applyNumberFormat="1" applyFont="1" applyFill="1" applyBorder="1"/>
    <xf numFmtId="0" fontId="11" fillId="0" borderId="10" xfId="0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right" vertical="center"/>
    </xf>
    <xf numFmtId="10" fontId="5" fillId="0" borderId="6" xfId="0" applyNumberFormat="1" applyFont="1" applyFill="1" applyBorder="1" applyAlignment="1">
      <alignment horizontal="center"/>
    </xf>
    <xf numFmtId="41" fontId="5" fillId="0" borderId="23" xfId="0" applyNumberFormat="1" applyFont="1" applyFill="1" applyBorder="1"/>
    <xf numFmtId="0" fontId="5" fillId="0" borderId="14" xfId="0" applyFont="1" applyFill="1" applyBorder="1"/>
    <xf numFmtId="10" fontId="5" fillId="0" borderId="3" xfId="0" applyNumberFormat="1" applyFont="1" applyFill="1" applyBorder="1" applyAlignment="1">
      <alignment horizontal="center"/>
    </xf>
    <xf numFmtId="0" fontId="70" fillId="0" borderId="3" xfId="0" applyFont="1" applyFill="1" applyBorder="1" applyAlignment="1">
      <alignment horizontal="center"/>
    </xf>
    <xf numFmtId="42" fontId="5" fillId="0" borderId="16" xfId="0" applyNumberFormat="1" applyFont="1" applyFill="1" applyBorder="1"/>
    <xf numFmtId="0" fontId="10" fillId="0" borderId="0" xfId="0" applyFont="1" applyFill="1" applyBorder="1"/>
    <xf numFmtId="41" fontId="5" fillId="0" borderId="0" xfId="0" applyNumberFormat="1" applyFont="1" applyFill="1" applyBorder="1" applyAlignment="1">
      <alignment horizontal="center"/>
    </xf>
    <xf numFmtId="166" fontId="5" fillId="0" borderId="13" xfId="0" applyNumberFormat="1" applyFont="1" applyFill="1" applyBorder="1"/>
    <xf numFmtId="42" fontId="12" fillId="0" borderId="0" xfId="0" applyNumberFormat="1" applyFont="1"/>
    <xf numFmtId="0" fontId="5" fillId="0" borderId="10" xfId="0" applyFont="1" applyFill="1" applyBorder="1"/>
    <xf numFmtId="41" fontId="5" fillId="0" borderId="13" xfId="0" applyNumberFormat="1" applyFont="1" applyFill="1" applyBorder="1" applyAlignment="1">
      <alignment horizontal="center"/>
    </xf>
    <xf numFmtId="164" fontId="5" fillId="0" borderId="13" xfId="0" applyNumberFormat="1" applyFont="1" applyFill="1" applyBorder="1"/>
    <xf numFmtId="0" fontId="5" fillId="0" borderId="0" xfId="0" applyFont="1" applyFill="1" applyBorder="1"/>
    <xf numFmtId="0" fontId="5" fillId="0" borderId="23" xfId="0" applyFont="1" applyFill="1" applyBorder="1"/>
    <xf numFmtId="0" fontId="12" fillId="0" borderId="0" xfId="0" applyFont="1" applyFill="1" applyAlignment="1">
      <alignment horizontal="center"/>
    </xf>
    <xf numFmtId="42" fontId="10" fillId="0" borderId="24" xfId="0" applyNumberFormat="1" applyFont="1" applyFill="1" applyBorder="1"/>
    <xf numFmtId="42" fontId="10" fillId="0" borderId="13" xfId="0" applyNumberFormat="1" applyFont="1" applyFill="1" applyBorder="1"/>
    <xf numFmtId="0" fontId="5" fillId="0" borderId="13" xfId="0" applyFont="1" applyFill="1" applyBorder="1"/>
    <xf numFmtId="0" fontId="12" fillId="0" borderId="0" xfId="0" quotePrefix="1" applyFont="1"/>
    <xf numFmtId="41" fontId="5" fillId="0" borderId="13" xfId="0" applyNumberFormat="1" applyFont="1" applyFill="1" applyBorder="1"/>
    <xf numFmtId="0" fontId="5" fillId="0" borderId="3" xfId="0" applyFont="1" applyFill="1" applyBorder="1"/>
    <xf numFmtId="0" fontId="5" fillId="0" borderId="16" xfId="0" applyFont="1" applyFill="1" applyBorder="1"/>
    <xf numFmtId="0" fontId="10" fillId="0" borderId="56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42" fontId="5" fillId="0" borderId="9" xfId="0" applyNumberFormat="1" applyFont="1" applyFill="1" applyBorder="1"/>
    <xf numFmtId="0" fontId="5" fillId="0" borderId="9" xfId="0" applyFont="1" applyFill="1" applyBorder="1" applyAlignment="1"/>
    <xf numFmtId="164" fontId="5" fillId="0" borderId="9" xfId="0" applyNumberFormat="1" applyFont="1" applyFill="1" applyBorder="1" applyAlignment="1"/>
    <xf numFmtId="164" fontId="5" fillId="0" borderId="38" xfId="0" applyNumberFormat="1" applyFont="1" applyFill="1" applyBorder="1" applyAlignment="1"/>
    <xf numFmtId="42" fontId="5" fillId="0" borderId="9" xfId="0" applyNumberFormat="1" applyFont="1" applyFill="1" applyBorder="1"/>
    <xf numFmtId="41" fontId="5" fillId="0" borderId="38" xfId="0" applyNumberFormat="1" applyFont="1" applyFill="1" applyBorder="1"/>
    <xf numFmtId="42" fontId="5" fillId="0" borderId="37" xfId="0" applyNumberFormat="1" applyFont="1" applyFill="1" applyBorder="1"/>
    <xf numFmtId="0" fontId="5" fillId="0" borderId="37" xfId="0" applyFont="1" applyFill="1" applyBorder="1" applyAlignment="1">
      <alignment horizontal="center"/>
    </xf>
    <xf numFmtId="42" fontId="5" fillId="0" borderId="42" xfId="0" applyNumberFormat="1" applyFont="1" applyFill="1" applyBorder="1"/>
    <xf numFmtId="166" fontId="5" fillId="0" borderId="9" xfId="0" applyNumberFormat="1" applyFont="1" applyFill="1" applyBorder="1"/>
    <xf numFmtId="42" fontId="10" fillId="0" borderId="57" xfId="0" applyNumberFormat="1" applyFont="1" applyFill="1" applyBorder="1"/>
    <xf numFmtId="42" fontId="10" fillId="0" borderId="9" xfId="0" applyNumberFormat="1" applyFont="1" applyFill="1" applyBorder="1"/>
    <xf numFmtId="41" fontId="5" fillId="0" borderId="9" xfId="0" applyNumberFormat="1" applyFont="1" applyFill="1" applyBorder="1"/>
    <xf numFmtId="42" fontId="5" fillId="0" borderId="9" xfId="0" applyNumberFormat="1" applyFont="1" applyFill="1" applyBorder="1" applyAlignment="1"/>
    <xf numFmtId="10" fontId="33" fillId="0" borderId="6" xfId="0" applyNumberFormat="1" applyFont="1" applyFill="1" applyBorder="1" applyAlignment="1">
      <alignment horizontal="center"/>
    </xf>
    <xf numFmtId="10" fontId="33" fillId="0" borderId="23" xfId="0" applyNumberFormat="1" applyFont="1" applyFill="1" applyBorder="1" applyAlignment="1">
      <alignment horizontal="center"/>
    </xf>
    <xf numFmtId="0" fontId="64" fillId="0" borderId="0" xfId="0" quotePrefix="1" applyFont="1" applyFill="1" applyAlignment="1">
      <alignment horizontal="centerContinuous"/>
    </xf>
    <xf numFmtId="0" fontId="64" fillId="0" borderId="0" xfId="0" applyFont="1" applyFill="1" applyAlignment="1">
      <alignment horizontal="centerContinuous"/>
    </xf>
    <xf numFmtId="0" fontId="32" fillId="0" borderId="0" xfId="0" applyFont="1"/>
    <xf numFmtId="0" fontId="69" fillId="0" borderId="0" xfId="0" applyFont="1" applyFill="1"/>
    <xf numFmtId="164" fontId="0" fillId="0" borderId="2" xfId="0" applyNumberFormat="1" applyFont="1" applyFill="1" applyBorder="1"/>
    <xf numFmtId="0" fontId="31" fillId="0" borderId="0" xfId="0" applyFont="1" applyFill="1"/>
    <xf numFmtId="43" fontId="31" fillId="0" borderId="0" xfId="0" applyNumberFormat="1" applyFont="1"/>
    <xf numFmtId="164" fontId="5" fillId="0" borderId="10" xfId="0" applyNumberFormat="1" applyFont="1" applyFill="1" applyBorder="1"/>
    <xf numFmtId="164" fontId="10" fillId="0" borderId="40" xfId="0" applyNumberFormat="1" applyFont="1" applyFill="1" applyBorder="1"/>
    <xf numFmtId="0" fontId="5" fillId="0" borderId="17" xfId="0" applyFont="1" applyFill="1" applyBorder="1"/>
    <xf numFmtId="43" fontId="10" fillId="0" borderId="0" xfId="0" applyNumberFormat="1" applyFont="1" applyFill="1" applyBorder="1" applyAlignment="1">
      <alignment vertical="top"/>
    </xf>
    <xf numFmtId="43" fontId="10" fillId="0" borderId="0" xfId="0" applyNumberFormat="1" applyFont="1" applyFill="1" applyAlignment="1">
      <alignment vertical="top"/>
    </xf>
    <xf numFmtId="43" fontId="5" fillId="0" borderId="0" xfId="0" applyNumberFormat="1" applyFont="1" applyFill="1" applyAlignment="1">
      <alignment vertical="top"/>
    </xf>
    <xf numFmtId="43" fontId="10" fillId="0" borderId="5" xfId="0" applyNumberFormat="1" applyFont="1" applyFill="1" applyBorder="1" applyAlignment="1">
      <alignment vertical="top"/>
    </xf>
    <xf numFmtId="43" fontId="10" fillId="0" borderId="5" xfId="0" applyNumberFormat="1" applyFont="1" applyFill="1" applyBorder="1" applyAlignment="1">
      <alignment vertical="top"/>
    </xf>
    <xf numFmtId="43" fontId="10" fillId="0" borderId="0" xfId="0" applyNumberFormat="1" applyFont="1" applyFill="1" applyAlignment="1">
      <alignment vertical="top"/>
    </xf>
    <xf numFmtId="164" fontId="10" fillId="0" borderId="0" xfId="0" applyNumberFormat="1" applyFont="1" applyFill="1" applyAlignment="1">
      <alignment vertical="top"/>
    </xf>
    <xf numFmtId="43" fontId="10" fillId="0" borderId="0" xfId="0" applyNumberFormat="1" applyFont="1" applyFill="1" applyAlignment="1">
      <alignment vertical="top"/>
    </xf>
    <xf numFmtId="0" fontId="5" fillId="0" borderId="0" xfId="0" applyFont="1" applyFill="1" applyAlignment="1">
      <alignment vertical="top"/>
    </xf>
    <xf numFmtId="43" fontId="10" fillId="0" borderId="5" xfId="0" applyNumberFormat="1" applyFont="1" applyFill="1" applyBorder="1" applyAlignment="1">
      <alignment vertical="top"/>
    </xf>
    <xf numFmtId="0" fontId="10" fillId="0" borderId="0" xfId="0" applyFont="1" applyFill="1" applyAlignment="1">
      <alignment vertical="top"/>
    </xf>
    <xf numFmtId="164" fontId="27" fillId="0" borderId="0" xfId="0" applyNumberFormat="1" applyFont="1" applyFill="1" applyBorder="1"/>
    <xf numFmtId="9" fontId="32" fillId="0" borderId="0" xfId="0" applyNumberFormat="1" applyFont="1" applyFill="1" applyAlignment="1">
      <alignment horizontal="center"/>
    </xf>
    <xf numFmtId="0" fontId="5" fillId="0" borderId="15" xfId="0" applyFont="1" applyFill="1" applyBorder="1"/>
    <xf numFmtId="164" fontId="5" fillId="0" borderId="11" xfId="0" applyNumberFormat="1" applyFont="1" applyFill="1" applyBorder="1"/>
    <xf numFmtId="164" fontId="5" fillId="0" borderId="12" xfId="0" applyNumberFormat="1" applyFont="1" applyFill="1" applyBorder="1"/>
    <xf numFmtId="164" fontId="10" fillId="0" borderId="8" xfId="0" applyNumberFormat="1" applyFont="1" applyFill="1" applyBorder="1"/>
    <xf numFmtId="0" fontId="5" fillId="0" borderId="10" xfId="0" applyFont="1" applyFill="1" applyBorder="1"/>
    <xf numFmtId="43" fontId="10" fillId="0" borderId="0" xfId="0" applyNumberFormat="1" applyFont="1" applyFill="1" applyBorder="1"/>
    <xf numFmtId="43" fontId="10" fillId="0" borderId="13" xfId="0" applyNumberFormat="1" applyFont="1" applyFill="1" applyBorder="1"/>
    <xf numFmtId="164" fontId="10" fillId="0" borderId="42" xfId="0" applyNumberFormat="1" applyFont="1" applyFill="1" applyBorder="1"/>
    <xf numFmtId="164" fontId="31" fillId="0" borderId="0" xfId="0" applyNumberFormat="1" applyFont="1" applyFill="1" applyBorder="1"/>
    <xf numFmtId="0" fontId="17" fillId="0" borderId="0" xfId="0" applyFont="1" applyFill="1" applyAlignment="1">
      <alignment horizontal="center"/>
    </xf>
    <xf numFmtId="43" fontId="10" fillId="0" borderId="3" xfId="0" applyNumberFormat="1" applyFont="1" applyFill="1" applyBorder="1"/>
    <xf numFmtId="43" fontId="10" fillId="0" borderId="16" xfId="0" applyNumberFormat="1" applyFont="1" applyFill="1" applyBorder="1"/>
    <xf numFmtId="43" fontId="5" fillId="0" borderId="0" xfId="0" applyNumberFormat="1" applyFont="1" applyFill="1"/>
    <xf numFmtId="9" fontId="32" fillId="0" borderId="0" xfId="0" applyNumberFormat="1" applyFont="1" applyFill="1" applyBorder="1" applyAlignment="1">
      <alignment horizontal="center"/>
    </xf>
    <xf numFmtId="0" fontId="31" fillId="0" borderId="0" xfId="0" applyFont="1" applyFill="1" applyBorder="1"/>
    <xf numFmtId="0" fontId="60" fillId="0" borderId="4" xfId="0" applyFont="1" applyFill="1" applyBorder="1" applyAlignment="1">
      <alignment horizontal="right"/>
    </xf>
    <xf numFmtId="3" fontId="60" fillId="0" borderId="4" xfId="0" applyNumberFormat="1" applyFont="1" applyFill="1" applyBorder="1" applyAlignment="1">
      <alignment horizontal="right"/>
    </xf>
    <xf numFmtId="168" fontId="60" fillId="0" borderId="4" xfId="0" applyNumberFormat="1" applyFont="1" applyFill="1" applyBorder="1" applyAlignment="1">
      <alignment horizontal="right"/>
    </xf>
    <xf numFmtId="168" fontId="60" fillId="0" borderId="4" xfId="0" applyNumberFormat="1" applyFont="1" applyFill="1" applyBorder="1"/>
    <xf numFmtId="0" fontId="15" fillId="0" borderId="4" xfId="0" applyFont="1" applyFill="1" applyBorder="1"/>
    <xf numFmtId="0" fontId="12" fillId="0" borderId="4" xfId="0" applyFont="1" applyFill="1" applyBorder="1"/>
    <xf numFmtId="3" fontId="5" fillId="0" borderId="4" xfId="0" applyNumberFormat="1" applyFont="1" applyFill="1" applyBorder="1"/>
    <xf numFmtId="4" fontId="60" fillId="0" borderId="4" xfId="0" applyNumberFormat="1" applyFont="1" applyFill="1" applyBorder="1"/>
    <xf numFmtId="0" fontId="5" fillId="0" borderId="0" xfId="0" applyFont="1" applyFill="1" applyBorder="1"/>
    <xf numFmtId="4" fontId="60" fillId="0" borderId="4" xfId="0" applyNumberFormat="1" applyFont="1" applyFill="1" applyBorder="1" applyAlignment="1"/>
    <xf numFmtId="3" fontId="60" fillId="0" borderId="4" xfId="0" applyNumberFormat="1" applyFont="1" applyFill="1" applyBorder="1"/>
    <xf numFmtId="0" fontId="5" fillId="0" borderId="4" xfId="0" applyFont="1" applyFill="1" applyBorder="1"/>
    <xf numFmtId="168" fontId="5" fillId="0" borderId="0" xfId="0" applyNumberFormat="1" applyFont="1" applyFill="1" applyBorder="1"/>
    <xf numFmtId="43" fontId="5" fillId="0" borderId="0" xfId="0" applyNumberFormat="1" applyFont="1" applyFill="1"/>
    <xf numFmtId="3" fontId="60" fillId="0" borderId="4" xfId="0" applyNumberFormat="1" applyFont="1" applyFill="1" applyBorder="1"/>
    <xf numFmtId="170" fontId="60" fillId="0" borderId="4" xfId="0" applyNumberFormat="1" applyFont="1" applyFill="1" applyBorder="1"/>
    <xf numFmtId="44" fontId="5" fillId="0" borderId="0" xfId="0" applyNumberFormat="1" applyFont="1" applyFill="1"/>
    <xf numFmtId="168" fontId="12" fillId="0" borderId="4" xfId="0" applyNumberFormat="1" applyFont="1" applyFill="1" applyBorder="1"/>
    <xf numFmtId="0" fontId="5" fillId="0" borderId="4" xfId="0" applyFont="1" applyFill="1" applyBorder="1" applyAlignment="1">
      <alignment wrapText="1"/>
    </xf>
    <xf numFmtId="166" fontId="59" fillId="0" borderId="4" xfId="0" applyNumberFormat="1" applyFont="1" applyFill="1" applyBorder="1"/>
    <xf numFmtId="0" fontId="10" fillId="0" borderId="4" xfId="0" applyFont="1" applyFill="1" applyBorder="1"/>
    <xf numFmtId="0" fontId="12" fillId="0" borderId="0" xfId="0" applyFont="1" applyFill="1"/>
    <xf numFmtId="166" fontId="5" fillId="0" borderId="0" xfId="0" applyNumberFormat="1" applyFont="1" applyFill="1"/>
    <xf numFmtId="43" fontId="5" fillId="0" borderId="4" xfId="0" applyNumberFormat="1" applyFont="1" applyFill="1" applyBorder="1"/>
    <xf numFmtId="44" fontId="5" fillId="0" borderId="4" xfId="0" applyNumberFormat="1" applyFont="1" applyFill="1" applyBorder="1"/>
    <xf numFmtId="0" fontId="53" fillId="0" borderId="0" xfId="0" applyFont="1" applyFill="1" applyBorder="1" applyAlignment="1">
      <alignment horizontal="center" vertical="top"/>
    </xf>
    <xf numFmtId="0" fontId="53" fillId="0" borderId="3" xfId="0" applyFont="1" applyFill="1" applyBorder="1" applyAlignment="1">
      <alignment horizontal="center" vertical="top"/>
    </xf>
    <xf numFmtId="0" fontId="18" fillId="0" borderId="42" xfId="0" applyFont="1" applyFill="1" applyBorder="1" applyAlignment="1">
      <alignment horizontal="center" vertical="top" wrapText="1"/>
    </xf>
    <xf numFmtId="164" fontId="4" fillId="0" borderId="0" xfId="0" applyNumberFormat="1" applyFont="1" applyFill="1" applyBorder="1" applyAlignment="1">
      <alignment vertical="top"/>
    </xf>
    <xf numFmtId="0" fontId="3" fillId="0" borderId="42" xfId="0" applyFont="1" applyFill="1" applyBorder="1" applyAlignment="1">
      <alignment vertical="top"/>
    </xf>
    <xf numFmtId="164" fontId="19" fillId="0" borderId="0" xfId="0" applyNumberFormat="1" applyFont="1" applyFill="1" applyBorder="1" applyAlignment="1">
      <alignment horizontal="center" vertical="top"/>
    </xf>
    <xf numFmtId="164" fontId="3" fillId="0" borderId="9" xfId="0" applyNumberFormat="1" applyFont="1" applyFill="1" applyBorder="1" applyAlignment="1">
      <alignment vertical="top"/>
    </xf>
    <xf numFmtId="164" fontId="19" fillId="0" borderId="6" xfId="0" applyNumberFormat="1" applyFont="1" applyFill="1" applyBorder="1" applyAlignment="1">
      <alignment horizontal="center" vertical="top"/>
    </xf>
    <xf numFmtId="41" fontId="2" fillId="0" borderId="38" xfId="0" applyNumberFormat="1" applyFont="1" applyFill="1" applyBorder="1" applyAlignment="1">
      <alignment vertical="top"/>
    </xf>
    <xf numFmtId="164" fontId="18" fillId="0" borderId="2" xfId="0" applyNumberFormat="1" applyFont="1" applyFill="1" applyBorder="1" applyAlignment="1">
      <alignment horizontal="center" vertical="top"/>
    </xf>
    <xf numFmtId="41" fontId="3" fillId="0" borderId="9" xfId="0" applyNumberFormat="1" applyFont="1" applyFill="1" applyBorder="1" applyAlignment="1">
      <alignment vertical="top"/>
    </xf>
    <xf numFmtId="41" fontId="3" fillId="0" borderId="38" xfId="0" applyNumberFormat="1" applyFont="1" applyFill="1" applyBorder="1" applyAlignment="1">
      <alignment vertical="top"/>
    </xf>
    <xf numFmtId="164" fontId="19" fillId="0" borderId="0" xfId="0" applyNumberFormat="1" applyFont="1" applyFill="1" applyBorder="1" applyAlignment="1">
      <alignment vertical="top"/>
    </xf>
    <xf numFmtId="164" fontId="19" fillId="0" borderId="6" xfId="0" applyNumberFormat="1" applyFont="1" applyFill="1" applyBorder="1" applyAlignment="1">
      <alignment vertical="top"/>
    </xf>
    <xf numFmtId="164" fontId="24" fillId="0" borderId="0" xfId="0" applyNumberFormat="1" applyFont="1" applyFill="1" applyBorder="1" applyAlignment="1">
      <alignment vertical="top"/>
    </xf>
    <xf numFmtId="164" fontId="45" fillId="0" borderId="3" xfId="0" applyNumberFormat="1" applyFont="1" applyFill="1" applyBorder="1" applyAlignment="1">
      <alignment horizontal="right" vertical="top"/>
    </xf>
    <xf numFmtId="0" fontId="30" fillId="0" borderId="37" xfId="0" applyFont="1" applyFill="1" applyBorder="1" applyAlignment="1">
      <alignment vertical="top"/>
    </xf>
    <xf numFmtId="0" fontId="35" fillId="0" borderId="0" xfId="0" applyFont="1" applyFill="1" applyAlignment="1">
      <alignment horizontal="center"/>
    </xf>
    <xf numFmtId="0" fontId="32" fillId="0" borderId="0" xfId="0" applyFont="1" applyFill="1"/>
    <xf numFmtId="0" fontId="32" fillId="0" borderId="0" xfId="0" applyFont="1"/>
    <xf numFmtId="41" fontId="35" fillId="0" borderId="0" xfId="0" applyNumberFormat="1" applyFont="1" applyFill="1"/>
    <xf numFmtId="0" fontId="35" fillId="0" borderId="0" xfId="0" applyFont="1" applyFill="1"/>
    <xf numFmtId="0" fontId="53" fillId="0" borderId="0" xfId="0" applyFont="1" applyFill="1" applyBorder="1" applyAlignment="1">
      <alignment horizontal="center" vertical="top"/>
    </xf>
    <xf numFmtId="0" fontId="53" fillId="0" borderId="3" xfId="0" applyFont="1" applyFill="1" applyBorder="1" applyAlignment="1">
      <alignment horizontal="center" vertical="top"/>
    </xf>
    <xf numFmtId="164" fontId="18" fillId="0" borderId="50" xfId="0" applyNumberFormat="1" applyFont="1" applyFill="1" applyBorder="1" applyAlignment="1">
      <alignment horizontal="center" vertical="top" wrapText="1"/>
    </xf>
    <xf numFmtId="0" fontId="18" fillId="0" borderId="15" xfId="0" applyFont="1" applyFill="1" applyBorder="1" applyAlignment="1">
      <alignment horizontal="center" vertical="top" wrapText="1"/>
    </xf>
    <xf numFmtId="0" fontId="18" fillId="0" borderId="42" xfId="0" applyFont="1" applyFill="1" applyBorder="1" applyAlignment="1">
      <alignment horizontal="center" vertical="top" wrapText="1"/>
    </xf>
    <xf numFmtId="164" fontId="1" fillId="0" borderId="0" xfId="0" applyNumberFormat="1" applyFont="1" applyFill="1" applyBorder="1" applyAlignment="1">
      <alignment vertical="top"/>
    </xf>
    <xf numFmtId="0" fontId="1" fillId="0" borderId="15" xfId="0" applyFont="1" applyFill="1" applyBorder="1" applyAlignment="1">
      <alignment vertical="top"/>
    </xf>
    <xf numFmtId="164" fontId="19" fillId="0" borderId="0" xfId="0" applyNumberFormat="1" applyFont="1" applyFill="1" applyBorder="1" applyAlignment="1">
      <alignment horizontal="center" vertical="top"/>
    </xf>
    <xf numFmtId="164" fontId="1" fillId="0" borderId="10" xfId="0" applyNumberFormat="1" applyFont="1" applyFill="1" applyBorder="1" applyAlignment="1">
      <alignment vertical="top"/>
    </xf>
    <xf numFmtId="164" fontId="19" fillId="0" borderId="6" xfId="0" applyNumberFormat="1" applyFont="1" applyFill="1" applyBorder="1" applyAlignment="1">
      <alignment horizontal="center" vertical="top"/>
    </xf>
    <xf numFmtId="41" fontId="1" fillId="0" borderId="25" xfId="0" applyNumberFormat="1" applyFont="1" applyFill="1" applyBorder="1" applyAlignment="1">
      <alignment vertical="top"/>
    </xf>
    <xf numFmtId="164" fontId="18" fillId="0" borderId="2" xfId="0" applyNumberFormat="1" applyFont="1" applyFill="1" applyBorder="1" applyAlignment="1">
      <alignment horizontal="center" vertical="top"/>
    </xf>
    <xf numFmtId="41" fontId="18" fillId="0" borderId="2" xfId="0" applyNumberFormat="1" applyFont="1" applyFill="1" applyBorder="1" applyAlignment="1">
      <alignment horizontal="center" vertical="top"/>
    </xf>
    <xf numFmtId="164" fontId="29" fillId="0" borderId="35" xfId="0" applyNumberFormat="1" applyFont="1" applyFill="1" applyBorder="1" applyAlignment="1">
      <alignment vertical="top"/>
    </xf>
    <xf numFmtId="41" fontId="1" fillId="0" borderId="10" xfId="0" applyNumberFormat="1" applyFont="1" applyFill="1" applyBorder="1" applyAlignment="1">
      <alignment vertical="top"/>
    </xf>
    <xf numFmtId="164" fontId="1" fillId="0" borderId="9" xfId="0" applyNumberFormat="1" applyFont="1" applyFill="1" applyBorder="1" applyAlignment="1">
      <alignment vertical="top"/>
    </xf>
    <xf numFmtId="0" fontId="1" fillId="0" borderId="10" xfId="0" applyFont="1" applyFill="1" applyBorder="1" applyAlignment="1">
      <alignment vertical="top"/>
    </xf>
    <xf numFmtId="164" fontId="1" fillId="0" borderId="9" xfId="0" applyNumberFormat="1" applyFont="1" applyFill="1" applyBorder="1" applyAlignment="1">
      <alignment vertical="top"/>
    </xf>
    <xf numFmtId="41" fontId="1" fillId="0" borderId="25" xfId="0" applyNumberFormat="1" applyFont="1" applyFill="1" applyBorder="1" applyAlignment="1">
      <alignment vertical="top"/>
    </xf>
    <xf numFmtId="164" fontId="1" fillId="0" borderId="38" xfId="0" applyNumberFormat="1" applyFont="1" applyFill="1" applyBorder="1" applyAlignment="1">
      <alignment vertical="top"/>
    </xf>
    <xf numFmtId="164" fontId="19" fillId="0" borderId="0" xfId="0" applyNumberFormat="1" applyFont="1" applyFill="1" applyBorder="1" applyAlignment="1">
      <alignment vertical="top"/>
    </xf>
    <xf numFmtId="41" fontId="1" fillId="0" borderId="9" xfId="0" applyNumberFormat="1" applyFont="1" applyFill="1" applyBorder="1" applyAlignment="1">
      <alignment vertical="top"/>
    </xf>
    <xf numFmtId="164" fontId="19" fillId="0" borderId="6" xfId="0" applyNumberFormat="1" applyFont="1" applyFill="1" applyBorder="1" applyAlignment="1">
      <alignment vertical="top"/>
    </xf>
    <xf numFmtId="164" fontId="1" fillId="0" borderId="38" xfId="0" applyNumberFormat="1" applyFont="1" applyFill="1" applyBorder="1" applyAlignment="1">
      <alignment vertical="top"/>
    </xf>
    <xf numFmtId="164" fontId="24" fillId="0" borderId="0" xfId="0" applyNumberFormat="1" applyFont="1" applyFill="1" applyBorder="1" applyAlignment="1">
      <alignment vertical="top"/>
    </xf>
    <xf numFmtId="164" fontId="1" fillId="0" borderId="9" xfId="0" applyNumberFormat="1" applyFont="1" applyFill="1" applyBorder="1" applyAlignment="1">
      <alignment vertical="top"/>
    </xf>
    <xf numFmtId="164" fontId="45" fillId="0" borderId="3" xfId="0" applyNumberFormat="1" applyFont="1" applyFill="1" applyBorder="1" applyAlignment="1">
      <alignment horizontal="right" vertical="top"/>
    </xf>
    <xf numFmtId="0" fontId="30" fillId="0" borderId="14" xfId="0" applyFont="1" applyFill="1" applyBorder="1" applyAlignment="1">
      <alignment vertical="top"/>
    </xf>
    <xf numFmtId="0" fontId="1" fillId="0" borderId="37" xfId="0" applyFont="1" applyFill="1" applyBorder="1" applyAlignment="1">
      <alignment vertical="top"/>
    </xf>
    <xf numFmtId="0" fontId="5" fillId="0" borderId="0" xfId="0" applyFont="1" applyFill="1" applyAlignment="1">
      <alignment horizontal="center"/>
    </xf>
    <xf numFmtId="41" fontId="5" fillId="0" borderId="0" xfId="0" applyNumberFormat="1" applyFont="1" applyFill="1" applyBorder="1" applyAlignment="1">
      <alignment horizontal="center"/>
    </xf>
    <xf numFmtId="10" fontId="5" fillId="0" borderId="0" xfId="0" applyNumberFormat="1" applyFont="1" applyFill="1"/>
    <xf numFmtId="41" fontId="5" fillId="0" borderId="0" xfId="0" applyNumberFormat="1" applyFont="1" applyFill="1"/>
    <xf numFmtId="41" fontId="5" fillId="0" borderId="0" xfId="0" applyNumberFormat="1" applyFont="1" applyFill="1" applyAlignment="1">
      <alignment horizontal="centerContinuous"/>
    </xf>
    <xf numFmtId="164" fontId="31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Continuous"/>
    </xf>
    <xf numFmtId="164" fontId="5" fillId="0" borderId="0" xfId="0" applyNumberFormat="1" applyFont="1" applyFill="1"/>
    <xf numFmtId="164" fontId="5" fillId="0" borderId="11" xfId="0" applyNumberFormat="1" applyFont="1" applyFill="1" applyBorder="1"/>
    <xf numFmtId="164" fontId="5" fillId="0" borderId="0" xfId="0" applyNumberFormat="1" applyFont="1" applyFill="1" applyBorder="1" applyAlignment="1">
      <alignment horizontal="center"/>
    </xf>
    <xf numFmtId="0" fontId="5" fillId="0" borderId="14" xfId="0" applyFont="1" applyFill="1" applyBorder="1"/>
    <xf numFmtId="0" fontId="5" fillId="0" borderId="3" xfId="0" applyFont="1" applyFill="1" applyBorder="1"/>
    <xf numFmtId="164" fontId="5" fillId="0" borderId="3" xfId="0" applyNumberFormat="1" applyFont="1" applyFill="1" applyBorder="1" applyAlignment="1">
      <alignment horizontal="center"/>
    </xf>
    <xf numFmtId="4" fontId="60" fillId="0" borderId="4" xfId="0" applyNumberFormat="1" applyFont="1" applyFill="1" applyBorder="1" applyAlignment="1"/>
    <xf numFmtId="0" fontId="5" fillId="0" borderId="52" xfId="0" applyFont="1" applyFill="1" applyBorder="1"/>
    <xf numFmtId="0" fontId="1" fillId="0" borderId="0" xfId="0" applyFont="1" applyFill="1"/>
    <xf numFmtId="166" fontId="1" fillId="0" borderId="0" xfId="0" applyNumberFormat="1" applyFont="1" applyFill="1"/>
    <xf numFmtId="166" fontId="5" fillId="0" borderId="4" xfId="0" applyNumberFormat="1" applyFont="1" applyFill="1" applyBorder="1"/>
    <xf numFmtId="166" fontId="10" fillId="0" borderId="4" xfId="0" applyNumberFormat="1" applyFont="1" applyFill="1" applyBorder="1"/>
    <xf numFmtId="42" fontId="10" fillId="0" borderId="18" xfId="0" applyNumberFormat="1" applyFont="1" applyFill="1" applyBorder="1" applyAlignment="1">
      <alignment wrapText="1"/>
    </xf>
    <xf numFmtId="164" fontId="0" fillId="0" borderId="6" xfId="0" applyNumberFormat="1" applyFont="1" applyFill="1" applyBorder="1"/>
    <xf numFmtId="10" fontId="0" fillId="0" borderId="0" xfId="0" applyNumberFormat="1" applyFill="1"/>
    <xf numFmtId="0" fontId="10" fillId="4" borderId="4" xfId="0" applyFont="1" applyFill="1" applyBorder="1" applyAlignment="1">
      <alignment horizontal="center" vertical="center"/>
    </xf>
    <xf numFmtId="0" fontId="59" fillId="4" borderId="4" xfId="0" applyFont="1" applyFill="1" applyBorder="1" applyAlignment="1">
      <alignment horizontal="left"/>
    </xf>
    <xf numFmtId="0" fontId="59" fillId="4" borderId="4" xfId="0" applyFont="1" applyFill="1" applyBorder="1" applyAlignment="1">
      <alignment horizontal="center"/>
    </xf>
    <xf numFmtId="0" fontId="59" fillId="4" borderId="4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wrapText="1"/>
    </xf>
    <xf numFmtId="174" fontId="5" fillId="0" borderId="1" xfId="0" applyNumberFormat="1" applyFont="1" applyBorder="1"/>
    <xf numFmtId="164" fontId="0" fillId="0" borderId="50" xfId="0" applyNumberFormat="1" applyBorder="1"/>
    <xf numFmtId="164" fontId="10" fillId="4" borderId="0" xfId="0" applyNumberFormat="1" applyFont="1" applyFill="1" applyAlignment="1">
      <alignment horizontal="right"/>
    </xf>
    <xf numFmtId="43" fontId="5" fillId="0" borderId="0" xfId="0" applyNumberFormat="1" applyFont="1"/>
    <xf numFmtId="16" fontId="32" fillId="0" borderId="42" xfId="0" applyNumberFormat="1" applyFont="1" applyBorder="1" applyAlignment="1">
      <alignment horizontal="right"/>
    </xf>
    <xf numFmtId="175" fontId="32" fillId="0" borderId="37" xfId="0" applyNumberFormat="1" applyFont="1" applyBorder="1"/>
    <xf numFmtId="43" fontId="29" fillId="4" borderId="4" xfId="0" applyNumberFormat="1" applyFont="1" applyFill="1" applyBorder="1"/>
    <xf numFmtId="43" fontId="61" fillId="4" borderId="5" xfId="0" applyNumberFormat="1" applyFont="1" applyFill="1" applyBorder="1"/>
    <xf numFmtId="164" fontId="18" fillId="0" borderId="1" xfId="0" applyNumberFormat="1" applyFont="1" applyFill="1" applyBorder="1" applyAlignment="1">
      <alignment horizontal="center" vertical="top" wrapText="1"/>
    </xf>
    <xf numFmtId="41" fontId="18" fillId="0" borderId="36" xfId="0" applyNumberFormat="1" applyFont="1" applyFill="1" applyBorder="1" applyAlignment="1">
      <alignment vertical="top"/>
    </xf>
    <xf numFmtId="41" fontId="18" fillId="0" borderId="35" xfId="0" applyNumberFormat="1" applyFont="1" applyFill="1" applyBorder="1" applyAlignment="1">
      <alignment horizontal="center" vertical="top"/>
    </xf>
    <xf numFmtId="43" fontId="34" fillId="0" borderId="4" xfId="0" applyNumberFormat="1" applyFont="1" applyBorder="1"/>
    <xf numFmtId="43" fontId="34" fillId="0" borderId="0" xfId="0" applyNumberFormat="1" applyFont="1"/>
    <xf numFmtId="0" fontId="25" fillId="0" borderId="15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center" vertical="center"/>
    </xf>
    <xf numFmtId="0" fontId="25" fillId="0" borderId="18" xfId="0" applyFont="1" applyFill="1" applyBorder="1" applyAlignment="1">
      <alignment horizontal="center" vertical="center"/>
    </xf>
    <xf numFmtId="0" fontId="25" fillId="0" borderId="19" xfId="0" applyFont="1" applyFill="1" applyBorder="1" applyAlignment="1">
      <alignment horizontal="center" vertical="center"/>
    </xf>
    <xf numFmtId="0" fontId="41" fillId="3" borderId="0" xfId="0" applyFont="1" applyFill="1" applyAlignment="1">
      <alignment horizontal="center"/>
    </xf>
    <xf numFmtId="0" fontId="52" fillId="0" borderId="0" xfId="0" applyFont="1" applyFill="1" applyBorder="1" applyAlignment="1">
      <alignment horizontal="left" vertical="top"/>
    </xf>
    <xf numFmtId="0" fontId="10" fillId="0" borderId="0" xfId="0" applyFont="1" applyAlignment="1">
      <alignment horizontal="center"/>
    </xf>
    <xf numFmtId="9" fontId="10" fillId="0" borderId="0" xfId="0" applyNumberFormat="1" applyFont="1" applyFill="1" applyAlignment="1">
      <alignment horizontal="center"/>
    </xf>
    <xf numFmtId="9" fontId="10" fillId="0" borderId="0" xfId="0" applyNumberFormat="1" applyFont="1" applyAlignment="1">
      <alignment horizontal="center"/>
    </xf>
    <xf numFmtId="0" fontId="11" fillId="0" borderId="15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FF66FF"/>
      <color rgb="FF66FF99"/>
      <color rgb="FFBF9FFF"/>
      <color rgb="FF110797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557871</xdr:colOff>
      <xdr:row>25</xdr:row>
      <xdr:rowOff>124092</xdr:rowOff>
    </xdr:from>
    <xdr:to>
      <xdr:col>13</xdr:col>
      <xdr:colOff>18586</xdr:colOff>
      <xdr:row>53</xdr:row>
      <xdr:rowOff>18891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46115" y="4603165"/>
          <a:ext cx="6987788" cy="46619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198120</xdr:colOff>
      <xdr:row>2</xdr:row>
      <xdr:rowOff>23763</xdr:rowOff>
    </xdr:from>
    <xdr:to>
      <xdr:col>8</xdr:col>
      <xdr:colOff>64770</xdr:colOff>
      <xdr:row>21</xdr:row>
      <xdr:rowOff>145077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8120" y="359043"/>
          <a:ext cx="5920740" cy="33598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</xdr:row>
      <xdr:rowOff>167639</xdr:rowOff>
    </xdr:from>
    <xdr:to>
      <xdr:col>8</xdr:col>
      <xdr:colOff>521969</xdr:colOff>
      <xdr:row>43</xdr:row>
      <xdr:rowOff>17648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160519"/>
          <a:ext cx="6576059" cy="305802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03E-5.06G-AllocMethod-19GRC-06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18 Dec IS "/>
      <sheetName val="SAP DL Downld"/>
      <sheetName val="12ME Dec 18 ZRW_DLF1"/>
      <sheetName val="Meter count Updated"/>
      <sheetName val="Electric"/>
      <sheetName val="Gas"/>
      <sheetName val="Combined-2018"/>
      <sheetName val="Elect. Customer Counts Pg 10a  "/>
      <sheetName val="Gas Customer Counts Pg 10b"/>
      <sheetName val="2017 GRC WC Det Format"/>
    </sheetNames>
    <sheetDataSet>
      <sheetData sheetId="0">
        <row r="9">
          <cell r="E9">
            <v>0.58050000000000002</v>
          </cell>
          <cell r="F9">
            <v>0.41949999999999998</v>
          </cell>
        </row>
        <row r="19">
          <cell r="E19">
            <v>0.6038</v>
          </cell>
          <cell r="F19">
            <v>0.3962</v>
          </cell>
        </row>
        <row r="43">
          <cell r="G43">
            <v>0.49997132880489842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activeCell="M8" sqref="M8"/>
    </sheetView>
  </sheetViews>
  <sheetFormatPr defaultRowHeight="12.75" x14ac:dyDescent="0.2"/>
  <cols>
    <col min="1" max="1" width="7.7109375" customWidth="1"/>
    <col min="2" max="2" width="30.28515625" bestFit="1" customWidth="1"/>
    <col min="3" max="3" width="4.7109375" customWidth="1"/>
    <col min="4" max="5" width="13.7109375" bestFit="1" customWidth="1"/>
    <col min="6" max="6" width="14.7109375" bestFit="1" customWidth="1"/>
    <col min="7" max="7" width="13.7109375" bestFit="1" customWidth="1"/>
    <col min="8" max="8" width="14.7109375" bestFit="1" customWidth="1"/>
  </cols>
  <sheetData>
    <row r="1" spans="1:9" x14ac:dyDescent="0.2">
      <c r="A1" s="2"/>
      <c r="B1" s="17"/>
      <c r="C1" s="17"/>
      <c r="D1" s="3"/>
      <c r="E1" s="3"/>
      <c r="F1" s="3"/>
      <c r="G1" s="284"/>
      <c r="H1" s="284"/>
    </row>
    <row r="2" spans="1:9" x14ac:dyDescent="0.2">
      <c r="A2" s="285" t="s">
        <v>0</v>
      </c>
      <c r="B2" s="18"/>
      <c r="C2" s="18"/>
      <c r="D2" s="4"/>
      <c r="E2" s="4"/>
      <c r="F2" s="4"/>
      <c r="G2" s="284"/>
      <c r="H2" s="284"/>
    </row>
    <row r="3" spans="1:9" x14ac:dyDescent="0.2">
      <c r="A3" s="3" t="s">
        <v>177</v>
      </c>
      <c r="B3" s="75"/>
      <c r="C3" s="75"/>
      <c r="D3" s="76"/>
      <c r="E3" s="76"/>
      <c r="F3" s="76"/>
      <c r="G3" s="284"/>
      <c r="H3" s="284"/>
    </row>
    <row r="4" spans="1:9" x14ac:dyDescent="0.2">
      <c r="A4" s="2" t="s">
        <v>226</v>
      </c>
      <c r="B4" s="17"/>
      <c r="C4" s="17"/>
      <c r="D4" s="3"/>
      <c r="E4" s="3"/>
      <c r="F4" s="3"/>
      <c r="G4" s="284"/>
      <c r="H4" s="284"/>
    </row>
    <row r="5" spans="1:9" x14ac:dyDescent="0.2">
      <c r="A5" s="2"/>
      <c r="B5" s="17"/>
      <c r="C5" s="17"/>
      <c r="D5" s="3"/>
      <c r="E5" s="3"/>
      <c r="F5" s="3"/>
    </row>
    <row r="6" spans="1:9" ht="14.25" x14ac:dyDescent="0.2">
      <c r="A6" s="282"/>
      <c r="B6" s="282"/>
      <c r="C6" s="282"/>
      <c r="D6" s="186" t="s">
        <v>316</v>
      </c>
      <c r="E6" s="186"/>
      <c r="F6" s="186" t="s">
        <v>172</v>
      </c>
      <c r="G6" s="186"/>
      <c r="H6" s="186" t="s">
        <v>229</v>
      </c>
    </row>
    <row r="7" spans="1:9" ht="14.25" x14ac:dyDescent="0.2">
      <c r="A7" s="186" t="s">
        <v>1</v>
      </c>
      <c r="B7" s="186"/>
      <c r="C7" s="186"/>
      <c r="D7" s="188" t="s">
        <v>4</v>
      </c>
      <c r="E7" s="188" t="s">
        <v>172</v>
      </c>
      <c r="F7" s="188" t="s">
        <v>5</v>
      </c>
      <c r="G7" s="188" t="s">
        <v>229</v>
      </c>
      <c r="H7" s="188" t="s">
        <v>5</v>
      </c>
    </row>
    <row r="8" spans="1:9" ht="15" x14ac:dyDescent="0.25">
      <c r="A8" s="187" t="s">
        <v>2</v>
      </c>
      <c r="B8" s="187" t="s">
        <v>3</v>
      </c>
      <c r="C8" s="187" t="s">
        <v>317</v>
      </c>
      <c r="D8" s="283" t="s">
        <v>318</v>
      </c>
      <c r="E8" s="283" t="s">
        <v>319</v>
      </c>
      <c r="F8" s="283" t="s">
        <v>320</v>
      </c>
      <c r="G8" s="283" t="s">
        <v>321</v>
      </c>
      <c r="H8" s="283" t="s">
        <v>322</v>
      </c>
    </row>
    <row r="9" spans="1:9" ht="14.25" x14ac:dyDescent="0.2">
      <c r="A9" s="1"/>
      <c r="B9" s="1"/>
      <c r="C9" s="1"/>
      <c r="D9" s="188"/>
      <c r="E9" s="188"/>
      <c r="F9" s="188"/>
      <c r="G9" s="188"/>
      <c r="H9" s="188"/>
    </row>
    <row r="10" spans="1:9" x14ac:dyDescent="0.2">
      <c r="A10" s="5">
        <v>1</v>
      </c>
      <c r="B10" s="1" t="s">
        <v>6</v>
      </c>
      <c r="C10" s="1"/>
      <c r="D10" s="196">
        <f>'Summary Prop &amp; Liab Ins'!G16</f>
        <v>3672711.9291196666</v>
      </c>
      <c r="E10" s="196">
        <f>'Summary Prop &amp; Liab Ins'!K16</f>
        <v>3488881.3959241672</v>
      </c>
      <c r="F10" s="196">
        <f>E10-D10</f>
        <v>-183830.53319549933</v>
      </c>
      <c r="G10" s="180">
        <f>'Summary Prop &amp; Liab Ins'!S16</f>
        <v>4009178.2935778066</v>
      </c>
      <c r="H10" s="20">
        <f>G10-E10</f>
        <v>520296.89765363932</v>
      </c>
    </row>
    <row r="11" spans="1:9" x14ac:dyDescent="0.2">
      <c r="A11" s="5">
        <f>A10+1</f>
        <v>2</v>
      </c>
      <c r="B11" s="1" t="s">
        <v>7</v>
      </c>
      <c r="C11" s="1"/>
      <c r="D11" s="196">
        <f>'Summary Prop &amp; Liab Ins'!G42</f>
        <v>2115323.8108910434</v>
      </c>
      <c r="E11" s="196">
        <f>'Summary Prop &amp; Liab Ins'!K42</f>
        <v>1894152.5850881652</v>
      </c>
      <c r="F11" s="196">
        <f>E11-D11</f>
        <v>-221171.22580287815</v>
      </c>
      <c r="G11" s="180">
        <f>'Summary Prop &amp; Liab Ins'!S42</f>
        <v>1934093.6637685676</v>
      </c>
      <c r="H11" s="20">
        <f>G11-E11</f>
        <v>39941.078680402366</v>
      </c>
      <c r="I11" s="641"/>
    </row>
    <row r="12" spans="1:9" x14ac:dyDescent="0.2">
      <c r="A12" s="5">
        <f>A11+1</f>
        <v>3</v>
      </c>
      <c r="B12" s="6" t="s">
        <v>8</v>
      </c>
      <c r="C12" s="6"/>
      <c r="D12" s="197">
        <f>SUM(D10:D11)</f>
        <v>5788035.7400107104</v>
      </c>
      <c r="E12" s="197">
        <f>SUM(E10:E11)</f>
        <v>5383033.9810123323</v>
      </c>
      <c r="F12" s="197">
        <f>SUM(F10:F11)</f>
        <v>-405001.75899837748</v>
      </c>
      <c r="G12" s="197">
        <f>SUM(G10:G11)</f>
        <v>5943271.9573463742</v>
      </c>
      <c r="H12" s="197">
        <f>SUM(H10:H11)</f>
        <v>560237.97633404168</v>
      </c>
    </row>
    <row r="13" spans="1:9" ht="13.5" x14ac:dyDescent="0.25">
      <c r="A13" s="5">
        <f>A12+1</f>
        <v>4</v>
      </c>
      <c r="B13" s="6"/>
      <c r="C13" s="6"/>
      <c r="D13" s="192"/>
      <c r="E13" s="193"/>
      <c r="F13" s="195"/>
    </row>
    <row r="14" spans="1:9" x14ac:dyDescent="0.2">
      <c r="A14" s="5">
        <f>A13+1</f>
        <v>5</v>
      </c>
      <c r="B14" s="6" t="s">
        <v>323</v>
      </c>
      <c r="C14" s="7">
        <v>0.21</v>
      </c>
      <c r="D14" s="190">
        <f t="shared" ref="D14:E14" si="0">-D12*$C$14</f>
        <v>-1215487.5054022491</v>
      </c>
      <c r="E14" s="190">
        <f t="shared" si="0"/>
        <v>-1130437.1360125898</v>
      </c>
      <c r="F14" s="196">
        <f>E14-D14</f>
        <v>85050.369389659259</v>
      </c>
      <c r="G14" s="20">
        <f>-G12*C14</f>
        <v>-1248087.1110427384</v>
      </c>
      <c r="H14" s="20">
        <f>G14-E14</f>
        <v>-117649.97503014863</v>
      </c>
    </row>
    <row r="15" spans="1:9" ht="13.5" thickBot="1" x14ac:dyDescent="0.25">
      <c r="A15" s="5">
        <f>A14+1</f>
        <v>6</v>
      </c>
      <c r="B15" s="6" t="s">
        <v>9</v>
      </c>
      <c r="C15" s="6"/>
      <c r="D15" s="13">
        <f t="shared" ref="D15:E15" si="1">-D12-D14</f>
        <v>-4572548.2346084611</v>
      </c>
      <c r="E15" s="13">
        <f t="shared" si="1"/>
        <v>-4252596.8449997427</v>
      </c>
      <c r="F15" s="13">
        <f>-F12-F14</f>
        <v>319951.38960871822</v>
      </c>
      <c r="G15" s="13">
        <f t="shared" ref="G15:H15" si="2">-G12-G14</f>
        <v>-4695184.8463036362</v>
      </c>
      <c r="H15" s="13">
        <f t="shared" si="2"/>
        <v>-442588.00130389305</v>
      </c>
    </row>
    <row r="16" spans="1:9" ht="13.5" thickTop="1" x14ac:dyDescent="0.2">
      <c r="D16" s="194"/>
      <c r="E16" s="194"/>
      <c r="F16" s="194"/>
    </row>
    <row r="18" spans="1:8" x14ac:dyDescent="0.2">
      <c r="A18" s="285"/>
      <c r="B18" s="712"/>
      <c r="C18" s="712"/>
      <c r="D18" s="713"/>
      <c r="E18" s="713"/>
      <c r="F18" s="713"/>
      <c r="G18" s="714"/>
      <c r="H18" s="714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zoomScale="80" zoomScaleNormal="80" workbookViewId="0">
      <selection activeCell="K27" sqref="K27"/>
    </sheetView>
  </sheetViews>
  <sheetFormatPr defaultColWidth="8.85546875" defaultRowHeight="12.75" x14ac:dyDescent="0.2"/>
  <cols>
    <col min="1" max="1" width="21.42578125" style="290" bestFit="1" customWidth="1"/>
    <col min="2" max="2" width="11.85546875" style="290" customWidth="1"/>
    <col min="3" max="3" width="12.28515625" style="290" customWidth="1"/>
    <col min="4" max="4" width="13.5703125" style="290" customWidth="1"/>
    <col min="5" max="5" width="12" style="290" bestFit="1" customWidth="1"/>
    <col min="6" max="6" width="12.42578125" style="290" customWidth="1"/>
    <col min="7" max="7" width="10.42578125" style="290" bestFit="1" customWidth="1"/>
    <col min="8" max="8" width="12" style="290" customWidth="1"/>
    <col min="9" max="9" width="11.85546875" style="290" customWidth="1"/>
    <col min="10" max="13" width="12.5703125" style="290" customWidth="1"/>
    <col min="14" max="14" width="13.140625" style="290" bestFit="1" customWidth="1"/>
    <col min="15" max="15" width="21.42578125" style="290" bestFit="1" customWidth="1"/>
    <col min="16" max="16" width="8.85546875" style="290"/>
    <col min="17" max="17" width="10.42578125" style="290" bestFit="1" customWidth="1"/>
    <col min="18" max="18" width="13.140625" style="290" bestFit="1" customWidth="1"/>
    <col min="19" max="16384" width="8.85546875" style="290"/>
  </cols>
  <sheetData>
    <row r="1" spans="1:18" ht="15.75" x14ac:dyDescent="0.2">
      <c r="A1" s="289"/>
    </row>
    <row r="4" spans="1:18" x14ac:dyDescent="0.2">
      <c r="A4" s="291" t="s">
        <v>138</v>
      </c>
      <c r="B4" s="292">
        <v>43434</v>
      </c>
      <c r="C4" s="292">
        <v>43465</v>
      </c>
      <c r="D4" s="292">
        <f t="shared" ref="D4:M4" si="0">EOMONTH(C4,1)</f>
        <v>43496</v>
      </c>
      <c r="E4" s="292">
        <f t="shared" si="0"/>
        <v>43524</v>
      </c>
      <c r="F4" s="292">
        <f t="shared" si="0"/>
        <v>43555</v>
      </c>
      <c r="G4" s="292">
        <f t="shared" si="0"/>
        <v>43585</v>
      </c>
      <c r="H4" s="292">
        <f t="shared" si="0"/>
        <v>43616</v>
      </c>
      <c r="I4" s="292">
        <f t="shared" si="0"/>
        <v>43646</v>
      </c>
      <c r="J4" s="292">
        <f t="shared" si="0"/>
        <v>43677</v>
      </c>
      <c r="K4" s="292">
        <f t="shared" si="0"/>
        <v>43708</v>
      </c>
      <c r="L4" s="292">
        <f t="shared" si="0"/>
        <v>43738</v>
      </c>
      <c r="M4" s="292">
        <f t="shared" si="0"/>
        <v>43769</v>
      </c>
      <c r="N4" s="292" t="s">
        <v>207</v>
      </c>
      <c r="O4" s="292" t="s">
        <v>208</v>
      </c>
      <c r="Q4" s="329" t="s">
        <v>329</v>
      </c>
      <c r="R4" s="329" t="s">
        <v>330</v>
      </c>
    </row>
    <row r="5" spans="1:18" x14ac:dyDescent="0.2">
      <c r="A5" s="293" t="s">
        <v>135</v>
      </c>
      <c r="B5" s="142">
        <v>25380.721666666668</v>
      </c>
      <c r="C5" s="142">
        <v>25380.721666666668</v>
      </c>
      <c r="D5" s="142">
        <v>25380.721666666668</v>
      </c>
      <c r="E5" s="142">
        <v>25380.721666666668</v>
      </c>
      <c r="F5" s="142">
        <v>25380.721666666668</v>
      </c>
      <c r="G5" s="142">
        <v>25380.721666666668</v>
      </c>
      <c r="H5" s="142">
        <v>25380.721666666668</v>
      </c>
      <c r="I5" s="142">
        <v>25380.721666666668</v>
      </c>
      <c r="J5" s="142">
        <v>25380.721666666668</v>
      </c>
      <c r="K5" s="142">
        <v>25380.721666666668</v>
      </c>
      <c r="L5" s="142">
        <v>25380.721666666668</v>
      </c>
      <c r="M5" s="142">
        <v>25380.721666666668</v>
      </c>
      <c r="N5" s="722">
        <f>SUM(B5:M5)</f>
        <v>304568.66000000009</v>
      </c>
      <c r="O5" s="729">
        <f>N5*49.85%</f>
        <v>151827.47701000003</v>
      </c>
      <c r="Q5" s="330">
        <f>O5/12</f>
        <v>12652.289750833335</v>
      </c>
      <c r="R5" s="330">
        <f>Q5*12</f>
        <v>151827.47701000003</v>
      </c>
    </row>
    <row r="6" spans="1:18" x14ac:dyDescent="0.2">
      <c r="A6" s="293"/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321"/>
      <c r="O6" s="730"/>
    </row>
    <row r="7" spans="1:18" x14ac:dyDescent="0.2">
      <c r="A7" s="294" t="s">
        <v>139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321"/>
      <c r="O7" s="730"/>
    </row>
    <row r="8" spans="1:18" x14ac:dyDescent="0.2">
      <c r="A8" s="293" t="s">
        <v>131</v>
      </c>
      <c r="B8" s="142">
        <v>720.59083333333331</v>
      </c>
      <c r="C8" s="142">
        <v>720.59083333333331</v>
      </c>
      <c r="D8" s="142">
        <v>720.59083333333331</v>
      </c>
      <c r="E8" s="142">
        <v>720.59083333333331</v>
      </c>
      <c r="F8" s="142">
        <v>720.59083333333331</v>
      </c>
      <c r="G8" s="142">
        <v>720.59083333333331</v>
      </c>
      <c r="H8" s="142">
        <v>720.59083333333331</v>
      </c>
      <c r="I8" s="142">
        <v>720.59083333333331</v>
      </c>
      <c r="J8" s="142">
        <v>720.59083333333331</v>
      </c>
      <c r="K8" s="142">
        <v>720.59083333333331</v>
      </c>
      <c r="L8" s="142">
        <v>720.59083333333331</v>
      </c>
      <c r="M8" s="142">
        <v>720.59083333333331</v>
      </c>
      <c r="N8" s="724">
        <f t="shared" ref="N8:N13" si="1">SUM(B8:M8)</f>
        <v>8647.090000000002</v>
      </c>
      <c r="O8" s="730"/>
    </row>
    <row r="9" spans="1:18" x14ac:dyDescent="0.2">
      <c r="A9" s="293" t="s">
        <v>328</v>
      </c>
      <c r="B9" s="142">
        <v>630.78416666666669</v>
      </c>
      <c r="C9" s="142">
        <v>630.78416666666669</v>
      </c>
      <c r="D9" s="142">
        <v>630.78416666666669</v>
      </c>
      <c r="E9" s="142">
        <v>630.78416666666669</v>
      </c>
      <c r="F9" s="142">
        <v>630.78416666666669</v>
      </c>
      <c r="G9" s="142">
        <v>630.78416666666669</v>
      </c>
      <c r="H9" s="142">
        <v>630.78416666666669</v>
      </c>
      <c r="I9" s="142">
        <v>630.78416666666669</v>
      </c>
      <c r="J9" s="142">
        <v>630.78416666666669</v>
      </c>
      <c r="K9" s="142">
        <v>630.78416666666669</v>
      </c>
      <c r="L9" s="142">
        <v>630.78416666666669</v>
      </c>
      <c r="M9" s="142">
        <v>630.78416666666669</v>
      </c>
      <c r="N9" s="724">
        <f t="shared" si="1"/>
        <v>7569.4099999999989</v>
      </c>
      <c r="O9" s="730"/>
    </row>
    <row r="10" spans="1:18" x14ac:dyDescent="0.2">
      <c r="A10" s="293" t="s">
        <v>141</v>
      </c>
      <c r="B10" s="142">
        <v>67.5</v>
      </c>
      <c r="C10" s="142">
        <v>67.5</v>
      </c>
      <c r="D10" s="142">
        <v>67.5</v>
      </c>
      <c r="E10" s="142">
        <v>67.5</v>
      </c>
      <c r="F10" s="142">
        <v>67.5</v>
      </c>
      <c r="G10" s="142">
        <v>67.5</v>
      </c>
      <c r="H10" s="142">
        <v>67.5</v>
      </c>
      <c r="I10" s="142">
        <v>67.5</v>
      </c>
      <c r="J10" s="142">
        <v>67.5</v>
      </c>
      <c r="K10" s="142">
        <v>67.5</v>
      </c>
      <c r="L10" s="142">
        <v>67.5</v>
      </c>
      <c r="M10" s="142">
        <v>67.5</v>
      </c>
      <c r="N10" s="724">
        <f t="shared" si="1"/>
        <v>810</v>
      </c>
      <c r="O10" s="730"/>
    </row>
    <row r="11" spans="1:18" x14ac:dyDescent="0.2">
      <c r="A11" s="293" t="s">
        <v>142</v>
      </c>
      <c r="B11" s="142">
        <v>1175.0358333333334</v>
      </c>
      <c r="C11" s="142">
        <v>1175.0358333333334</v>
      </c>
      <c r="D11" s="142">
        <v>1175.0358333333334</v>
      </c>
      <c r="E11" s="142">
        <v>1175.0358333333334</v>
      </c>
      <c r="F11" s="142">
        <v>1175.0358333333334</v>
      </c>
      <c r="G11" s="142">
        <v>1175.0358333333334</v>
      </c>
      <c r="H11" s="142">
        <v>1175.0358333333334</v>
      </c>
      <c r="I11" s="142">
        <v>1175.0358333333334</v>
      </c>
      <c r="J11" s="142">
        <v>1175.0358333333334</v>
      </c>
      <c r="K11" s="142">
        <v>1175.0358333333334</v>
      </c>
      <c r="L11" s="142">
        <v>1175.0358333333334</v>
      </c>
      <c r="M11" s="142">
        <v>1175.0358333333334</v>
      </c>
      <c r="N11" s="724">
        <f t="shared" si="1"/>
        <v>14100.43</v>
      </c>
      <c r="O11" s="730"/>
    </row>
    <row r="12" spans="1:18" x14ac:dyDescent="0.2">
      <c r="A12" s="293" t="s">
        <v>143</v>
      </c>
      <c r="B12" s="142">
        <v>631.58083333333332</v>
      </c>
      <c r="C12" s="142">
        <v>631.58083333333332</v>
      </c>
      <c r="D12" s="142">
        <v>631.58083333333332</v>
      </c>
      <c r="E12" s="142">
        <v>631.58083333333332</v>
      </c>
      <c r="F12" s="142">
        <v>631.58083333333332</v>
      </c>
      <c r="G12" s="142">
        <v>631.58083333333332</v>
      </c>
      <c r="H12" s="142">
        <v>631.58083333333332</v>
      </c>
      <c r="I12" s="142">
        <v>631.58083333333332</v>
      </c>
      <c r="J12" s="142">
        <v>631.58083333333332</v>
      </c>
      <c r="K12" s="142">
        <v>631.58083333333332</v>
      </c>
      <c r="L12" s="142">
        <v>631.58083333333332</v>
      </c>
      <c r="M12" s="142">
        <v>631.58083333333332</v>
      </c>
      <c r="N12" s="724">
        <f t="shared" si="1"/>
        <v>7578.97</v>
      </c>
      <c r="O12" s="730"/>
    </row>
    <row r="13" spans="1:18" x14ac:dyDescent="0.2">
      <c r="A13" s="293" t="s">
        <v>144</v>
      </c>
      <c r="B13" s="142">
        <v>5814.0991666666669</v>
      </c>
      <c r="C13" s="142">
        <v>5814.0991666666669</v>
      </c>
      <c r="D13" s="142">
        <v>5814.0991666666669</v>
      </c>
      <c r="E13" s="142">
        <v>5814.0991666666669</v>
      </c>
      <c r="F13" s="142">
        <v>5814.0991666666669</v>
      </c>
      <c r="G13" s="142">
        <v>5814.0991666666669</v>
      </c>
      <c r="H13" s="142">
        <v>5814.0991666666669</v>
      </c>
      <c r="I13" s="142">
        <v>5814.0991666666669</v>
      </c>
      <c r="J13" s="142">
        <v>5814.0991666666669</v>
      </c>
      <c r="K13" s="142">
        <v>5814.0991666666669</v>
      </c>
      <c r="L13" s="142">
        <v>5814.0991666666669</v>
      </c>
      <c r="M13" s="142">
        <v>5814.0991666666669</v>
      </c>
      <c r="N13" s="724">
        <f t="shared" si="1"/>
        <v>69769.19</v>
      </c>
      <c r="O13" s="730"/>
    </row>
    <row r="14" spans="1:18" x14ac:dyDescent="0.2">
      <c r="A14" s="295" t="s">
        <v>209</v>
      </c>
      <c r="B14" s="145">
        <f>SUM(B8:B13)</f>
        <v>9039.5908333333336</v>
      </c>
      <c r="C14" s="145">
        <f t="shared" ref="C14:M14" si="2">SUM(C8:C13)</f>
        <v>9039.5908333333336</v>
      </c>
      <c r="D14" s="145">
        <f t="shared" si="2"/>
        <v>9039.5908333333336</v>
      </c>
      <c r="E14" s="145">
        <f t="shared" si="2"/>
        <v>9039.5908333333336</v>
      </c>
      <c r="F14" s="145">
        <f t="shared" si="2"/>
        <v>9039.5908333333336</v>
      </c>
      <c r="G14" s="145">
        <f t="shared" si="2"/>
        <v>9039.5908333333336</v>
      </c>
      <c r="H14" s="145">
        <f t="shared" si="2"/>
        <v>9039.5908333333336</v>
      </c>
      <c r="I14" s="145">
        <f t="shared" si="2"/>
        <v>9039.5908333333336</v>
      </c>
      <c r="J14" s="145">
        <f t="shared" si="2"/>
        <v>9039.5908333333336</v>
      </c>
      <c r="K14" s="145">
        <f t="shared" si="2"/>
        <v>9039.5908333333336</v>
      </c>
      <c r="L14" s="145">
        <f t="shared" si="2"/>
        <v>9039.5908333333336</v>
      </c>
      <c r="M14" s="145">
        <f t="shared" si="2"/>
        <v>9039.5908333333336</v>
      </c>
      <c r="N14" s="145">
        <f>SUM(N8:N13)</f>
        <v>108475.09</v>
      </c>
      <c r="O14" s="729">
        <f>N14*49.85%</f>
        <v>54074.832364999995</v>
      </c>
    </row>
    <row r="15" spans="1:18" x14ac:dyDescent="0.2">
      <c r="A15" s="293"/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321"/>
      <c r="O15" s="730"/>
    </row>
    <row r="16" spans="1:18" ht="13.5" thickBot="1" x14ac:dyDescent="0.25">
      <c r="A16" s="732" t="s">
        <v>40</v>
      </c>
      <c r="B16" s="145">
        <f>SUM(B5:B13)</f>
        <v>34420.3125</v>
      </c>
      <c r="C16" s="145">
        <f>SUM(C5:C13)</f>
        <v>34420.3125</v>
      </c>
      <c r="D16" s="145">
        <f t="shared" ref="D16:M16" si="3">SUM(D5:D13)</f>
        <v>34420.3125</v>
      </c>
      <c r="E16" s="145">
        <f t="shared" si="3"/>
        <v>34420.3125</v>
      </c>
      <c r="F16" s="145">
        <f t="shared" si="3"/>
        <v>34420.3125</v>
      </c>
      <c r="G16" s="145">
        <f t="shared" si="3"/>
        <v>34420.3125</v>
      </c>
      <c r="H16" s="145">
        <f t="shared" si="3"/>
        <v>34420.3125</v>
      </c>
      <c r="I16" s="145">
        <f t="shared" si="3"/>
        <v>34420.3125</v>
      </c>
      <c r="J16" s="145">
        <f t="shared" si="3"/>
        <v>34420.3125</v>
      </c>
      <c r="K16" s="145">
        <f t="shared" si="3"/>
        <v>34420.3125</v>
      </c>
      <c r="L16" s="145">
        <f t="shared" si="3"/>
        <v>34420.3125</v>
      </c>
      <c r="M16" s="145">
        <f t="shared" si="3"/>
        <v>34420.3125</v>
      </c>
      <c r="N16" s="725">
        <f>SUM(B16:M16)</f>
        <v>413043.75</v>
      </c>
      <c r="O16" s="731">
        <f>O5+O14</f>
        <v>205902.30937500001</v>
      </c>
    </row>
    <row r="17" spans="1:15" ht="13.5" thickTop="1" x14ac:dyDescent="0.2">
      <c r="N17" s="730"/>
      <c r="O17" s="730"/>
    </row>
    <row r="18" spans="1:15" x14ac:dyDescent="0.2">
      <c r="A18" s="296" t="s">
        <v>208</v>
      </c>
      <c r="B18" s="297">
        <f t="shared" ref="B18:M18" si="4">B16*49.85%</f>
        <v>17158.525781249999</v>
      </c>
      <c r="C18" s="297">
        <f t="shared" si="4"/>
        <v>17158.525781249999</v>
      </c>
      <c r="D18" s="298">
        <f t="shared" si="4"/>
        <v>17158.525781249999</v>
      </c>
      <c r="E18" s="298">
        <f t="shared" si="4"/>
        <v>17158.525781249999</v>
      </c>
      <c r="F18" s="298">
        <f t="shared" si="4"/>
        <v>17158.525781249999</v>
      </c>
      <c r="G18" s="298">
        <f t="shared" si="4"/>
        <v>17158.525781249999</v>
      </c>
      <c r="H18" s="298">
        <f t="shared" si="4"/>
        <v>17158.525781249999</v>
      </c>
      <c r="I18" s="298">
        <f t="shared" si="4"/>
        <v>17158.525781249999</v>
      </c>
      <c r="J18" s="298">
        <f t="shared" si="4"/>
        <v>17158.525781249999</v>
      </c>
      <c r="K18" s="298">
        <f t="shared" si="4"/>
        <v>17158.525781249999</v>
      </c>
      <c r="L18" s="298">
        <f t="shared" si="4"/>
        <v>17158.525781249999</v>
      </c>
      <c r="M18" s="298">
        <f t="shared" si="4"/>
        <v>17158.525781249999</v>
      </c>
      <c r="N18" s="145">
        <f>SUM(B18:M18)</f>
        <v>205902.30937500004</v>
      </c>
      <c r="O18" s="730"/>
    </row>
    <row r="19" spans="1:15" x14ac:dyDescent="0.2">
      <c r="A19" s="296"/>
      <c r="C19" s="298"/>
      <c r="N19" s="730"/>
      <c r="O19" s="730"/>
    </row>
    <row r="20" spans="1:15" x14ac:dyDescent="0.2">
      <c r="A20" s="293"/>
      <c r="N20" s="730"/>
      <c r="O20" s="730"/>
    </row>
    <row r="21" spans="1:15" x14ac:dyDescent="0.2">
      <c r="A21" s="293"/>
    </row>
    <row r="23" spans="1:15" x14ac:dyDescent="0.2">
      <c r="F23" s="389" t="s">
        <v>208</v>
      </c>
      <c r="G23" s="389" t="s">
        <v>345</v>
      </c>
    </row>
    <row r="24" spans="1:15" x14ac:dyDescent="0.2">
      <c r="D24" s="389" t="s">
        <v>344</v>
      </c>
      <c r="F24" s="388">
        <f>O5</f>
        <v>151827.47701000003</v>
      </c>
      <c r="G24" s="330">
        <f>F24/12</f>
        <v>12652.289750833335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2"/>
  <sheetViews>
    <sheetView zoomScale="80" zoomScaleNormal="80" workbookViewId="0">
      <selection activeCell="L64" sqref="L64"/>
    </sheetView>
  </sheetViews>
  <sheetFormatPr defaultColWidth="8.85546875" defaultRowHeight="12.75" x14ac:dyDescent="0.2"/>
  <cols>
    <col min="1" max="1" width="8.85546875" style="65"/>
    <col min="2" max="2" width="15.28515625" style="65" bestFit="1" customWidth="1"/>
    <col min="3" max="3" width="11.42578125" style="65" bestFit="1" customWidth="1"/>
    <col min="4" max="4" width="10.85546875" style="65" bestFit="1" customWidth="1"/>
    <col min="5" max="5" width="11.42578125" style="65" bestFit="1" customWidth="1"/>
    <col min="6" max="6" width="11" style="65" bestFit="1" customWidth="1"/>
    <col min="7" max="7" width="10.42578125" style="65" bestFit="1" customWidth="1"/>
    <col min="8" max="10" width="8.85546875" style="65"/>
    <col min="11" max="11" width="7.28515625" style="65" customWidth="1"/>
    <col min="12" max="12" width="22" style="65" customWidth="1"/>
    <col min="13" max="13" width="12.42578125" style="65" bestFit="1" customWidth="1"/>
    <col min="14" max="14" width="13.28515625" style="65" bestFit="1" customWidth="1"/>
    <col min="15" max="15" width="11.42578125" style="65" bestFit="1" customWidth="1"/>
    <col min="16" max="16" width="7.7109375" style="65" bestFit="1" customWidth="1"/>
    <col min="17" max="17" width="8.85546875" style="65"/>
    <col min="18" max="18" width="12.140625" style="65" bestFit="1" customWidth="1"/>
    <col min="19" max="16384" width="8.85546875" style="65"/>
  </cols>
  <sheetData>
    <row r="1" spans="1:19" x14ac:dyDescent="0.2">
      <c r="A1" s="875"/>
      <c r="B1" s="875"/>
      <c r="C1" s="875"/>
      <c r="D1" s="875"/>
      <c r="E1" s="875"/>
      <c r="F1" s="875"/>
      <c r="G1" s="875"/>
      <c r="H1" s="875"/>
      <c r="I1" s="875"/>
      <c r="J1" s="875"/>
      <c r="K1" s="875"/>
      <c r="L1" s="64"/>
    </row>
    <row r="2" spans="1:19" x14ac:dyDescent="0.2">
      <c r="A2" s="875" t="s">
        <v>101</v>
      </c>
      <c r="B2" s="875"/>
      <c r="C2" s="875"/>
      <c r="D2" s="875"/>
      <c r="E2" s="875"/>
      <c r="F2" s="875"/>
      <c r="G2" s="875"/>
      <c r="H2" s="875"/>
      <c r="I2" s="875"/>
      <c r="J2" s="875"/>
      <c r="K2" s="875"/>
      <c r="L2" s="877" t="s">
        <v>178</v>
      </c>
      <c r="M2" s="877"/>
      <c r="N2" s="877"/>
    </row>
    <row r="3" spans="1:19" x14ac:dyDescent="0.2">
      <c r="M3" s="66" t="s">
        <v>102</v>
      </c>
      <c r="N3" s="66" t="s">
        <v>103</v>
      </c>
    </row>
    <row r="4" spans="1:19" x14ac:dyDescent="0.2">
      <c r="L4" s="122" t="s">
        <v>128</v>
      </c>
      <c r="M4" s="180">
        <f>61167.51</f>
        <v>61167.51</v>
      </c>
      <c r="N4" s="180">
        <v>129980.95</v>
      </c>
      <c r="O4" s="122"/>
      <c r="P4" s="122"/>
      <c r="Q4" s="122"/>
    </row>
    <row r="5" spans="1:19" ht="15" x14ac:dyDescent="0.35">
      <c r="L5" s="122" t="s">
        <v>104</v>
      </c>
      <c r="M5" s="733">
        <f>M4*12</f>
        <v>734010.12</v>
      </c>
      <c r="N5" s="733">
        <f>N4*12</f>
        <v>1559771.4</v>
      </c>
      <c r="O5" s="122"/>
      <c r="P5" s="122"/>
      <c r="Q5" s="122"/>
    </row>
    <row r="6" spans="1:19" ht="13.5" thickBot="1" x14ac:dyDescent="0.25">
      <c r="L6" s="126" t="s">
        <v>105</v>
      </c>
      <c r="M6" s="734">
        <v>0.5</v>
      </c>
      <c r="N6" s="734">
        <v>0.25</v>
      </c>
      <c r="O6" s="126"/>
      <c r="P6" s="792" t="s">
        <v>124</v>
      </c>
      <c r="Q6" s="793"/>
      <c r="R6" s="794"/>
      <c r="S6" s="794"/>
    </row>
    <row r="7" spans="1:19" ht="13.5" thickBot="1" x14ac:dyDescent="0.25">
      <c r="L7" s="735" t="s">
        <v>106</v>
      </c>
      <c r="M7" s="736">
        <f>M5*M6</f>
        <v>367005.06</v>
      </c>
      <c r="N7" s="737">
        <f>N5*N6</f>
        <v>389942.85</v>
      </c>
      <c r="O7" s="738">
        <f>SUM(M7:N7)</f>
        <v>756947.90999999992</v>
      </c>
      <c r="P7" s="795">
        <f>'Prop Ins - RYupdated'!D9+'Prop Ins - RYupdated'!D10-'Colstrip Ins '!O7</f>
        <v>1.090000000083819</v>
      </c>
      <c r="Q7" s="796" t="s">
        <v>181</v>
      </c>
      <c r="R7" s="794"/>
      <c r="S7" s="794"/>
    </row>
    <row r="8" spans="1:19" ht="13.5" thickBot="1" x14ac:dyDescent="0.25">
      <c r="L8" s="739" t="s">
        <v>107</v>
      </c>
      <c r="M8" s="387">
        <f>M7/12</f>
        <v>30583.755000000001</v>
      </c>
      <c r="N8" s="525">
        <f>N7/12</f>
        <v>32495.237499999999</v>
      </c>
      <c r="O8" s="122"/>
      <c r="P8" s="122"/>
      <c r="Q8" s="122"/>
    </row>
    <row r="9" spans="1:19" x14ac:dyDescent="0.2">
      <c r="L9" s="384" t="s">
        <v>343</v>
      </c>
      <c r="M9" s="740">
        <f>M8*K21</f>
        <v>275253.79499999998</v>
      </c>
      <c r="N9" s="741">
        <f>N8*K21</f>
        <v>292457.13750000001</v>
      </c>
      <c r="O9" s="742">
        <f>SUM(M9:N9)</f>
        <v>567710.9325</v>
      </c>
      <c r="P9" s="122" t="s">
        <v>40</v>
      </c>
      <c r="Q9" s="122"/>
    </row>
    <row r="10" spans="1:19" x14ac:dyDescent="0.2">
      <c r="L10" s="128"/>
      <c r="M10" s="128"/>
      <c r="N10" s="128"/>
      <c r="O10" s="128"/>
      <c r="P10" s="122"/>
      <c r="Q10" s="122"/>
    </row>
    <row r="11" spans="1:19" x14ac:dyDescent="0.2">
      <c r="L11" s="128"/>
      <c r="M11" s="128"/>
      <c r="N11" s="128"/>
      <c r="O11" s="128"/>
      <c r="P11" s="122"/>
      <c r="Q11" s="122"/>
    </row>
    <row r="12" spans="1:19" x14ac:dyDescent="0.2">
      <c r="L12" s="128"/>
      <c r="M12" s="385"/>
      <c r="N12" s="385"/>
      <c r="O12" s="337"/>
      <c r="P12" s="122"/>
      <c r="Q12" s="122"/>
      <c r="R12" s="182"/>
    </row>
    <row r="13" spans="1:19" x14ac:dyDescent="0.2">
      <c r="L13" s="128"/>
      <c r="M13" s="386"/>
      <c r="N13" s="386"/>
      <c r="O13" s="128"/>
      <c r="P13" s="122"/>
      <c r="Q13" s="122"/>
      <c r="R13" s="74"/>
    </row>
    <row r="14" spans="1:19" x14ac:dyDescent="0.2">
      <c r="L14" s="338"/>
      <c r="M14" s="386"/>
      <c r="N14" s="386"/>
      <c r="O14" s="337"/>
      <c r="P14" s="122"/>
      <c r="Q14" s="122"/>
    </row>
    <row r="15" spans="1:19" x14ac:dyDescent="0.2">
      <c r="L15" s="128"/>
      <c r="M15" s="336"/>
      <c r="N15" s="336"/>
      <c r="O15" s="128"/>
      <c r="P15" s="122"/>
      <c r="Q15" s="122"/>
    </row>
    <row r="16" spans="1:19" x14ac:dyDescent="0.2">
      <c r="L16" s="128"/>
      <c r="M16" s="387"/>
      <c r="N16" s="387"/>
      <c r="O16" s="382"/>
      <c r="P16" s="122"/>
      <c r="Q16" s="122"/>
    </row>
    <row r="17" spans="1:20" x14ac:dyDescent="0.2">
      <c r="L17" s="128"/>
      <c r="M17" s="336"/>
      <c r="N17" s="336"/>
      <c r="O17" s="337"/>
      <c r="P17" s="122"/>
      <c r="Q17" s="122"/>
    </row>
    <row r="18" spans="1:20" x14ac:dyDescent="0.2">
      <c r="L18" s="128"/>
      <c r="M18" s="336"/>
      <c r="N18" s="336"/>
      <c r="O18" s="337"/>
      <c r="P18" s="122"/>
      <c r="Q18" s="122"/>
    </row>
    <row r="19" spans="1:20" x14ac:dyDescent="0.2">
      <c r="K19" s="338" t="s">
        <v>342</v>
      </c>
      <c r="L19" s="338" t="s">
        <v>339</v>
      </c>
      <c r="M19" s="339"/>
      <c r="N19" s="339"/>
      <c r="O19" s="743"/>
      <c r="P19" s="125"/>
      <c r="Q19" s="122"/>
    </row>
    <row r="20" spans="1:20" x14ac:dyDescent="0.2">
      <c r="K20" s="383">
        <v>3</v>
      </c>
      <c r="L20" s="122" t="s">
        <v>340</v>
      </c>
      <c r="M20" s="122"/>
      <c r="N20" s="122"/>
      <c r="O20" s="122"/>
      <c r="P20" s="122"/>
      <c r="Q20" s="122"/>
    </row>
    <row r="21" spans="1:20" x14ac:dyDescent="0.2">
      <c r="K21" s="383">
        <v>9</v>
      </c>
      <c r="L21" s="122" t="s">
        <v>341</v>
      </c>
      <c r="M21" s="122"/>
      <c r="N21" s="122"/>
      <c r="O21" s="122"/>
      <c r="P21" s="122"/>
      <c r="Q21" s="122"/>
    </row>
    <row r="22" spans="1:20" x14ac:dyDescent="0.2">
      <c r="L22" s="122"/>
      <c r="M22" s="122"/>
      <c r="N22" s="122"/>
      <c r="O22" s="122"/>
      <c r="P22" s="122"/>
      <c r="Q22" s="122"/>
    </row>
    <row r="23" spans="1:20" ht="6.6" customHeight="1" x14ac:dyDescent="0.2">
      <c r="A23" s="73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122"/>
      <c r="M23" s="122"/>
      <c r="N23" s="122"/>
      <c r="O23" s="122"/>
      <c r="P23" s="122"/>
      <c r="Q23" s="122"/>
    </row>
    <row r="24" spans="1:20" x14ac:dyDescent="0.2">
      <c r="A24" s="875" t="s">
        <v>180</v>
      </c>
      <c r="B24" s="875"/>
      <c r="C24" s="875"/>
      <c r="D24" s="875"/>
      <c r="E24" s="875"/>
      <c r="F24" s="875"/>
      <c r="G24" s="875"/>
      <c r="H24" s="875"/>
      <c r="I24" s="875"/>
      <c r="J24" s="875"/>
      <c r="K24" s="875"/>
      <c r="L24" s="488"/>
      <c r="M24" s="122"/>
      <c r="N24" s="122"/>
      <c r="O24" s="122"/>
      <c r="P24" s="122"/>
      <c r="Q24" s="122"/>
    </row>
    <row r="25" spans="1:20" x14ac:dyDescent="0.2">
      <c r="A25" s="875" t="s">
        <v>101</v>
      </c>
      <c r="B25" s="875"/>
      <c r="C25" s="875"/>
      <c r="D25" s="875"/>
      <c r="E25" s="875"/>
      <c r="F25" s="875"/>
      <c r="G25" s="875"/>
      <c r="H25" s="875"/>
      <c r="I25" s="875"/>
      <c r="J25" s="875"/>
      <c r="K25" s="875"/>
      <c r="L25" s="488"/>
      <c r="M25" s="122"/>
      <c r="N25" s="122"/>
      <c r="O25" s="122"/>
      <c r="P25" s="122"/>
      <c r="Q25" s="122"/>
    </row>
    <row r="26" spans="1:20" x14ac:dyDescent="0.2">
      <c r="L26" s="876" t="s">
        <v>179</v>
      </c>
      <c r="M26" s="876"/>
      <c r="N26" s="876"/>
      <c r="O26" s="122"/>
      <c r="P26" s="122"/>
      <c r="Q26" s="122"/>
    </row>
    <row r="27" spans="1:20" x14ac:dyDescent="0.2">
      <c r="L27" s="122"/>
      <c r="M27" s="744" t="s">
        <v>102</v>
      </c>
      <c r="N27" s="744" t="s">
        <v>103</v>
      </c>
      <c r="O27" s="122"/>
      <c r="P27" s="122"/>
      <c r="Q27" s="122"/>
    </row>
    <row r="28" spans="1:20" x14ac:dyDescent="0.2">
      <c r="L28" s="122" t="s">
        <v>128</v>
      </c>
      <c r="M28" s="180">
        <v>69830.64</v>
      </c>
      <c r="N28" s="180">
        <v>148390.1</v>
      </c>
      <c r="O28" s="122"/>
      <c r="P28" s="122"/>
      <c r="Q28" s="122"/>
    </row>
    <row r="29" spans="1:20" x14ac:dyDescent="0.2">
      <c r="L29" s="122" t="s">
        <v>104</v>
      </c>
      <c r="M29" s="250">
        <f>M28*12</f>
        <v>837967.67999999993</v>
      </c>
      <c r="N29" s="250">
        <f>N28*12</f>
        <v>1780681.2000000002</v>
      </c>
      <c r="O29" s="122"/>
      <c r="P29" s="122"/>
      <c r="Q29" s="122"/>
    </row>
    <row r="30" spans="1:20" ht="13.5" thickBot="1" x14ac:dyDescent="0.25">
      <c r="L30" s="126" t="s">
        <v>105</v>
      </c>
      <c r="M30" s="734">
        <v>0.5</v>
      </c>
      <c r="N30" s="734">
        <v>0.25</v>
      </c>
      <c r="O30" s="122"/>
      <c r="P30" s="792" t="s">
        <v>124</v>
      </c>
      <c r="Q30" s="793"/>
      <c r="R30" s="794"/>
      <c r="S30" s="794"/>
      <c r="T30" s="794"/>
    </row>
    <row r="31" spans="1:20" ht="13.5" thickBot="1" x14ac:dyDescent="0.25">
      <c r="L31" s="735" t="s">
        <v>106</v>
      </c>
      <c r="M31" s="736">
        <f>M29*M30</f>
        <v>418983.83999999997</v>
      </c>
      <c r="N31" s="737">
        <f>N29*N30</f>
        <v>445170.30000000005</v>
      </c>
      <c r="O31" s="738">
        <f>SUM(M31:N31)</f>
        <v>864154.14</v>
      </c>
      <c r="P31" s="795">
        <f>'Prop Ins - RYupdated'!C9+'Prop Ins - RYupdated'!C10-'Colstrip Ins '!O31</f>
        <v>-0.14000000001396984</v>
      </c>
      <c r="Q31" s="796" t="s">
        <v>223</v>
      </c>
      <c r="R31" s="794"/>
      <c r="S31" s="794"/>
      <c r="T31" s="794"/>
    </row>
    <row r="32" spans="1:20" ht="13.5" thickBot="1" x14ac:dyDescent="0.25">
      <c r="L32" s="739" t="s">
        <v>107</v>
      </c>
      <c r="M32" s="387">
        <f>M31/12</f>
        <v>34915.32</v>
      </c>
      <c r="N32" s="525">
        <f>N31/12</f>
        <v>37097.525000000001</v>
      </c>
      <c r="O32" s="122"/>
      <c r="P32" s="122"/>
      <c r="Q32" s="122"/>
    </row>
    <row r="33" spans="2:17" ht="13.5" thickBot="1" x14ac:dyDescent="0.25">
      <c r="L33" s="72" t="s">
        <v>334</v>
      </c>
      <c r="M33" s="745">
        <f>M32*K20</f>
        <v>104745.95999999999</v>
      </c>
      <c r="N33" s="746">
        <f>N32*K20</f>
        <v>111292.57500000001</v>
      </c>
      <c r="O33" s="738">
        <f>SUM(M33:N33)</f>
        <v>216038.535</v>
      </c>
      <c r="P33" s="122" t="s">
        <v>40</v>
      </c>
      <c r="Q33" s="122"/>
    </row>
    <row r="34" spans="2:17" x14ac:dyDescent="0.2">
      <c r="L34" s="122"/>
      <c r="M34" s="747"/>
      <c r="N34" s="122"/>
      <c r="O34" s="122"/>
      <c r="P34" s="122"/>
      <c r="Q34" s="122"/>
    </row>
    <row r="35" spans="2:17" x14ac:dyDescent="0.2">
      <c r="L35" s="128"/>
      <c r="M35" s="128"/>
      <c r="N35" s="128"/>
      <c r="O35" s="128"/>
      <c r="P35" s="122"/>
      <c r="Q35" s="122"/>
    </row>
    <row r="36" spans="2:17" x14ac:dyDescent="0.2">
      <c r="L36" s="128"/>
      <c r="M36" s="387"/>
      <c r="N36" s="387"/>
      <c r="O36" s="382"/>
      <c r="P36" s="128"/>
      <c r="Q36" s="128"/>
    </row>
    <row r="37" spans="2:17" x14ac:dyDescent="0.2">
      <c r="L37" s="128"/>
      <c r="M37" s="336"/>
      <c r="N37" s="336"/>
      <c r="O37" s="337"/>
      <c r="P37" s="128"/>
      <c r="Q37" s="128"/>
    </row>
    <row r="38" spans="2:17" x14ac:dyDescent="0.2">
      <c r="L38" s="128"/>
      <c r="M38" s="336"/>
      <c r="N38" s="336"/>
      <c r="O38" s="337"/>
      <c r="P38" s="128"/>
      <c r="Q38" s="128"/>
    </row>
    <row r="39" spans="2:17" x14ac:dyDescent="0.2">
      <c r="L39" s="127"/>
      <c r="M39" s="748"/>
      <c r="N39" s="748"/>
      <c r="O39" s="743"/>
      <c r="P39" s="749"/>
      <c r="Q39" s="128"/>
    </row>
    <row r="40" spans="2:17" x14ac:dyDescent="0.2">
      <c r="L40" s="128"/>
      <c r="M40" s="255"/>
      <c r="N40" s="255"/>
      <c r="O40" s="337"/>
      <c r="P40" s="128"/>
      <c r="Q40" s="128"/>
    </row>
    <row r="41" spans="2:17" x14ac:dyDescent="0.2">
      <c r="L41" s="128"/>
      <c r="M41" s="387"/>
      <c r="N41" s="387"/>
      <c r="O41" s="128"/>
      <c r="P41" s="122"/>
      <c r="Q41" s="122"/>
    </row>
    <row r="42" spans="2:17" x14ac:dyDescent="0.2">
      <c r="L42" s="338"/>
      <c r="M42" s="740"/>
      <c r="N42" s="740"/>
      <c r="O42" s="337"/>
      <c r="P42" s="122"/>
      <c r="Q42" s="122"/>
    </row>
    <row r="43" spans="2:17" x14ac:dyDescent="0.2">
      <c r="C43" s="875" t="s">
        <v>134</v>
      </c>
      <c r="D43" s="875"/>
      <c r="F43"/>
      <c r="G43"/>
      <c r="H43"/>
      <c r="L43" s="128"/>
      <c r="M43" s="128"/>
      <c r="N43" s="128"/>
      <c r="O43" s="128"/>
      <c r="P43" s="122"/>
      <c r="Q43" s="122"/>
    </row>
    <row r="44" spans="2:17" x14ac:dyDescent="0.2">
      <c r="C44" s="121"/>
      <c r="D44" s="121"/>
      <c r="F44"/>
      <c r="G44"/>
      <c r="H44"/>
      <c r="L44" s="128"/>
      <c r="M44" s="128"/>
      <c r="N44" s="128"/>
      <c r="O44" s="128"/>
      <c r="P44" s="122"/>
      <c r="Q44" s="122"/>
    </row>
    <row r="45" spans="2:17" x14ac:dyDescent="0.2">
      <c r="B45" s="88" t="s">
        <v>101</v>
      </c>
      <c r="C45" s="82" t="s">
        <v>132</v>
      </c>
      <c r="D45" s="82" t="s">
        <v>133</v>
      </c>
      <c r="F45"/>
      <c r="G45"/>
      <c r="H45"/>
    </row>
    <row r="46" spans="2:17" x14ac:dyDescent="0.2">
      <c r="B46" s="81">
        <v>43118</v>
      </c>
      <c r="C46" s="83">
        <f>'Colstrip 1&amp;2 2018 '!B21</f>
        <v>49231.509999999995</v>
      </c>
      <c r="D46" s="83">
        <f>'Colstrip 3&amp;4 2018'!B21</f>
        <v>62035.540000000008</v>
      </c>
      <c r="F46"/>
      <c r="G46"/>
      <c r="H46"/>
    </row>
    <row r="47" spans="2:17" x14ac:dyDescent="0.2">
      <c r="B47" s="81">
        <v>43149</v>
      </c>
      <c r="C47" s="83">
        <f>'Colstrip 1&amp;2 2018 '!C21</f>
        <v>49160.509999999995</v>
      </c>
      <c r="D47" s="83">
        <f>'Colstrip 3&amp;4 2018'!C21</f>
        <v>62384.540000000008</v>
      </c>
      <c r="F47"/>
      <c r="G47"/>
      <c r="H47"/>
    </row>
    <row r="48" spans="2:17" x14ac:dyDescent="0.2">
      <c r="B48" s="81">
        <v>43177</v>
      </c>
      <c r="C48" s="83">
        <f>'Colstrip 1&amp;2 2018 '!D21</f>
        <v>49160.739999999991</v>
      </c>
      <c r="D48" s="83">
        <f>'Colstrip 3&amp;4 2018'!D21</f>
        <v>62407.64</v>
      </c>
      <c r="F48"/>
      <c r="G48"/>
      <c r="H48"/>
    </row>
    <row r="49" spans="2:8" x14ac:dyDescent="0.2">
      <c r="B49" s="81">
        <v>43208</v>
      </c>
      <c r="C49" s="83">
        <f>'Colstrip 1&amp;2 2018 '!E21</f>
        <v>57018.35</v>
      </c>
      <c r="D49" s="83">
        <f>'Colstrip 3&amp;4 2018'!E21</f>
        <v>70061.960000000006</v>
      </c>
      <c r="F49"/>
      <c r="G49"/>
      <c r="H49"/>
    </row>
    <row r="50" spans="2:8" x14ac:dyDescent="0.2">
      <c r="B50" s="81">
        <v>43238</v>
      </c>
      <c r="C50" s="83">
        <f>'Colstrip 1&amp;2 2018 '!F21</f>
        <v>59212.67</v>
      </c>
      <c r="D50" s="83">
        <f>'Colstrip 3&amp;4 2018'!F21</f>
        <v>72729.320000000007</v>
      </c>
      <c r="F50"/>
      <c r="G50"/>
      <c r="H50"/>
    </row>
    <row r="51" spans="2:8" x14ac:dyDescent="0.2">
      <c r="B51" s="81">
        <v>43269</v>
      </c>
      <c r="C51" s="83">
        <f>'Colstrip 1&amp;2 2018 '!G21</f>
        <v>75786.100000000006</v>
      </c>
      <c r="D51" s="83">
        <f>'Colstrip 3&amp;4 2018'!G21</f>
        <v>91018.010000000009</v>
      </c>
      <c r="F51"/>
      <c r="G51"/>
      <c r="H51"/>
    </row>
    <row r="52" spans="2:8" x14ac:dyDescent="0.2">
      <c r="B52" s="81">
        <v>43299</v>
      </c>
      <c r="C52" s="83">
        <f>'Colstrip 1&amp;2 2018 '!H21</f>
        <v>96293.81</v>
      </c>
      <c r="D52" s="83">
        <f>'Colstrip 3&amp;4 2018'!H21</f>
        <v>109146.25</v>
      </c>
      <c r="F52"/>
      <c r="G52"/>
      <c r="H52"/>
    </row>
    <row r="53" spans="2:8" x14ac:dyDescent="0.2">
      <c r="B53" s="81">
        <v>43330</v>
      </c>
      <c r="C53" s="83">
        <f>'Colstrip 1&amp;2 2018 '!I21</f>
        <v>50211.289999999994</v>
      </c>
      <c r="D53" s="83">
        <f>'Colstrip 3&amp;4 2018'!I21</f>
        <v>63063.740000000005</v>
      </c>
      <c r="F53"/>
      <c r="G53"/>
      <c r="H53"/>
    </row>
    <row r="54" spans="2:8" x14ac:dyDescent="0.2">
      <c r="B54" s="81">
        <v>43361</v>
      </c>
      <c r="C54" s="83">
        <f>'Colstrip 1&amp;2 2018 '!J21</f>
        <v>50211.289999999994</v>
      </c>
      <c r="D54" s="83">
        <f>'Colstrip 3&amp;4 2018'!J21</f>
        <v>63063.740000000005</v>
      </c>
      <c r="F54"/>
      <c r="G54"/>
      <c r="H54"/>
    </row>
    <row r="55" spans="2:8" x14ac:dyDescent="0.2">
      <c r="B55" s="81">
        <v>43391</v>
      </c>
      <c r="C55" s="83">
        <f>'Colstrip 1&amp;2 2018 '!K21</f>
        <v>50211.289999999994</v>
      </c>
      <c r="D55" s="83">
        <f>'Colstrip 3&amp;4 2018'!K21</f>
        <v>63063.740000000005</v>
      </c>
      <c r="F55"/>
      <c r="G55"/>
      <c r="H55"/>
    </row>
    <row r="56" spans="2:8" x14ac:dyDescent="0.2">
      <c r="B56" s="81">
        <v>43422</v>
      </c>
      <c r="C56" s="83">
        <f>'Colstrip 1&amp;2 2018 '!L21</f>
        <v>50211.289999999994</v>
      </c>
      <c r="D56" s="83">
        <f>'Colstrip 3&amp;4 2018'!L21</f>
        <v>63063.740000000005</v>
      </c>
      <c r="F56"/>
      <c r="G56"/>
      <c r="H56"/>
    </row>
    <row r="57" spans="2:8" ht="15" x14ac:dyDescent="0.35">
      <c r="B57" s="81">
        <v>43452</v>
      </c>
      <c r="C57" s="84">
        <f>'Colstrip 1&amp;2 2018 '!M21</f>
        <v>63174.520000000004</v>
      </c>
      <c r="D57" s="84">
        <f>'Colstrip 3&amp;4 2018'!M21</f>
        <v>80459.360000000001</v>
      </c>
      <c r="F57"/>
      <c r="G57"/>
      <c r="H57"/>
    </row>
    <row r="58" spans="2:8" x14ac:dyDescent="0.2">
      <c r="B58" s="65" t="s">
        <v>104</v>
      </c>
      <c r="C58" s="83">
        <f>SUM(C46:C57)</f>
        <v>699883.37000000011</v>
      </c>
      <c r="D58" s="83">
        <f>SUM(D46:D57)</f>
        <v>862497.58</v>
      </c>
      <c r="E58" s="85"/>
      <c r="F58"/>
      <c r="G58"/>
      <c r="H58"/>
    </row>
    <row r="59" spans="2:8" x14ac:dyDescent="0.2">
      <c r="B59" s="67" t="s">
        <v>105</v>
      </c>
      <c r="C59" s="86">
        <v>0.5</v>
      </c>
      <c r="D59" s="86">
        <v>0.25</v>
      </c>
      <c r="F59"/>
      <c r="G59"/>
      <c r="H59"/>
    </row>
    <row r="60" spans="2:8" ht="15" x14ac:dyDescent="0.35">
      <c r="B60" s="65" t="s">
        <v>136</v>
      </c>
      <c r="C60" s="85">
        <f>C58*C59</f>
        <v>349941.68500000006</v>
      </c>
      <c r="D60" s="85">
        <f>D58*D59</f>
        <v>215624.39499999999</v>
      </c>
      <c r="E60" s="87">
        <f>SUM(C60:D60)</f>
        <v>565566.08000000007</v>
      </c>
      <c r="F60"/>
      <c r="G60"/>
      <c r="H60"/>
    </row>
    <row r="61" spans="2:8" x14ac:dyDescent="0.2">
      <c r="E61" s="260">
        <f>'Colstrip 1&amp;2 2018 '!N23+'Colstrip 3&amp;4 2018'!N23-E60</f>
        <v>0</v>
      </c>
      <c r="F61" s="101" t="s">
        <v>396</v>
      </c>
      <c r="G61"/>
      <c r="H61"/>
    </row>
    <row r="62" spans="2:8" x14ac:dyDescent="0.2">
      <c r="D62" s="91"/>
      <c r="E62" s="74"/>
    </row>
  </sheetData>
  <mergeCells count="7">
    <mergeCell ref="C43:D43"/>
    <mergeCell ref="L26:N26"/>
    <mergeCell ref="A1:K1"/>
    <mergeCell ref="A2:K2"/>
    <mergeCell ref="L2:N2"/>
    <mergeCell ref="A24:K24"/>
    <mergeCell ref="A25:K25"/>
  </mergeCells>
  <pageMargins left="0.7" right="0.7" top="0.75" bottom="0.75" header="0.3" footer="0.3"/>
  <pageSetup scale="6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4"/>
  <sheetViews>
    <sheetView zoomScale="90" zoomScaleNormal="90" workbookViewId="0">
      <selection activeCell="A22" sqref="A22"/>
    </sheetView>
  </sheetViews>
  <sheetFormatPr defaultColWidth="8.85546875" defaultRowHeight="12.75" x14ac:dyDescent="0.2"/>
  <cols>
    <col min="1" max="1" width="51.140625" style="65" bestFit="1" customWidth="1"/>
    <col min="2" max="2" width="13.140625" style="65" bestFit="1" customWidth="1"/>
    <col min="3" max="3" width="8.85546875" style="65"/>
    <col min="4" max="4" width="14.5703125" style="65" bestFit="1" customWidth="1"/>
    <col min="5" max="5" width="8.85546875" style="65"/>
    <col min="6" max="6" width="10.42578125" style="65" bestFit="1" customWidth="1"/>
    <col min="7" max="7" width="14.5703125" style="65" bestFit="1" customWidth="1"/>
    <col min="8" max="16384" width="8.85546875" style="65"/>
  </cols>
  <sheetData>
    <row r="2" spans="1:7" ht="18" x14ac:dyDescent="0.25">
      <c r="A2" s="642" t="s">
        <v>16</v>
      </c>
      <c r="B2" s="643"/>
      <c r="C2" s="643"/>
      <c r="D2" s="643"/>
      <c r="E2" s="643"/>
      <c r="F2" s="643"/>
    </row>
    <row r="3" spans="1:7" ht="18" x14ac:dyDescent="0.25">
      <c r="A3" s="642" t="s">
        <v>34</v>
      </c>
      <c r="B3" s="644"/>
      <c r="C3" s="644"/>
      <c r="D3" s="255"/>
      <c r="E3" s="645"/>
      <c r="F3" s="254"/>
    </row>
    <row r="4" spans="1:7" ht="18" x14ac:dyDescent="0.25">
      <c r="A4" s="642" t="s">
        <v>113</v>
      </c>
      <c r="B4" s="644"/>
      <c r="C4" s="644"/>
      <c r="D4" s="255"/>
      <c r="E4" s="645"/>
      <c r="F4" s="254"/>
    </row>
    <row r="5" spans="1:7" ht="13.5" thickBot="1" x14ac:dyDescent="0.25">
      <c r="A5" s="646"/>
      <c r="B5" s="644"/>
      <c r="C5" s="644"/>
      <c r="D5" s="255"/>
      <c r="E5" s="644"/>
      <c r="F5" s="254"/>
    </row>
    <row r="6" spans="1:7" x14ac:dyDescent="0.2">
      <c r="A6" s="647"/>
      <c r="B6" s="648" t="s">
        <v>368</v>
      </c>
      <c r="C6" s="648"/>
      <c r="D6" s="649" t="s">
        <v>369</v>
      </c>
      <c r="E6" s="650"/>
      <c r="F6" s="643"/>
      <c r="G6" s="694" t="s">
        <v>369</v>
      </c>
    </row>
    <row r="7" spans="1:7" x14ac:dyDescent="0.2">
      <c r="A7" s="651"/>
      <c r="B7" s="650"/>
      <c r="C7" s="650"/>
      <c r="D7" s="652"/>
      <c r="E7" s="650"/>
      <c r="F7" s="643"/>
      <c r="G7" s="695"/>
    </row>
    <row r="8" spans="1:7" x14ac:dyDescent="0.2">
      <c r="A8" s="653" t="s">
        <v>370</v>
      </c>
      <c r="B8" s="644" t="s">
        <v>371</v>
      </c>
      <c r="C8" s="654"/>
      <c r="D8" s="655">
        <f>'Prop Ins - RYupdated'!D12</f>
        <v>3610803.3377279998</v>
      </c>
      <c r="E8" s="650"/>
      <c r="F8" s="656"/>
      <c r="G8" s="696">
        <f>'Prop Ins - RYupdated (2)'!E12</f>
        <v>4148888.8919900707</v>
      </c>
    </row>
    <row r="9" spans="1:7" x14ac:dyDescent="0.2">
      <c r="A9" s="657" t="s">
        <v>372</v>
      </c>
      <c r="B9" s="654"/>
      <c r="C9" s="654"/>
      <c r="D9" s="658"/>
      <c r="E9" s="650"/>
      <c r="F9" s="643"/>
      <c r="G9" s="697"/>
    </row>
    <row r="10" spans="1:7" x14ac:dyDescent="0.2">
      <c r="A10" s="653"/>
      <c r="B10" s="654"/>
      <c r="C10" s="654"/>
      <c r="D10" s="659"/>
      <c r="E10" s="644"/>
      <c r="F10" s="643"/>
      <c r="G10" s="698"/>
    </row>
    <row r="11" spans="1:7" x14ac:dyDescent="0.2">
      <c r="A11" s="653" t="s">
        <v>373</v>
      </c>
      <c r="B11" s="654"/>
      <c r="C11" s="654"/>
      <c r="D11" s="659">
        <f>-'Prop Ins - RYupdated'!D51</f>
        <v>-55926</v>
      </c>
      <c r="E11" s="644"/>
      <c r="F11" s="182"/>
      <c r="G11" s="698">
        <f>-'Prop Ins - RYupdated (2)'!E51</f>
        <v>-65077.607985050425</v>
      </c>
    </row>
    <row r="12" spans="1:7" x14ac:dyDescent="0.2">
      <c r="A12" s="660" t="s">
        <v>374</v>
      </c>
      <c r="B12" s="661"/>
      <c r="C12" s="661"/>
      <c r="D12" s="662">
        <f>-'Prop Ins - RYupdated'!D44</f>
        <v>-3388303</v>
      </c>
      <c r="E12" s="663"/>
      <c r="F12" s="664"/>
      <c r="G12" s="699">
        <f>-'Prop Ins - RYupdated (2)'!E44</f>
        <v>-3895439.2738404199</v>
      </c>
    </row>
    <row r="13" spans="1:7" ht="15" x14ac:dyDescent="0.2">
      <c r="A13" s="665" t="s">
        <v>375</v>
      </c>
      <c r="B13" s="644"/>
      <c r="C13" s="666"/>
      <c r="D13" s="655">
        <f>SUM(D8:D12)</f>
        <v>166574.33772799978</v>
      </c>
      <c r="E13" s="667" t="s">
        <v>376</v>
      </c>
      <c r="F13" s="664"/>
      <c r="G13" s="696">
        <f>SUM(G8:G12)</f>
        <v>188372.01016460033</v>
      </c>
    </row>
    <row r="14" spans="1:7" ht="15" x14ac:dyDescent="0.2">
      <c r="A14" s="665"/>
      <c r="B14" s="650"/>
      <c r="C14" s="666"/>
      <c r="D14" s="668"/>
      <c r="E14" s="663"/>
      <c r="F14" s="664"/>
      <c r="G14" s="700"/>
    </row>
    <row r="15" spans="1:7" ht="15" x14ac:dyDescent="0.2">
      <c r="A15" s="669" t="s">
        <v>377</v>
      </c>
      <c r="B15" s="650"/>
      <c r="C15" s="666"/>
      <c r="D15" s="668"/>
      <c r="E15" s="663"/>
      <c r="F15" s="664"/>
      <c r="G15" s="700"/>
    </row>
    <row r="16" spans="1:7" ht="15" x14ac:dyDescent="0.2">
      <c r="A16" s="670" t="s">
        <v>17</v>
      </c>
      <c r="B16" s="671">
        <v>0.6038</v>
      </c>
      <c r="C16" s="666"/>
      <c r="D16" s="668">
        <f>D13*B16</f>
        <v>100577.58512016627</v>
      </c>
      <c r="E16" s="667" t="s">
        <v>378</v>
      </c>
      <c r="F16" s="664"/>
      <c r="G16" s="700">
        <f>G13*B16</f>
        <v>113739.01973738568</v>
      </c>
    </row>
    <row r="17" spans="1:7" ht="15" x14ac:dyDescent="0.2">
      <c r="A17" s="670" t="s">
        <v>18</v>
      </c>
      <c r="B17" s="671">
        <v>0.3962</v>
      </c>
      <c r="C17" s="666"/>
      <c r="D17" s="672">
        <f>D13*B17</f>
        <v>65996.752607833507</v>
      </c>
      <c r="E17" s="667" t="s">
        <v>379</v>
      </c>
      <c r="F17" s="664"/>
      <c r="G17" s="701">
        <f>G13*B17</f>
        <v>74632.990427214652</v>
      </c>
    </row>
    <row r="18" spans="1:7" ht="15.75" thickBot="1" x14ac:dyDescent="0.25">
      <c r="A18" s="673"/>
      <c r="B18" s="674">
        <f>SUM(B16:B17)</f>
        <v>1</v>
      </c>
      <c r="C18" s="675"/>
      <c r="D18" s="676">
        <f>SUM(D16:D17)</f>
        <v>166574.33772799978</v>
      </c>
      <c r="E18" s="667"/>
      <c r="F18" s="664"/>
      <c r="G18" s="702">
        <f>SUM(G16:G17)</f>
        <v>188372.01016460033</v>
      </c>
    </row>
    <row r="19" spans="1:7" ht="15.75" thickBot="1" x14ac:dyDescent="0.25">
      <c r="A19" s="677"/>
      <c r="B19" s="650"/>
      <c r="C19" s="666"/>
      <c r="D19" s="678"/>
      <c r="E19" s="663"/>
      <c r="F19" s="664"/>
    </row>
    <row r="20" spans="1:7" x14ac:dyDescent="0.2">
      <c r="A20" s="878" t="s">
        <v>380</v>
      </c>
      <c r="B20" s="879"/>
      <c r="C20" s="879"/>
      <c r="D20" s="880"/>
      <c r="E20" s="663"/>
      <c r="F20" s="664"/>
      <c r="G20" s="704"/>
    </row>
    <row r="21" spans="1:7" ht="15" x14ac:dyDescent="0.2">
      <c r="A21" s="665" t="s">
        <v>381</v>
      </c>
      <c r="B21" s="644" t="s">
        <v>382</v>
      </c>
      <c r="C21" s="666"/>
      <c r="D21" s="679">
        <f>-D12</f>
        <v>3388303</v>
      </c>
      <c r="E21" s="667" t="s">
        <v>383</v>
      </c>
      <c r="F21" s="680"/>
      <c r="G21" s="705">
        <f>-G12</f>
        <v>3895439.2738404199</v>
      </c>
    </row>
    <row r="22" spans="1:7" ht="15" x14ac:dyDescent="0.2">
      <c r="A22" s="681"/>
      <c r="B22" s="650"/>
      <c r="C22" s="666"/>
      <c r="D22" s="682"/>
      <c r="E22" s="663"/>
      <c r="F22" s="664"/>
      <c r="G22" s="696"/>
    </row>
    <row r="23" spans="1:7" ht="15" x14ac:dyDescent="0.2">
      <c r="A23" s="665" t="s">
        <v>384</v>
      </c>
      <c r="B23" s="644" t="s">
        <v>382</v>
      </c>
      <c r="C23" s="666"/>
      <c r="D23" s="683">
        <f>D16</f>
        <v>100577.58512016627</v>
      </c>
      <c r="E23" s="667" t="s">
        <v>385</v>
      </c>
      <c r="F23" s="664"/>
      <c r="G23" s="709">
        <f>G16</f>
        <v>113739.01973738568</v>
      </c>
    </row>
    <row r="24" spans="1:7" x14ac:dyDescent="0.2">
      <c r="A24" s="665"/>
      <c r="B24" s="684"/>
      <c r="C24" s="684"/>
      <c r="D24" s="685"/>
      <c r="E24" s="686"/>
      <c r="F24" s="664"/>
      <c r="G24" s="698"/>
    </row>
    <row r="25" spans="1:7" ht="13.5" thickBot="1" x14ac:dyDescent="0.25">
      <c r="A25" s="665" t="s">
        <v>386</v>
      </c>
      <c r="B25" s="684"/>
      <c r="C25" s="684"/>
      <c r="D25" s="687">
        <f>SUM(D21:D24)</f>
        <v>3488880.5851201662</v>
      </c>
      <c r="E25" s="667" t="s">
        <v>387</v>
      </c>
      <c r="F25" s="664"/>
      <c r="G25" s="687">
        <f>SUM(G21:G24)</f>
        <v>4009178.2935778056</v>
      </c>
    </row>
    <row r="26" spans="1:7" ht="13.5" thickTop="1" x14ac:dyDescent="0.2">
      <c r="A26" s="665"/>
      <c r="B26" s="684"/>
      <c r="C26" s="684"/>
      <c r="D26" s="688"/>
      <c r="E26" s="667"/>
      <c r="F26" s="664"/>
      <c r="G26" s="707"/>
    </row>
    <row r="27" spans="1:7" x14ac:dyDescent="0.2">
      <c r="A27" s="665"/>
      <c r="B27" s="684"/>
      <c r="C27" s="684"/>
      <c r="D27" s="689"/>
      <c r="E27" s="686"/>
      <c r="F27" s="690"/>
      <c r="G27" s="696"/>
    </row>
    <row r="28" spans="1:7" x14ac:dyDescent="0.2">
      <c r="A28" s="881" t="s">
        <v>388</v>
      </c>
      <c r="B28" s="882"/>
      <c r="C28" s="882"/>
      <c r="D28" s="883"/>
      <c r="E28" s="686"/>
      <c r="F28" s="664"/>
      <c r="G28" s="700"/>
    </row>
    <row r="29" spans="1:7" ht="15" x14ac:dyDescent="0.2">
      <c r="A29" s="665" t="s">
        <v>373</v>
      </c>
      <c r="B29" s="644" t="s">
        <v>382</v>
      </c>
      <c r="C29" s="666"/>
      <c r="D29" s="655">
        <f>-D11</f>
        <v>55926</v>
      </c>
      <c r="E29" s="667" t="s">
        <v>389</v>
      </c>
      <c r="F29" s="664"/>
      <c r="G29" s="700">
        <f>-G11</f>
        <v>65077.607985050425</v>
      </c>
    </row>
    <row r="30" spans="1:7" ht="15" x14ac:dyDescent="0.2">
      <c r="A30" s="665"/>
      <c r="B30" s="644"/>
      <c r="C30" s="666"/>
      <c r="D30" s="655"/>
      <c r="E30" s="663"/>
      <c r="F30" s="664"/>
      <c r="G30" s="700"/>
    </row>
    <row r="31" spans="1:7" x14ac:dyDescent="0.2">
      <c r="A31" s="665" t="s">
        <v>390</v>
      </c>
      <c r="B31" s="644" t="s">
        <v>382</v>
      </c>
      <c r="C31" s="684"/>
      <c r="D31" s="691">
        <f>D17</f>
        <v>65996.752607833507</v>
      </c>
      <c r="E31" s="667" t="s">
        <v>391</v>
      </c>
      <c r="F31" s="664"/>
      <c r="G31" s="708">
        <f>G17</f>
        <v>74632.990427214652</v>
      </c>
    </row>
    <row r="32" spans="1:7" ht="13.5" thickBot="1" x14ac:dyDescent="0.25">
      <c r="A32" s="665"/>
      <c r="B32" s="684"/>
      <c r="C32" s="684"/>
      <c r="D32" s="689"/>
      <c r="E32" s="686"/>
      <c r="F32" s="664"/>
      <c r="G32" s="702"/>
    </row>
    <row r="33" spans="1:7" ht="13.5" thickBot="1" x14ac:dyDescent="0.25">
      <c r="A33" s="665" t="s">
        <v>392</v>
      </c>
      <c r="B33" s="684"/>
      <c r="C33" s="684"/>
      <c r="D33" s="687">
        <f>SUM(D29:D32)</f>
        <v>121922.75260783351</v>
      </c>
      <c r="E33" s="667" t="s">
        <v>393</v>
      </c>
      <c r="F33" s="664"/>
      <c r="G33" s="706">
        <f>SUM(G29:G32)</f>
        <v>139710.59841226507</v>
      </c>
    </row>
    <row r="34" spans="1:7" ht="14.25" thickTop="1" thickBot="1" x14ac:dyDescent="0.25">
      <c r="A34" s="673"/>
      <c r="B34" s="692"/>
      <c r="C34" s="692"/>
      <c r="D34" s="693"/>
      <c r="E34" s="686"/>
      <c r="F34" s="664"/>
      <c r="G34" s="703"/>
    </row>
  </sheetData>
  <mergeCells count="2">
    <mergeCell ref="A20:D20"/>
    <mergeCell ref="A28:D2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"/>
  <sheetViews>
    <sheetView workbookViewId="0">
      <selection activeCell="H40" sqref="H40"/>
    </sheetView>
  </sheetViews>
  <sheetFormatPr defaultRowHeight="12.75" x14ac:dyDescent="0.2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8"/>
  <sheetViews>
    <sheetView zoomScale="60" zoomScaleNormal="60" workbookViewId="0">
      <selection activeCell="H20" sqref="H20"/>
    </sheetView>
  </sheetViews>
  <sheetFormatPr defaultColWidth="9.140625" defaultRowHeight="15" x14ac:dyDescent="0.2"/>
  <cols>
    <col min="1" max="1" width="2.7109375" style="395" customWidth="1"/>
    <col min="2" max="2" width="67.5703125" style="394" customWidth="1"/>
    <col min="3" max="3" width="28.140625" style="394" customWidth="1"/>
    <col min="4" max="4" width="26.28515625" style="394" bestFit="1" customWidth="1"/>
    <col min="5" max="5" width="35" style="394" customWidth="1"/>
    <col min="6" max="6" width="12.28515625" style="395" bestFit="1" customWidth="1"/>
    <col min="7" max="7" width="11.28515625" style="395" bestFit="1" customWidth="1"/>
    <col min="8" max="8" width="11.140625" style="395" bestFit="1" customWidth="1"/>
    <col min="9" max="9" width="9.140625" style="395"/>
    <col min="10" max="10" width="11.28515625" style="395" bestFit="1" customWidth="1"/>
    <col min="11" max="16384" width="9.140625" style="395"/>
  </cols>
  <sheetData>
    <row r="1" spans="2:8" ht="23.25" x14ac:dyDescent="0.2">
      <c r="D1" s="797"/>
    </row>
    <row r="2" spans="2:8" ht="24" thickBot="1" x14ac:dyDescent="0.3">
      <c r="B2" s="396" t="s">
        <v>34</v>
      </c>
      <c r="C2" s="396"/>
      <c r="D2" s="798"/>
    </row>
    <row r="3" spans="2:8" ht="45.75" thickBot="1" x14ac:dyDescent="0.25">
      <c r="B3" s="397"/>
      <c r="C3" s="799" t="s">
        <v>202</v>
      </c>
      <c r="D3" s="800" t="s">
        <v>203</v>
      </c>
      <c r="E3" s="801" t="s">
        <v>349</v>
      </c>
    </row>
    <row r="4" spans="2:8" x14ac:dyDescent="0.2">
      <c r="B4" s="398" t="s">
        <v>73</v>
      </c>
      <c r="C4" s="802"/>
      <c r="D4" s="803"/>
      <c r="E4" s="406"/>
    </row>
    <row r="5" spans="2:8" x14ac:dyDescent="0.2">
      <c r="B5" s="399" t="s">
        <v>93</v>
      </c>
      <c r="C5" s="804">
        <v>3700000</v>
      </c>
      <c r="D5" s="805">
        <v>3100000</v>
      </c>
      <c r="E5" s="406"/>
    </row>
    <row r="6" spans="2:8" x14ac:dyDescent="0.2">
      <c r="B6" s="399" t="s">
        <v>94</v>
      </c>
      <c r="C6" s="806">
        <v>-395824</v>
      </c>
      <c r="D6" s="807">
        <v>-370928</v>
      </c>
      <c r="E6" s="406"/>
    </row>
    <row r="7" spans="2:8" x14ac:dyDescent="0.2">
      <c r="B7" s="399" t="s">
        <v>154</v>
      </c>
      <c r="C7" s="808">
        <f>SUM(C5:C6)</f>
        <v>3304176</v>
      </c>
      <c r="D7" s="809">
        <f>SUM(D5:D6)</f>
        <v>2729072</v>
      </c>
      <c r="E7" s="810">
        <f>'Rates - Updated'!P36</f>
        <v>3262517.7269300707</v>
      </c>
    </row>
    <row r="8" spans="2:8" x14ac:dyDescent="0.2">
      <c r="B8" s="399" t="s">
        <v>338</v>
      </c>
      <c r="C8" s="426"/>
      <c r="D8" s="811">
        <f>'Prop Ins - RYupdated'!D8</f>
        <v>-22769.662272000001</v>
      </c>
      <c r="E8" s="812">
        <f>-'Rates - Updated'!P32/3*2</f>
        <v>-27370.834940000001</v>
      </c>
    </row>
    <row r="9" spans="2:8" x14ac:dyDescent="0.2">
      <c r="B9" s="399" t="s">
        <v>122</v>
      </c>
      <c r="C9" s="804">
        <v>418984</v>
      </c>
      <c r="D9" s="811">
        <v>367006</v>
      </c>
      <c r="E9" s="812">
        <v>369192</v>
      </c>
      <c r="G9" s="400"/>
    </row>
    <row r="10" spans="2:8" x14ac:dyDescent="0.2">
      <c r="B10" s="399" t="s">
        <v>121</v>
      </c>
      <c r="C10" s="804">
        <v>445170</v>
      </c>
      <c r="D10" s="811">
        <v>389943</v>
      </c>
      <c r="E10" s="812">
        <v>392266</v>
      </c>
      <c r="G10" s="401"/>
    </row>
    <row r="11" spans="2:8" x14ac:dyDescent="0.2">
      <c r="B11" s="399" t="s">
        <v>152</v>
      </c>
      <c r="C11" s="804">
        <v>185961</v>
      </c>
      <c r="D11" s="811">
        <v>147552</v>
      </c>
      <c r="E11" s="812">
        <v>152284</v>
      </c>
      <c r="G11" s="401"/>
    </row>
    <row r="12" spans="2:8" ht="15.75" thickBot="1" x14ac:dyDescent="0.25">
      <c r="B12" s="399" t="s">
        <v>74</v>
      </c>
      <c r="C12" s="402">
        <f>SUM(C7:C11)</f>
        <v>4354291</v>
      </c>
      <c r="D12" s="403">
        <f>SUM(D7:D11)</f>
        <v>3610803.3377279998</v>
      </c>
      <c r="E12" s="403">
        <f>SUM(E7:E11)</f>
        <v>4148888.8919900707</v>
      </c>
      <c r="F12" s="401"/>
      <c r="H12" s="404"/>
    </row>
    <row r="13" spans="2:8" x14ac:dyDescent="0.2">
      <c r="B13" s="399"/>
      <c r="C13" s="802"/>
      <c r="D13" s="813"/>
      <c r="E13" s="406"/>
    </row>
    <row r="14" spans="2:8" x14ac:dyDescent="0.2">
      <c r="B14" s="405" t="s">
        <v>54</v>
      </c>
      <c r="C14" s="802"/>
      <c r="D14" s="813"/>
      <c r="E14" s="406"/>
    </row>
    <row r="15" spans="2:8" x14ac:dyDescent="0.2">
      <c r="B15" s="406"/>
      <c r="C15" s="802"/>
      <c r="D15" s="813"/>
      <c r="E15" s="406"/>
    </row>
    <row r="16" spans="2:8" x14ac:dyDescent="0.2">
      <c r="B16" s="407" t="s">
        <v>41</v>
      </c>
      <c r="C16" s="802"/>
      <c r="D16" s="813"/>
      <c r="E16" s="406"/>
    </row>
    <row r="17" spans="2:5" x14ac:dyDescent="0.2">
      <c r="B17" s="399" t="s">
        <v>83</v>
      </c>
      <c r="C17" s="804">
        <v>184483</v>
      </c>
      <c r="D17" s="811">
        <v>147447</v>
      </c>
      <c r="E17" s="814">
        <f>'Rates - Updated'!P13</f>
        <v>167621.02321221371</v>
      </c>
    </row>
    <row r="18" spans="2:5" x14ac:dyDescent="0.2">
      <c r="B18" s="399" t="s">
        <v>42</v>
      </c>
      <c r="C18" s="804">
        <v>136912</v>
      </c>
      <c r="D18" s="811">
        <v>139843</v>
      </c>
      <c r="E18" s="814">
        <f>'Rates - Updated'!P14</f>
        <v>202171.7937756459</v>
      </c>
    </row>
    <row r="19" spans="2:5" x14ac:dyDescent="0.2">
      <c r="B19" s="399" t="s">
        <v>87</v>
      </c>
      <c r="C19" s="802">
        <v>204077</v>
      </c>
      <c r="D19" s="811">
        <v>185611</v>
      </c>
      <c r="E19" s="814">
        <f>'Rates - Updated'!P15</f>
        <v>261418.71100409754</v>
      </c>
    </row>
    <row r="20" spans="2:5" x14ac:dyDescent="0.2">
      <c r="B20" s="399"/>
      <c r="C20" s="802"/>
      <c r="D20" s="811"/>
      <c r="E20" s="814"/>
    </row>
    <row r="21" spans="2:5" x14ac:dyDescent="0.2">
      <c r="B21" s="407" t="s">
        <v>43</v>
      </c>
      <c r="C21" s="802"/>
      <c r="D21" s="811"/>
      <c r="E21" s="814"/>
    </row>
    <row r="22" spans="2:5" x14ac:dyDescent="0.2">
      <c r="B22" s="406" t="s">
        <v>44</v>
      </c>
      <c r="C22" s="802">
        <v>210225</v>
      </c>
      <c r="D22" s="811">
        <v>212621</v>
      </c>
      <c r="E22" s="814">
        <f>'Rates - Updated'!P10</f>
        <v>269098.47963708208</v>
      </c>
    </row>
    <row r="23" spans="2:5" x14ac:dyDescent="0.2">
      <c r="B23" s="399" t="s">
        <v>84</v>
      </c>
      <c r="C23" s="802"/>
      <c r="D23" s="811"/>
      <c r="E23" s="814">
        <f>SUMIF('Rates - Updated'!$A$4:$A$34,'Prop Ins - RYupdated (2)'!B23,'Rates - Updated'!$P$4:$P$34)</f>
        <v>0</v>
      </c>
    </row>
    <row r="24" spans="2:5" x14ac:dyDescent="0.2">
      <c r="B24" s="406" t="s">
        <v>45</v>
      </c>
      <c r="C24" s="802">
        <v>157032</v>
      </c>
      <c r="D24" s="811">
        <v>130528</v>
      </c>
      <c r="E24" s="814">
        <f>'Rates - Updated'!P11</f>
        <v>165199.62574122119</v>
      </c>
    </row>
    <row r="25" spans="2:5" x14ac:dyDescent="0.2">
      <c r="B25" s="406" t="s">
        <v>46</v>
      </c>
      <c r="C25" s="802">
        <v>215515</v>
      </c>
      <c r="D25" s="811">
        <v>198514</v>
      </c>
      <c r="E25" s="814">
        <f>'Rates - Updated'!P12</f>
        <v>225455.72983500001</v>
      </c>
    </row>
    <row r="26" spans="2:5" x14ac:dyDescent="0.2">
      <c r="B26" s="406"/>
      <c r="C26" s="802"/>
      <c r="D26" s="811"/>
      <c r="E26" s="814"/>
    </row>
    <row r="27" spans="2:5" x14ac:dyDescent="0.2">
      <c r="B27" s="407" t="s">
        <v>47</v>
      </c>
      <c r="C27" s="802"/>
      <c r="D27" s="811"/>
      <c r="E27" s="814"/>
    </row>
    <row r="28" spans="2:5" x14ac:dyDescent="0.2">
      <c r="B28" s="406" t="s">
        <v>48</v>
      </c>
      <c r="C28" s="802">
        <v>1483</v>
      </c>
      <c r="D28" s="811">
        <v>1936</v>
      </c>
      <c r="E28" s="814">
        <f>'Rates - Updated'!P9</f>
        <v>2214.4787899999997</v>
      </c>
    </row>
    <row r="29" spans="2:5" x14ac:dyDescent="0.2">
      <c r="B29" s="406" t="s">
        <v>49</v>
      </c>
      <c r="C29" s="802">
        <v>96171</v>
      </c>
      <c r="D29" s="811">
        <v>102247</v>
      </c>
      <c r="E29" s="814">
        <f>'Rates - Updated'!P19</f>
        <v>119184.10853372423</v>
      </c>
    </row>
    <row r="30" spans="2:5" x14ac:dyDescent="0.2">
      <c r="B30" s="406" t="s">
        <v>50</v>
      </c>
      <c r="C30" s="802">
        <v>94434</v>
      </c>
      <c r="D30" s="811">
        <v>78283</v>
      </c>
      <c r="E30" s="814">
        <f>'Rates - Updated'!P23</f>
        <v>83498.504755508009</v>
      </c>
    </row>
    <row r="31" spans="2:5" x14ac:dyDescent="0.2">
      <c r="B31" s="406" t="s">
        <v>51</v>
      </c>
      <c r="C31" s="802">
        <v>47984</v>
      </c>
      <c r="D31" s="811">
        <v>59589</v>
      </c>
      <c r="E31" s="814">
        <f>'Rates - Updated'!P24</f>
        <v>65453.625558107451</v>
      </c>
    </row>
    <row r="32" spans="2:5" x14ac:dyDescent="0.2">
      <c r="B32" s="406" t="s">
        <v>52</v>
      </c>
      <c r="C32" s="802">
        <v>199572</v>
      </c>
      <c r="D32" s="811">
        <v>171152</v>
      </c>
      <c r="E32" s="814">
        <f>'Rates - Updated'!P25</f>
        <v>181636.44653793602</v>
      </c>
    </row>
    <row r="33" spans="1:8" x14ac:dyDescent="0.2">
      <c r="B33" s="406" t="s">
        <v>53</v>
      </c>
      <c r="C33" s="802">
        <v>79239</v>
      </c>
      <c r="D33" s="811">
        <v>80045</v>
      </c>
      <c r="E33" s="814">
        <f>'Rates - Updated'!P26</f>
        <v>96139.673036503547</v>
      </c>
    </row>
    <row r="34" spans="1:8" x14ac:dyDescent="0.2">
      <c r="B34" s="399" t="s">
        <v>75</v>
      </c>
      <c r="C34" s="802">
        <v>45050</v>
      </c>
      <c r="D34" s="811">
        <v>67604</v>
      </c>
      <c r="E34" s="814">
        <f>'Rates - Updated'!P20</f>
        <v>76018.251449999996</v>
      </c>
    </row>
    <row r="35" spans="1:8" x14ac:dyDescent="0.2">
      <c r="B35" s="399" t="s">
        <v>92</v>
      </c>
      <c r="C35" s="802">
        <v>454</v>
      </c>
      <c r="D35" s="811">
        <v>454</v>
      </c>
      <c r="E35" s="814">
        <f>'Rates - Updated'!P21</f>
        <v>489.92101799999995</v>
      </c>
    </row>
    <row r="36" spans="1:8" x14ac:dyDescent="0.2">
      <c r="B36" s="399" t="s">
        <v>76</v>
      </c>
      <c r="C36" s="802">
        <v>78402</v>
      </c>
      <c r="D36" s="811">
        <v>88349</v>
      </c>
      <c r="E36" s="814">
        <f>'Rates - Updated'!P22</f>
        <v>103664.50996559999</v>
      </c>
    </row>
    <row r="37" spans="1:8" x14ac:dyDescent="0.2">
      <c r="B37" s="399" t="s">
        <v>88</v>
      </c>
      <c r="C37" s="802">
        <v>137389</v>
      </c>
      <c r="D37" s="811">
        <v>119834</v>
      </c>
      <c r="E37" s="814">
        <f>'Rates - Updated'!P27</f>
        <v>134752.99483090802</v>
      </c>
    </row>
    <row r="38" spans="1:8" x14ac:dyDescent="0.2">
      <c r="B38" s="399" t="s">
        <v>119</v>
      </c>
      <c r="C38" s="804">
        <v>418984</v>
      </c>
      <c r="D38" s="811">
        <v>367006</v>
      </c>
      <c r="E38" s="814">
        <f>E9</f>
        <v>369192</v>
      </c>
    </row>
    <row r="39" spans="1:8" x14ac:dyDescent="0.2">
      <c r="B39" s="399" t="s">
        <v>120</v>
      </c>
      <c r="C39" s="804">
        <v>445170</v>
      </c>
      <c r="D39" s="811">
        <v>389943</v>
      </c>
      <c r="E39" s="814">
        <f>E10</f>
        <v>392266</v>
      </c>
    </row>
    <row r="40" spans="1:8" x14ac:dyDescent="0.2">
      <c r="B40" s="399" t="s">
        <v>153</v>
      </c>
      <c r="C40" s="806">
        <v>185961</v>
      </c>
      <c r="D40" s="815">
        <v>147552</v>
      </c>
      <c r="E40" s="816">
        <f>E11</f>
        <v>152284</v>
      </c>
      <c r="F40" s="65"/>
      <c r="G40" s="65"/>
    </row>
    <row r="41" spans="1:8" x14ac:dyDescent="0.2">
      <c r="B41" s="399" t="s">
        <v>166</v>
      </c>
      <c r="C41" s="817">
        <f>SUM(C17:C40)</f>
        <v>2938537</v>
      </c>
      <c r="D41" s="811">
        <f>SUM(D17:D40)</f>
        <v>2688558</v>
      </c>
      <c r="E41" s="818">
        <f>SUM(E17:E40)</f>
        <v>3067759.8776815478</v>
      </c>
      <c r="F41" s="65"/>
      <c r="G41" s="65"/>
    </row>
    <row r="42" spans="1:8" x14ac:dyDescent="0.2">
      <c r="B42" s="399"/>
      <c r="C42" s="817"/>
      <c r="D42" s="813"/>
      <c r="E42" s="406"/>
      <c r="F42" s="65"/>
      <c r="G42" s="65"/>
    </row>
    <row r="43" spans="1:8" x14ac:dyDescent="0.2">
      <c r="B43" s="399" t="s">
        <v>164</v>
      </c>
      <c r="C43" s="819">
        <v>1085941</v>
      </c>
      <c r="D43" s="815">
        <v>699745</v>
      </c>
      <c r="E43" s="820">
        <f>'Rates - Updated'!P8+'Rates - Updated'!P16+'Rates - Updated'!P17+'Rates - Updated'!P18</f>
        <v>827679.39615887217</v>
      </c>
      <c r="F43" s="65"/>
      <c r="G43" s="65"/>
    </row>
    <row r="44" spans="1:8" x14ac:dyDescent="0.2">
      <c r="B44" s="399" t="s">
        <v>165</v>
      </c>
      <c r="C44" s="408">
        <f>SUM(C41:C43)</f>
        <v>4024478</v>
      </c>
      <c r="D44" s="409">
        <f t="shared" ref="D44:E44" si="0">SUM(D41:D43)</f>
        <v>3388303</v>
      </c>
      <c r="E44" s="410">
        <f t="shared" si="0"/>
        <v>3895439.2738404199</v>
      </c>
      <c r="F44" s="357"/>
      <c r="G44" s="65"/>
    </row>
    <row r="45" spans="1:8" x14ac:dyDescent="0.2">
      <c r="B45" s="406"/>
      <c r="C45" s="821"/>
      <c r="D45" s="813"/>
      <c r="E45" s="406"/>
      <c r="F45" s="65"/>
      <c r="G45" s="65"/>
    </row>
    <row r="46" spans="1:8" x14ac:dyDescent="0.2">
      <c r="A46" s="394"/>
      <c r="B46" s="405" t="s">
        <v>126</v>
      </c>
      <c r="C46" s="821"/>
      <c r="D46" s="813"/>
      <c r="E46" s="406"/>
      <c r="F46" s="65"/>
      <c r="G46" s="65"/>
    </row>
    <row r="47" spans="1:8" x14ac:dyDescent="0.2">
      <c r="A47" s="394"/>
      <c r="B47" s="399" t="s">
        <v>85</v>
      </c>
      <c r="C47" s="804">
        <v>11387</v>
      </c>
      <c r="D47" s="811">
        <v>11385</v>
      </c>
      <c r="E47" s="822">
        <f>(1/3)*'Rates - Updated'!P32</f>
        <v>13685.41747</v>
      </c>
      <c r="F47" s="65"/>
      <c r="G47" s="65"/>
      <c r="H47" s="411"/>
    </row>
    <row r="48" spans="1:8" x14ac:dyDescent="0.25">
      <c r="A48" s="394"/>
      <c r="B48" s="377" t="s">
        <v>90</v>
      </c>
      <c r="C48" s="804"/>
      <c r="D48" s="811"/>
      <c r="E48" s="406"/>
      <c r="F48" s="412" t="s">
        <v>204</v>
      </c>
      <c r="G48" s="65"/>
    </row>
    <row r="49" spans="1:10" x14ac:dyDescent="0.2">
      <c r="A49" s="394"/>
      <c r="B49" s="413" t="s">
        <v>205</v>
      </c>
      <c r="C49" s="802"/>
      <c r="D49" s="811"/>
      <c r="E49" s="406"/>
      <c r="F49" s="412" t="s">
        <v>204</v>
      </c>
      <c r="G49" s="65"/>
    </row>
    <row r="50" spans="1:10" x14ac:dyDescent="0.2">
      <c r="A50" s="394"/>
      <c r="B50" s="406" t="s">
        <v>176</v>
      </c>
      <c r="C50" s="802">
        <v>58227</v>
      </c>
      <c r="D50" s="811">
        <v>44541</v>
      </c>
      <c r="E50" s="812">
        <f>SUM('Rates - Updated'!P28:P31)</f>
        <v>51392.190515050424</v>
      </c>
      <c r="F50" s="65"/>
      <c r="G50" s="65"/>
    </row>
    <row r="51" spans="1:10" x14ac:dyDescent="0.2">
      <c r="A51" s="394"/>
      <c r="B51" s="414" t="s">
        <v>77</v>
      </c>
      <c r="C51" s="415">
        <v>69614</v>
      </c>
      <c r="D51" s="416">
        <f t="shared" ref="D51" si="1">SUM(D47:D50)</f>
        <v>55926</v>
      </c>
      <c r="E51" s="417">
        <f>SUM(E47:E50)</f>
        <v>65077.607985050425</v>
      </c>
      <c r="F51" s="65"/>
      <c r="G51" s="65"/>
      <c r="H51" s="418"/>
    </row>
    <row r="52" spans="1:10" x14ac:dyDescent="0.2">
      <c r="A52" s="394"/>
      <c r="B52" s="406"/>
      <c r="C52" s="821"/>
      <c r="D52" s="813"/>
      <c r="E52" s="406"/>
      <c r="F52" s="65"/>
      <c r="G52" s="65"/>
    </row>
    <row r="53" spans="1:10" x14ac:dyDescent="0.2">
      <c r="B53" s="419" t="s">
        <v>78</v>
      </c>
      <c r="C53" s="420">
        <v>260199</v>
      </c>
      <c r="D53" s="421">
        <f t="shared" ref="D53:E53" si="2">D12-D44-D51</f>
        <v>166574.33772799978</v>
      </c>
      <c r="E53" s="422">
        <f t="shared" si="2"/>
        <v>188372.01016460033</v>
      </c>
      <c r="F53" s="357"/>
      <c r="G53" s="65"/>
      <c r="H53" s="404"/>
      <c r="J53" s="404"/>
    </row>
    <row r="54" spans="1:10" ht="15.75" thickBot="1" x14ac:dyDescent="0.25">
      <c r="B54" s="423"/>
      <c r="C54" s="823"/>
      <c r="D54" s="824"/>
      <c r="E54" s="825"/>
      <c r="F54" s="65"/>
      <c r="G54" s="65"/>
    </row>
    <row r="56" spans="1:10" x14ac:dyDescent="0.2">
      <c r="B56" s="424" t="s">
        <v>91</v>
      </c>
      <c r="C56" s="424"/>
    </row>
    <row r="57" spans="1:10" x14ac:dyDescent="0.2">
      <c r="B57" s="424" t="s">
        <v>117</v>
      </c>
      <c r="C57" s="424"/>
    </row>
    <row r="58" spans="1:10" x14ac:dyDescent="0.2">
      <c r="B58" s="424" t="s">
        <v>118</v>
      </c>
      <c r="C58" s="424"/>
    </row>
    <row r="59" spans="1:10" x14ac:dyDescent="0.2">
      <c r="B59" s="424" t="s">
        <v>123</v>
      </c>
      <c r="C59" s="424"/>
    </row>
    <row r="60" spans="1:10" x14ac:dyDescent="0.2">
      <c r="B60" s="424" t="s">
        <v>151</v>
      </c>
      <c r="C60" s="424"/>
    </row>
    <row r="61" spans="1:10" x14ac:dyDescent="0.2">
      <c r="B61" s="425"/>
      <c r="C61" s="425"/>
    </row>
    <row r="62" spans="1:10" x14ac:dyDescent="0.2">
      <c r="B62" s="425"/>
      <c r="C62" s="425"/>
    </row>
    <row r="63" spans="1:10" x14ac:dyDescent="0.2">
      <c r="B63" s="425"/>
      <c r="C63" s="425"/>
    </row>
    <row r="64" spans="1:10" x14ac:dyDescent="0.2">
      <c r="B64" s="425"/>
      <c r="C64" s="425"/>
    </row>
    <row r="65" spans="2:3" x14ac:dyDescent="0.2">
      <c r="B65" s="425"/>
      <c r="C65" s="425"/>
    </row>
    <row r="67" spans="2:3" x14ac:dyDescent="0.2">
      <c r="B67" s="426"/>
      <c r="C67" s="426"/>
    </row>
    <row r="68" spans="2:3" x14ac:dyDescent="0.2">
      <c r="B68" s="426"/>
      <c r="C68" s="426"/>
    </row>
  </sheetData>
  <printOptions gridLines="1"/>
  <pageMargins left="0.81" right="0.25" top="1.42" bottom="0.52" header="0.3" footer="0.45"/>
  <pageSetup scale="1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6"/>
  <sheetViews>
    <sheetView zoomScale="82" zoomScaleNormal="82" workbookViewId="0">
      <pane xSplit="1" ySplit="8" topLeftCell="B43" activePane="bottomRight" state="frozen"/>
      <selection activeCell="J38" sqref="J38"/>
      <selection pane="topRight" activeCell="J38" sqref="J38"/>
      <selection pane="bottomLeft" activeCell="J38" sqref="J38"/>
      <selection pane="bottomRight" activeCell="G67" sqref="G67"/>
    </sheetView>
  </sheetViews>
  <sheetFormatPr defaultColWidth="8.85546875" defaultRowHeight="12.75" x14ac:dyDescent="0.2"/>
  <cols>
    <col min="1" max="1" width="27" style="122" customWidth="1"/>
    <col min="2" max="2" width="17.28515625" style="122" bestFit="1" customWidth="1"/>
    <col min="3" max="3" width="6.5703125" style="122" bestFit="1" customWidth="1"/>
    <col min="4" max="4" width="13" style="122" bestFit="1" customWidth="1"/>
    <col min="5" max="5" width="10.7109375" style="122" bestFit="1" customWidth="1"/>
    <col min="6" max="6" width="25.28515625" style="122" customWidth="1"/>
    <col min="7" max="7" width="14.7109375" style="122" bestFit="1" customWidth="1"/>
    <col min="8" max="8" width="13.5703125" style="122" customWidth="1"/>
    <col min="9" max="9" width="6.5703125" style="122" bestFit="1" customWidth="1"/>
    <col min="10" max="10" width="8.28515625" style="122" bestFit="1" customWidth="1"/>
    <col min="11" max="12" width="10.28515625" style="65" bestFit="1" customWidth="1"/>
    <col min="13" max="13" width="13" bestFit="1" customWidth="1"/>
    <col min="14" max="14" width="6.42578125" style="65" bestFit="1" customWidth="1"/>
    <col min="15" max="16" width="8" style="65" bestFit="1" customWidth="1"/>
    <col min="17" max="17" width="6.7109375" style="65" bestFit="1" customWidth="1"/>
    <col min="18" max="16384" width="8.85546875" style="65"/>
  </cols>
  <sheetData>
    <row r="1" spans="1:18" ht="4.9000000000000004" customHeight="1" x14ac:dyDescent="0.25">
      <c r="A1" s="470"/>
    </row>
    <row r="2" spans="1:18" ht="18" x14ac:dyDescent="0.25">
      <c r="A2" s="471" t="s">
        <v>16</v>
      </c>
    </row>
    <row r="3" spans="1:18" ht="18" x14ac:dyDescent="0.25">
      <c r="A3" s="471" t="s">
        <v>36</v>
      </c>
      <c r="B3" s="472"/>
      <c r="C3" s="472"/>
      <c r="D3" s="255"/>
      <c r="E3" s="874"/>
      <c r="F3" s="874"/>
    </row>
    <row r="4" spans="1:18" s="122" customFormat="1" ht="18" x14ac:dyDescent="0.25">
      <c r="A4" s="471" t="s">
        <v>360</v>
      </c>
      <c r="B4" s="472"/>
      <c r="C4" s="472"/>
      <c r="D4" s="255"/>
      <c r="K4" s="65"/>
      <c r="L4" s="65"/>
      <c r="M4"/>
      <c r="N4" s="65"/>
      <c r="O4" s="65"/>
      <c r="P4" s="65"/>
      <c r="Q4" s="65"/>
      <c r="R4" s="65"/>
    </row>
    <row r="5" spans="1:18" ht="4.9000000000000004" customHeight="1" thickBot="1" x14ac:dyDescent="0.25">
      <c r="A5" s="473"/>
    </row>
    <row r="6" spans="1:18" x14ac:dyDescent="0.2">
      <c r="A6" s="474" t="s">
        <v>12</v>
      </c>
      <c r="B6" s="475" t="s">
        <v>13</v>
      </c>
      <c r="C6" s="476" t="s">
        <v>68</v>
      </c>
      <c r="D6" s="475" t="s">
        <v>10</v>
      </c>
      <c r="E6" s="477" t="s">
        <v>60</v>
      </c>
      <c r="F6" s="477" t="s">
        <v>61</v>
      </c>
      <c r="G6" s="477" t="s">
        <v>65</v>
      </c>
      <c r="H6" s="477" t="s">
        <v>67</v>
      </c>
    </row>
    <row r="7" spans="1:18" x14ac:dyDescent="0.2">
      <c r="A7" s="478"/>
      <c r="B7" s="479"/>
      <c r="C7" s="480" t="s">
        <v>26</v>
      </c>
      <c r="D7" s="479"/>
      <c r="E7" s="479" t="s">
        <v>59</v>
      </c>
      <c r="F7" s="479" t="s">
        <v>59</v>
      </c>
      <c r="G7" s="479" t="s">
        <v>66</v>
      </c>
      <c r="H7" s="479" t="s">
        <v>66</v>
      </c>
    </row>
    <row r="8" spans="1:18" ht="13.5" thickBot="1" x14ac:dyDescent="0.25">
      <c r="A8" s="481"/>
      <c r="B8" s="482"/>
      <c r="C8" s="483" t="s">
        <v>57</v>
      </c>
      <c r="D8" s="482" t="s">
        <v>62</v>
      </c>
      <c r="E8" s="482" t="s">
        <v>63</v>
      </c>
      <c r="F8" s="482" t="s">
        <v>64</v>
      </c>
      <c r="G8" s="484"/>
      <c r="H8" s="484"/>
    </row>
    <row r="10" spans="1:18" x14ac:dyDescent="0.2">
      <c r="A10" s="123" t="s">
        <v>11</v>
      </c>
      <c r="B10" s="124"/>
      <c r="C10" s="124"/>
      <c r="D10" s="124"/>
    </row>
    <row r="11" spans="1:18" s="122" customFormat="1" x14ac:dyDescent="0.2">
      <c r="A11" s="122" t="s">
        <v>110</v>
      </c>
      <c r="B11" s="486" t="s">
        <v>361</v>
      </c>
      <c r="C11" s="826">
        <v>925</v>
      </c>
      <c r="D11" s="827">
        <v>3630715.82</v>
      </c>
      <c r="E11" s="828">
        <f>[1]Lead!$G$43</f>
        <v>0.49997132880489842</v>
      </c>
      <c r="F11" s="829">
        <f>D11*E11</f>
        <v>1815253.8130383664</v>
      </c>
      <c r="G11" s="829">
        <f>F11*$F$66</f>
        <v>1053754.8384687717</v>
      </c>
      <c r="H11" s="829">
        <f>F11*$G$66</f>
        <v>761498.97456959472</v>
      </c>
      <c r="K11" s="65"/>
      <c r="L11" s="65"/>
      <c r="M11"/>
      <c r="N11" s="65"/>
      <c r="O11" s="65"/>
      <c r="P11" s="65"/>
      <c r="Q11" s="65"/>
      <c r="R11" s="65"/>
    </row>
    <row r="12" spans="1:18" s="122" customFormat="1" x14ac:dyDescent="0.2">
      <c r="B12" s="486"/>
      <c r="C12" s="826"/>
      <c r="D12" s="827"/>
      <c r="E12" s="828"/>
      <c r="F12" s="829">
        <f t="shared" ref="F12:F17" si="0">D12*E12</f>
        <v>0</v>
      </c>
      <c r="G12" s="829">
        <f t="shared" ref="G12:G37" si="1">F12*$F$66</f>
        <v>0</v>
      </c>
      <c r="H12" s="829">
        <f t="shared" ref="H12:H37" si="2">F12*$G$66</f>
        <v>0</v>
      </c>
      <c r="K12" s="65"/>
      <c r="L12" s="65"/>
      <c r="M12"/>
      <c r="N12" s="65"/>
      <c r="O12" s="65"/>
      <c r="P12" s="65"/>
      <c r="Q12" s="65"/>
      <c r="R12" s="65"/>
    </row>
    <row r="13" spans="1:18" s="122" customFormat="1" x14ac:dyDescent="0.2">
      <c r="A13" s="122" t="s">
        <v>111</v>
      </c>
      <c r="B13" s="486" t="s">
        <v>361</v>
      </c>
      <c r="C13" s="826">
        <v>925</v>
      </c>
      <c r="D13" s="827">
        <v>671660</v>
      </c>
      <c r="E13" s="828">
        <f>E11</f>
        <v>0.49997132880489842</v>
      </c>
      <c r="F13" s="829">
        <f t="shared" si="0"/>
        <v>335810.74270509806</v>
      </c>
      <c r="G13" s="829">
        <f t="shared" si="1"/>
        <v>194938.13614030942</v>
      </c>
      <c r="H13" s="829">
        <f t="shared" si="2"/>
        <v>140872.60656478864</v>
      </c>
      <c r="K13" s="65"/>
      <c r="L13" s="65"/>
      <c r="M13"/>
      <c r="N13" s="65"/>
      <c r="O13" s="65"/>
      <c r="P13" s="65"/>
      <c r="Q13" s="65"/>
      <c r="R13" s="65"/>
    </row>
    <row r="14" spans="1:18" s="122" customFormat="1" x14ac:dyDescent="0.2">
      <c r="B14" s="486"/>
      <c r="C14" s="826"/>
      <c r="D14" s="827"/>
      <c r="E14" s="828"/>
      <c r="F14" s="829">
        <f t="shared" si="0"/>
        <v>0</v>
      </c>
      <c r="G14" s="829">
        <f t="shared" si="1"/>
        <v>0</v>
      </c>
      <c r="H14" s="829">
        <f t="shared" si="2"/>
        <v>0</v>
      </c>
      <c r="K14" s="65"/>
      <c r="L14" s="65"/>
      <c r="M14"/>
      <c r="N14" s="65"/>
      <c r="O14" s="65"/>
      <c r="P14" s="65"/>
      <c r="Q14" s="65"/>
      <c r="R14" s="65"/>
    </row>
    <row r="15" spans="1:18" s="122" customFormat="1" x14ac:dyDescent="0.2">
      <c r="A15" s="122" t="s">
        <v>188</v>
      </c>
      <c r="B15" s="486" t="s">
        <v>361</v>
      </c>
      <c r="C15" s="826">
        <v>925</v>
      </c>
      <c r="D15" s="827">
        <v>309750</v>
      </c>
      <c r="E15" s="828">
        <f>E13</f>
        <v>0.49997132880489842</v>
      </c>
      <c r="F15" s="829">
        <f t="shared" si="0"/>
        <v>154866.11909731728</v>
      </c>
      <c r="G15" s="829">
        <f t="shared" si="1"/>
        <v>89899.782135992689</v>
      </c>
      <c r="H15" s="829">
        <f t="shared" si="2"/>
        <v>64966.336961324596</v>
      </c>
      <c r="K15" s="65"/>
      <c r="L15" s="65"/>
      <c r="M15"/>
      <c r="N15" s="65"/>
      <c r="O15" s="65"/>
      <c r="P15" s="65"/>
      <c r="Q15" s="65"/>
      <c r="R15" s="65"/>
    </row>
    <row r="16" spans="1:18" s="122" customFormat="1" x14ac:dyDescent="0.2">
      <c r="B16" s="486"/>
      <c r="C16" s="826"/>
      <c r="D16" s="827"/>
      <c r="E16" s="828"/>
      <c r="F16" s="829">
        <f t="shared" si="0"/>
        <v>0</v>
      </c>
      <c r="G16" s="829">
        <f t="shared" si="1"/>
        <v>0</v>
      </c>
      <c r="H16" s="829">
        <f t="shared" si="2"/>
        <v>0</v>
      </c>
      <c r="K16" s="65"/>
      <c r="L16" s="65"/>
      <c r="M16"/>
      <c r="N16" s="65"/>
      <c r="O16" s="65"/>
      <c r="P16" s="65"/>
      <c r="Q16" s="65"/>
      <c r="R16" s="65"/>
    </row>
    <row r="17" spans="1:18" s="122" customFormat="1" x14ac:dyDescent="0.2">
      <c r="A17" s="122" t="s">
        <v>25</v>
      </c>
      <c r="B17" s="486" t="s">
        <v>361</v>
      </c>
      <c r="C17" s="826">
        <v>925</v>
      </c>
      <c r="D17" s="827">
        <v>40840</v>
      </c>
      <c r="E17" s="828">
        <f>E15</f>
        <v>0.49997132880489842</v>
      </c>
      <c r="F17" s="829">
        <f t="shared" si="0"/>
        <v>20418.829068392053</v>
      </c>
      <c r="G17" s="829">
        <f>F17*$F$66</f>
        <v>11853.130274201587</v>
      </c>
      <c r="H17" s="829">
        <f t="shared" si="2"/>
        <v>8565.6987941904663</v>
      </c>
      <c r="K17" s="65"/>
      <c r="L17" s="65"/>
      <c r="M17"/>
      <c r="N17" s="65"/>
      <c r="O17" s="65"/>
      <c r="P17" s="65"/>
      <c r="Q17" s="65"/>
      <c r="R17" s="65"/>
    </row>
    <row r="18" spans="1:18" s="122" customFormat="1" x14ac:dyDescent="0.2">
      <c r="B18" s="486"/>
      <c r="C18" s="486"/>
      <c r="D18" s="827"/>
      <c r="E18" s="828"/>
      <c r="F18" s="829"/>
      <c r="G18" s="829">
        <f t="shared" si="1"/>
        <v>0</v>
      </c>
      <c r="H18" s="829">
        <f t="shared" si="2"/>
        <v>0</v>
      </c>
      <c r="K18" s="65"/>
      <c r="L18" s="65"/>
      <c r="M18"/>
      <c r="N18" s="65"/>
      <c r="O18" s="65"/>
      <c r="P18" s="65"/>
      <c r="Q18" s="65"/>
      <c r="R18" s="65"/>
    </row>
    <row r="19" spans="1:18" s="122" customFormat="1" x14ac:dyDescent="0.2">
      <c r="A19" s="122" t="s">
        <v>189</v>
      </c>
      <c r="B19" s="486" t="s">
        <v>190</v>
      </c>
      <c r="C19" s="826">
        <v>925</v>
      </c>
      <c r="D19" s="827">
        <f>'Liability Ins - RY'!D19</f>
        <v>32000</v>
      </c>
      <c r="E19" s="828">
        <v>1</v>
      </c>
      <c r="F19" s="829">
        <f>D19*E19</f>
        <v>32000</v>
      </c>
      <c r="G19" s="829">
        <f t="shared" si="1"/>
        <v>18576</v>
      </c>
      <c r="H19" s="829">
        <f t="shared" si="2"/>
        <v>13424</v>
      </c>
      <c r="K19" s="65"/>
      <c r="L19" s="65"/>
      <c r="M19"/>
      <c r="N19" s="65"/>
      <c r="O19" s="65"/>
      <c r="P19" s="65"/>
      <c r="Q19" s="65"/>
      <c r="R19" s="65"/>
    </row>
    <row r="20" spans="1:18" s="122" customFormat="1" x14ac:dyDescent="0.2">
      <c r="B20" s="486"/>
      <c r="C20" s="826"/>
      <c r="D20" s="827"/>
      <c r="E20" s="828"/>
      <c r="F20" s="829"/>
      <c r="G20" s="829">
        <f t="shared" si="1"/>
        <v>0</v>
      </c>
      <c r="H20" s="829">
        <f t="shared" si="2"/>
        <v>0</v>
      </c>
      <c r="K20" s="65"/>
      <c r="L20" s="65"/>
      <c r="M20"/>
      <c r="N20" s="65"/>
      <c r="O20" s="65"/>
      <c r="P20" s="65"/>
      <c r="Q20" s="65"/>
      <c r="R20" s="65"/>
    </row>
    <row r="21" spans="1:18" s="122" customFormat="1" x14ac:dyDescent="0.2">
      <c r="A21" s="122" t="s">
        <v>191</v>
      </c>
      <c r="B21" s="826" t="s">
        <v>190</v>
      </c>
      <c r="C21" s="826">
        <v>925</v>
      </c>
      <c r="D21" s="827">
        <f>'Liability Ins - RY'!D21</f>
        <v>43608</v>
      </c>
      <c r="E21" s="828">
        <f>E17</f>
        <v>0.49997132880489842</v>
      </c>
      <c r="F21" s="829">
        <f>D21*E21</f>
        <v>21802.74970652401</v>
      </c>
      <c r="G21" s="829">
        <f t="shared" si="1"/>
        <v>12656.496204637187</v>
      </c>
      <c r="H21" s="829">
        <f t="shared" si="2"/>
        <v>9146.2535018868221</v>
      </c>
      <c r="K21" s="65"/>
      <c r="L21" s="65"/>
      <c r="M21"/>
      <c r="N21" s="65"/>
      <c r="O21" s="65"/>
      <c r="P21" s="65"/>
      <c r="Q21" s="65"/>
      <c r="R21" s="65"/>
    </row>
    <row r="22" spans="1:18" s="122" customFormat="1" x14ac:dyDescent="0.2">
      <c r="B22" s="486"/>
      <c r="C22" s="826"/>
      <c r="D22" s="827"/>
      <c r="E22" s="828"/>
      <c r="F22" s="829"/>
      <c r="G22" s="829">
        <f t="shared" si="1"/>
        <v>0</v>
      </c>
      <c r="H22" s="829">
        <f t="shared" si="2"/>
        <v>0</v>
      </c>
      <c r="K22" s="65"/>
      <c r="L22" s="65"/>
      <c r="M22"/>
      <c r="N22" s="65"/>
      <c r="O22" s="65"/>
      <c r="P22" s="65"/>
      <c r="Q22" s="65"/>
      <c r="R22" s="65"/>
    </row>
    <row r="23" spans="1:18" x14ac:dyDescent="0.2">
      <c r="A23" s="126" t="s">
        <v>192</v>
      </c>
      <c r="B23" s="826" t="s">
        <v>190</v>
      </c>
      <c r="C23" s="826">
        <v>925</v>
      </c>
      <c r="D23" s="827">
        <f>'Liability Ins - RY'!D23</f>
        <v>14439</v>
      </c>
      <c r="E23" s="828">
        <f>E21</f>
        <v>0.49997132880489842</v>
      </c>
      <c r="F23" s="829">
        <f>D23*E23</f>
        <v>7219.0860166139282</v>
      </c>
      <c r="G23" s="829">
        <f t="shared" si="1"/>
        <v>4190.6794326443851</v>
      </c>
      <c r="H23" s="829">
        <f t="shared" si="2"/>
        <v>3028.4065839695427</v>
      </c>
    </row>
    <row r="24" spans="1:18" s="122" customFormat="1" x14ac:dyDescent="0.2">
      <c r="B24" s="486"/>
      <c r="C24" s="826"/>
      <c r="D24" s="827"/>
      <c r="E24" s="828"/>
      <c r="F24" s="829"/>
      <c r="G24" s="829"/>
      <c r="H24" s="829"/>
      <c r="K24" s="65"/>
      <c r="L24" s="65"/>
      <c r="M24"/>
      <c r="N24" s="65"/>
      <c r="O24" s="65"/>
      <c r="P24" s="65"/>
      <c r="Q24" s="65"/>
      <c r="R24" s="65"/>
    </row>
    <row r="25" spans="1:18" s="122" customFormat="1" x14ac:dyDescent="0.2">
      <c r="A25" s="122" t="s">
        <v>193</v>
      </c>
      <c r="B25" s="826" t="s">
        <v>112</v>
      </c>
      <c r="C25" s="826">
        <v>925</v>
      </c>
      <c r="D25" s="827">
        <v>0</v>
      </c>
      <c r="E25" s="828">
        <f>E21</f>
        <v>0.49997132880489842</v>
      </c>
      <c r="F25" s="829">
        <f>D25*E25</f>
        <v>0</v>
      </c>
      <c r="G25" s="829">
        <f t="shared" si="1"/>
        <v>0</v>
      </c>
      <c r="H25" s="829">
        <f t="shared" si="2"/>
        <v>0</v>
      </c>
      <c r="K25" s="65"/>
      <c r="L25" s="65"/>
      <c r="M25"/>
      <c r="N25" s="65"/>
      <c r="O25" s="65"/>
      <c r="P25" s="65"/>
      <c r="Q25" s="65"/>
      <c r="R25" s="65"/>
    </row>
    <row r="26" spans="1:18" s="122" customFormat="1" x14ac:dyDescent="0.2">
      <c r="B26" s="486"/>
      <c r="C26" s="826"/>
      <c r="D26" s="827"/>
      <c r="E26" s="828"/>
      <c r="F26" s="829"/>
      <c r="G26" s="829"/>
      <c r="H26" s="829"/>
      <c r="K26" s="65"/>
      <c r="L26" s="65"/>
      <c r="M26"/>
      <c r="N26" s="65"/>
      <c r="O26" s="65"/>
      <c r="P26" s="65"/>
      <c r="Q26" s="65"/>
      <c r="R26" s="65"/>
    </row>
    <row r="27" spans="1:18" s="122" customFormat="1" x14ac:dyDescent="0.2">
      <c r="A27" s="126" t="s">
        <v>194</v>
      </c>
      <c r="B27" s="486" t="s">
        <v>362</v>
      </c>
      <c r="C27" s="826">
        <v>925</v>
      </c>
      <c r="D27" s="827">
        <v>223381</v>
      </c>
      <c r="E27" s="828">
        <f>E25</f>
        <v>0.49997132880489842</v>
      </c>
      <c r="F27" s="829">
        <f t="shared" ref="F27:F30" si="3">D27*E27</f>
        <v>111684.09539976701</v>
      </c>
      <c r="G27" s="829">
        <f t="shared" si="1"/>
        <v>64832.617379564756</v>
      </c>
      <c r="H27" s="829">
        <f t="shared" si="2"/>
        <v>46851.478020202259</v>
      </c>
      <c r="K27" s="65"/>
      <c r="L27" s="65"/>
      <c r="M27"/>
      <c r="N27" s="65"/>
      <c r="O27" s="65"/>
      <c r="P27" s="65"/>
      <c r="Q27" s="65"/>
      <c r="R27" s="65"/>
    </row>
    <row r="28" spans="1:18" s="122" customFormat="1" x14ac:dyDescent="0.2">
      <c r="A28" s="126"/>
      <c r="B28" s="486"/>
      <c r="C28" s="826"/>
      <c r="D28" s="827"/>
      <c r="E28" s="828"/>
      <c r="F28" s="829">
        <f t="shared" si="3"/>
        <v>0</v>
      </c>
      <c r="G28" s="829">
        <f t="shared" si="1"/>
        <v>0</v>
      </c>
      <c r="H28" s="829">
        <f t="shared" si="2"/>
        <v>0</v>
      </c>
      <c r="K28" s="65"/>
      <c r="L28" s="65"/>
      <c r="M28"/>
      <c r="N28" s="65"/>
      <c r="O28" s="65"/>
      <c r="P28" s="65"/>
      <c r="Q28" s="65"/>
      <c r="R28" s="65"/>
    </row>
    <row r="29" spans="1:18" s="122" customFormat="1" x14ac:dyDescent="0.2">
      <c r="A29" s="126" t="s">
        <v>196</v>
      </c>
      <c r="B29" s="486" t="s">
        <v>362</v>
      </c>
      <c r="C29" s="826">
        <v>925</v>
      </c>
      <c r="D29" s="827">
        <v>137120</v>
      </c>
      <c r="E29" s="828">
        <f>E27</f>
        <v>0.49997132880489842</v>
      </c>
      <c r="F29" s="829">
        <f t="shared" si="3"/>
        <v>68556.068605727676</v>
      </c>
      <c r="G29" s="829">
        <f t="shared" si="1"/>
        <v>39796.797825624919</v>
      </c>
      <c r="H29" s="829">
        <f t="shared" si="2"/>
        <v>28759.270780102757</v>
      </c>
      <c r="K29" s="65"/>
      <c r="L29" s="65"/>
      <c r="M29"/>
      <c r="N29" s="65"/>
      <c r="O29" s="65"/>
      <c r="P29" s="65"/>
      <c r="Q29" s="65"/>
      <c r="R29" s="65"/>
    </row>
    <row r="30" spans="1:18" s="122" customFormat="1" x14ac:dyDescent="0.2">
      <c r="B30" s="486"/>
      <c r="C30" s="826"/>
      <c r="D30" s="827"/>
      <c r="E30" s="828"/>
      <c r="F30" s="829">
        <f t="shared" si="3"/>
        <v>0</v>
      </c>
      <c r="G30" s="829">
        <f t="shared" si="1"/>
        <v>0</v>
      </c>
      <c r="H30" s="829">
        <f t="shared" si="2"/>
        <v>0</v>
      </c>
      <c r="K30" s="65"/>
      <c r="L30" s="65"/>
      <c r="M30"/>
      <c r="N30" s="65"/>
      <c r="O30" s="65"/>
      <c r="P30" s="65"/>
      <c r="Q30" s="65"/>
      <c r="R30" s="65"/>
    </row>
    <row r="31" spans="1:18" s="122" customFormat="1" x14ac:dyDescent="0.2">
      <c r="A31" s="126" t="s">
        <v>35</v>
      </c>
      <c r="B31" s="486" t="s">
        <v>362</v>
      </c>
      <c r="C31" s="826">
        <v>925</v>
      </c>
      <c r="D31" s="827">
        <v>0</v>
      </c>
      <c r="E31" s="828">
        <f>E27</f>
        <v>0.49997132880489842</v>
      </c>
      <c r="F31" s="830" t="s">
        <v>394</v>
      </c>
      <c r="G31" s="830"/>
      <c r="H31" s="830"/>
      <c r="I31" s="125"/>
      <c r="K31" s="65"/>
      <c r="L31" s="65"/>
      <c r="M31"/>
      <c r="N31" s="65"/>
      <c r="O31" s="65"/>
      <c r="P31" s="65"/>
      <c r="Q31" s="65"/>
      <c r="R31" s="65"/>
    </row>
    <row r="32" spans="1:18" s="122" customFormat="1" x14ac:dyDescent="0.2">
      <c r="A32" s="126"/>
      <c r="B32" s="486"/>
      <c r="C32" s="826"/>
      <c r="D32" s="827"/>
      <c r="E32" s="828"/>
      <c r="F32" s="829"/>
      <c r="G32" s="829">
        <f t="shared" si="1"/>
        <v>0</v>
      </c>
      <c r="H32" s="829">
        <f t="shared" si="2"/>
        <v>0</v>
      </c>
      <c r="K32" s="65"/>
      <c r="L32" s="65"/>
      <c r="M32"/>
      <c r="N32" s="65"/>
      <c r="O32" s="65"/>
      <c r="P32" s="65"/>
      <c r="Q32" s="65"/>
      <c r="R32" s="65"/>
    </row>
    <row r="33" spans="1:18" s="122" customFormat="1" x14ac:dyDescent="0.2">
      <c r="A33" s="126" t="s">
        <v>197</v>
      </c>
      <c r="B33" s="486" t="s">
        <v>190</v>
      </c>
      <c r="C33" s="826">
        <v>925</v>
      </c>
      <c r="D33" s="827">
        <f>'Liability Ins - RY'!D33</f>
        <v>110709</v>
      </c>
      <c r="E33" s="828">
        <v>0.5</v>
      </c>
      <c r="F33" s="829">
        <f>D33*E33</f>
        <v>55354.5</v>
      </c>
      <c r="G33" s="829">
        <f t="shared" si="1"/>
        <v>32133.287250000001</v>
      </c>
      <c r="H33" s="829">
        <f t="shared" si="2"/>
        <v>23221.212749999999</v>
      </c>
      <c r="K33" s="65"/>
      <c r="L33" s="65"/>
      <c r="M33"/>
      <c r="N33" s="65"/>
      <c r="O33" s="65"/>
      <c r="P33" s="65"/>
      <c r="Q33" s="65"/>
      <c r="R33" s="65"/>
    </row>
    <row r="34" spans="1:18" s="122" customFormat="1" x14ac:dyDescent="0.2">
      <c r="A34" s="126"/>
      <c r="B34" s="486"/>
      <c r="C34" s="826"/>
      <c r="D34" s="827"/>
      <c r="E34" s="828"/>
      <c r="F34" s="829"/>
      <c r="G34" s="829">
        <f t="shared" si="1"/>
        <v>0</v>
      </c>
      <c r="H34" s="829">
        <f t="shared" si="2"/>
        <v>0</v>
      </c>
      <c r="K34" s="65"/>
      <c r="L34" s="65"/>
      <c r="M34"/>
      <c r="N34" s="65"/>
      <c r="O34" s="65"/>
      <c r="P34" s="65"/>
      <c r="Q34" s="65"/>
      <c r="R34" s="65"/>
    </row>
    <row r="35" spans="1:18" x14ac:dyDescent="0.2">
      <c r="A35" s="126" t="s">
        <v>198</v>
      </c>
      <c r="B35" s="486" t="s">
        <v>190</v>
      </c>
      <c r="C35" s="826">
        <v>925</v>
      </c>
      <c r="D35" s="827">
        <f>'Liability Ins - RY'!D35</f>
        <v>66425</v>
      </c>
      <c r="E35" s="828">
        <v>0.5</v>
      </c>
      <c r="F35" s="829">
        <f>D35*E35</f>
        <v>33212.5</v>
      </c>
      <c r="G35" s="829">
        <f t="shared" si="1"/>
        <v>19279.856250000001</v>
      </c>
      <c r="H35" s="829">
        <f t="shared" si="2"/>
        <v>13932.643749999999</v>
      </c>
    </row>
    <row r="36" spans="1:18" s="122" customFormat="1" x14ac:dyDescent="0.2">
      <c r="B36" s="486"/>
      <c r="C36" s="826"/>
      <c r="D36" s="827"/>
      <c r="E36" s="828"/>
      <c r="F36" s="829"/>
      <c r="G36" s="829">
        <f t="shared" si="1"/>
        <v>0</v>
      </c>
      <c r="H36" s="829">
        <f t="shared" si="2"/>
        <v>0</v>
      </c>
      <c r="K36" s="65"/>
      <c r="L36" s="65"/>
      <c r="M36"/>
      <c r="N36" s="65"/>
      <c r="O36" s="65"/>
      <c r="P36" s="65"/>
      <c r="Q36" s="65"/>
      <c r="R36" s="65"/>
    </row>
    <row r="37" spans="1:18" s="122" customFormat="1" x14ac:dyDescent="0.2">
      <c r="A37" s="126" t="s">
        <v>14</v>
      </c>
      <c r="B37" s="486" t="s">
        <v>363</v>
      </c>
      <c r="C37" s="826">
        <v>925</v>
      </c>
      <c r="D37" s="827">
        <v>122500</v>
      </c>
      <c r="E37" s="828">
        <f>E31</f>
        <v>0.49997132880489842</v>
      </c>
      <c r="F37" s="829">
        <f>D37*E37</f>
        <v>61246.487778600058</v>
      </c>
      <c r="G37" s="829">
        <f t="shared" si="1"/>
        <v>35553.586155477336</v>
      </c>
      <c r="H37" s="829">
        <f t="shared" si="2"/>
        <v>25692.901623122725</v>
      </c>
      <c r="K37" s="65"/>
      <c r="L37" s="65"/>
      <c r="M37"/>
      <c r="N37" s="65"/>
      <c r="O37" s="65"/>
      <c r="P37" s="65"/>
      <c r="Q37" s="65"/>
      <c r="R37" s="65"/>
    </row>
    <row r="38" spans="1:18" s="122" customFormat="1" x14ac:dyDescent="0.2">
      <c r="A38" s="126"/>
      <c r="B38" s="486"/>
      <c r="C38" s="826"/>
      <c r="D38" s="827"/>
      <c r="E38" s="828"/>
      <c r="F38" s="829">
        <f t="shared" ref="F38:F41" si="4">D38*E38</f>
        <v>0</v>
      </c>
      <c r="G38" s="829"/>
      <c r="H38" s="829"/>
      <c r="K38" s="65"/>
      <c r="L38" s="65"/>
      <c r="M38"/>
      <c r="N38" s="65"/>
      <c r="O38" s="65"/>
      <c r="P38" s="65"/>
      <c r="Q38" s="65"/>
      <c r="R38" s="65"/>
    </row>
    <row r="39" spans="1:18" s="122" customFormat="1" x14ac:dyDescent="0.2">
      <c r="A39" s="126" t="s">
        <v>14</v>
      </c>
      <c r="B39" s="486" t="s">
        <v>363</v>
      </c>
      <c r="C39" s="826">
        <v>924</v>
      </c>
      <c r="D39" s="827">
        <v>122500</v>
      </c>
      <c r="E39" s="828">
        <v>1</v>
      </c>
      <c r="F39" s="829">
        <f t="shared" si="4"/>
        <v>122500</v>
      </c>
      <c r="G39" s="829">
        <f>F39*$F$65</f>
        <v>73965.5</v>
      </c>
      <c r="H39" s="829">
        <f>F39*$G$65</f>
        <v>48534.5</v>
      </c>
      <c r="K39" s="65"/>
      <c r="L39" s="65"/>
      <c r="M39"/>
      <c r="N39" s="65"/>
      <c r="O39" s="65"/>
      <c r="P39" s="65"/>
      <c r="Q39" s="65"/>
      <c r="R39" s="65"/>
    </row>
    <row r="40" spans="1:18" s="122" customFormat="1" x14ac:dyDescent="0.2">
      <c r="B40" s="486"/>
      <c r="C40" s="826"/>
      <c r="D40" s="827"/>
      <c r="E40" s="828"/>
      <c r="F40" s="829">
        <f t="shared" si="4"/>
        <v>0</v>
      </c>
      <c r="G40" s="829">
        <f t="shared" ref="G40:G59" si="5">F40*$F$65</f>
        <v>0</v>
      </c>
      <c r="H40" s="829">
        <f t="shared" ref="H40:H59" si="6">F40*$G$65</f>
        <v>0</v>
      </c>
      <c r="K40" s="65"/>
      <c r="L40" s="65"/>
      <c r="M40"/>
      <c r="N40" s="65"/>
      <c r="O40" s="65"/>
      <c r="P40" s="65"/>
      <c r="Q40" s="65"/>
      <c r="R40" s="65"/>
    </row>
    <row r="41" spans="1:18" s="122" customFormat="1" x14ac:dyDescent="0.2">
      <c r="A41" s="127" t="s">
        <v>15</v>
      </c>
      <c r="B41" s="486" t="s">
        <v>362</v>
      </c>
      <c r="C41" s="826">
        <v>924</v>
      </c>
      <c r="D41" s="827">
        <v>15115</v>
      </c>
      <c r="E41" s="828">
        <f>E37</f>
        <v>0.49997132880489842</v>
      </c>
      <c r="F41" s="829">
        <f t="shared" si="4"/>
        <v>7557.0666348860395</v>
      </c>
      <c r="G41" s="829">
        <f t="shared" si="5"/>
        <v>4562.9568341441909</v>
      </c>
      <c r="H41" s="829">
        <f t="shared" si="6"/>
        <v>2994.1098007418486</v>
      </c>
      <c r="K41" s="65"/>
      <c r="L41" s="65"/>
      <c r="M41"/>
      <c r="N41" s="65"/>
      <c r="O41" s="65"/>
      <c r="P41" s="65"/>
      <c r="Q41" s="65"/>
      <c r="R41" s="65"/>
    </row>
    <row r="42" spans="1:18" s="122" customFormat="1" x14ac:dyDescent="0.2">
      <c r="A42" s="128"/>
      <c r="B42" s="128"/>
      <c r="C42" s="486"/>
      <c r="D42" s="336"/>
      <c r="E42" s="828"/>
      <c r="F42" s="747"/>
      <c r="G42" s="829">
        <f t="shared" si="5"/>
        <v>0</v>
      </c>
      <c r="H42" s="829">
        <f t="shared" si="6"/>
        <v>0</v>
      </c>
      <c r="K42" s="65"/>
      <c r="L42" s="65"/>
      <c r="M42"/>
      <c r="N42" s="65"/>
      <c r="O42" s="65"/>
      <c r="P42" s="65"/>
      <c r="Q42" s="65"/>
      <c r="R42" s="65"/>
    </row>
    <row r="43" spans="1:18" x14ac:dyDescent="0.2">
      <c r="A43" s="123" t="s">
        <v>58</v>
      </c>
      <c r="B43" s="124"/>
      <c r="C43" s="124"/>
      <c r="D43" s="124"/>
      <c r="E43" s="828"/>
      <c r="F43" s="747"/>
      <c r="G43" s="829">
        <f t="shared" si="5"/>
        <v>0</v>
      </c>
      <c r="H43" s="829">
        <f t="shared" si="6"/>
        <v>0</v>
      </c>
    </row>
    <row r="44" spans="1:18" x14ac:dyDescent="0.2">
      <c r="A44" s="128"/>
      <c r="B44" s="128"/>
      <c r="C44" s="486"/>
      <c r="D44" s="831"/>
      <c r="E44" s="828"/>
      <c r="F44" s="747"/>
      <c r="G44" s="829">
        <f t="shared" si="5"/>
        <v>0</v>
      </c>
      <c r="H44" s="829">
        <f t="shared" si="6"/>
        <v>0</v>
      </c>
    </row>
    <row r="45" spans="1:18" s="122" customFormat="1" x14ac:dyDescent="0.2">
      <c r="A45" s="127" t="s">
        <v>158</v>
      </c>
      <c r="B45" s="486" t="s">
        <v>200</v>
      </c>
      <c r="C45" s="826">
        <v>924</v>
      </c>
      <c r="D45" s="827">
        <v>146039</v>
      </c>
      <c r="E45" s="828">
        <v>1</v>
      </c>
      <c r="F45" s="829">
        <f>D45*E45</f>
        <v>146039</v>
      </c>
      <c r="G45" s="829">
        <f t="shared" si="5"/>
        <v>88178.348200000008</v>
      </c>
      <c r="H45" s="829">
        <f t="shared" si="6"/>
        <v>57860.6518</v>
      </c>
      <c r="K45" s="65"/>
      <c r="L45" s="65"/>
      <c r="M45"/>
      <c r="N45" s="65"/>
      <c r="O45" s="65"/>
      <c r="P45" s="65"/>
      <c r="Q45" s="65"/>
      <c r="R45" s="65"/>
    </row>
    <row r="46" spans="1:18" s="122" customFormat="1" x14ac:dyDescent="0.2">
      <c r="B46" s="486"/>
      <c r="C46" s="826"/>
      <c r="D46" s="255"/>
      <c r="E46" s="828"/>
      <c r="F46" s="829">
        <f t="shared" ref="F46:F54" si="7">D46*E46</f>
        <v>0</v>
      </c>
      <c r="G46" s="829">
        <f t="shared" si="5"/>
        <v>0</v>
      </c>
      <c r="H46" s="829">
        <f t="shared" si="6"/>
        <v>0</v>
      </c>
      <c r="K46" s="65"/>
      <c r="L46" s="65"/>
      <c r="M46"/>
      <c r="N46" s="65"/>
      <c r="O46" s="65"/>
      <c r="P46" s="65"/>
      <c r="Q46" s="65"/>
      <c r="R46" s="65"/>
    </row>
    <row r="47" spans="1:18" s="122" customFormat="1" x14ac:dyDescent="0.2">
      <c r="A47" s="126" t="s">
        <v>159</v>
      </c>
      <c r="B47" s="486" t="s">
        <v>200</v>
      </c>
      <c r="C47" s="826">
        <v>924</v>
      </c>
      <c r="D47" s="255">
        <v>6354</v>
      </c>
      <c r="E47" s="828">
        <v>1</v>
      </c>
      <c r="F47" s="829">
        <f t="shared" si="7"/>
        <v>6354</v>
      </c>
      <c r="G47" s="829">
        <f t="shared" si="5"/>
        <v>3836.5452</v>
      </c>
      <c r="H47" s="829">
        <f t="shared" si="6"/>
        <v>2517.4548</v>
      </c>
      <c r="K47" s="65"/>
      <c r="L47" s="65"/>
      <c r="M47"/>
      <c r="N47" s="65"/>
      <c r="O47" s="65"/>
      <c r="P47" s="65"/>
      <c r="Q47" s="65"/>
      <c r="R47" s="65"/>
    </row>
    <row r="48" spans="1:18" s="122" customFormat="1" x14ac:dyDescent="0.2">
      <c r="B48" s="486"/>
      <c r="C48" s="826"/>
      <c r="D48" s="255"/>
      <c r="E48" s="828"/>
      <c r="F48" s="829">
        <f t="shared" si="7"/>
        <v>0</v>
      </c>
      <c r="G48" s="829">
        <f t="shared" si="5"/>
        <v>0</v>
      </c>
      <c r="H48" s="829">
        <f t="shared" si="6"/>
        <v>0</v>
      </c>
      <c r="K48" s="65"/>
      <c r="L48" s="65"/>
      <c r="M48"/>
      <c r="N48" s="65"/>
      <c r="O48" s="65"/>
      <c r="P48" s="65"/>
      <c r="Q48" s="65"/>
      <c r="R48" s="65"/>
    </row>
    <row r="49" spans="1:18" s="122" customFormat="1" x14ac:dyDescent="0.2">
      <c r="A49" s="126" t="s">
        <v>160</v>
      </c>
      <c r="B49" s="486" t="s">
        <v>200</v>
      </c>
      <c r="C49" s="832">
        <v>924</v>
      </c>
      <c r="D49" s="255">
        <v>0</v>
      </c>
      <c r="E49" s="828">
        <v>1</v>
      </c>
      <c r="F49" s="833" t="s">
        <v>364</v>
      </c>
      <c r="G49" s="830"/>
      <c r="H49" s="830"/>
      <c r="K49" s="65"/>
      <c r="L49" s="65"/>
      <c r="M49"/>
      <c r="N49" s="65"/>
      <c r="O49" s="65"/>
      <c r="P49" s="65"/>
      <c r="Q49" s="65"/>
      <c r="R49" s="65"/>
    </row>
    <row r="50" spans="1:18" s="122" customFormat="1" x14ac:dyDescent="0.2">
      <c r="B50" s="486"/>
      <c r="C50" s="832"/>
      <c r="D50" s="255"/>
      <c r="E50" s="828"/>
      <c r="F50" s="829">
        <f t="shared" si="7"/>
        <v>0</v>
      </c>
      <c r="G50" s="829">
        <f t="shared" si="5"/>
        <v>0</v>
      </c>
      <c r="H50" s="829">
        <f t="shared" si="6"/>
        <v>0</v>
      </c>
      <c r="K50" s="65"/>
      <c r="L50" s="65"/>
      <c r="M50"/>
      <c r="N50" s="65"/>
      <c r="O50" s="65"/>
      <c r="P50" s="65"/>
      <c r="Q50" s="65"/>
      <c r="R50" s="65"/>
    </row>
    <row r="51" spans="1:18" s="122" customFormat="1" x14ac:dyDescent="0.2">
      <c r="A51" s="126" t="s">
        <v>161</v>
      </c>
      <c r="B51" s="486" t="s">
        <v>200</v>
      </c>
      <c r="C51" s="832">
        <v>924</v>
      </c>
      <c r="D51" s="255">
        <v>73020</v>
      </c>
      <c r="E51" s="828">
        <v>1</v>
      </c>
      <c r="F51" s="829">
        <f t="shared" si="7"/>
        <v>73020</v>
      </c>
      <c r="G51" s="829">
        <f t="shared" si="5"/>
        <v>44089.476000000002</v>
      </c>
      <c r="H51" s="829">
        <f t="shared" si="6"/>
        <v>28930.524000000001</v>
      </c>
      <c r="K51" s="65"/>
      <c r="L51" s="65"/>
      <c r="M51"/>
      <c r="N51" s="65"/>
      <c r="O51" s="65"/>
      <c r="P51" s="65"/>
      <c r="Q51" s="65"/>
      <c r="R51" s="65"/>
    </row>
    <row r="52" spans="1:18" s="122" customFormat="1" x14ac:dyDescent="0.2">
      <c r="B52" s="486"/>
      <c r="C52" s="832"/>
      <c r="D52" s="255"/>
      <c r="E52" s="828"/>
      <c r="F52" s="829">
        <f t="shared" si="7"/>
        <v>0</v>
      </c>
      <c r="G52" s="829">
        <f t="shared" si="5"/>
        <v>0</v>
      </c>
      <c r="H52" s="829">
        <f t="shared" si="6"/>
        <v>0</v>
      </c>
      <c r="K52" s="65"/>
      <c r="L52" s="65"/>
      <c r="M52"/>
      <c r="N52" s="65"/>
      <c r="O52" s="65"/>
      <c r="P52" s="65"/>
      <c r="Q52" s="65"/>
      <c r="R52" s="65"/>
    </row>
    <row r="53" spans="1:18" s="122" customFormat="1" x14ac:dyDescent="0.2">
      <c r="A53" s="126" t="s">
        <v>201</v>
      </c>
      <c r="B53" s="486" t="s">
        <v>200</v>
      </c>
      <c r="C53" s="832">
        <v>924</v>
      </c>
      <c r="D53" s="255">
        <v>3177</v>
      </c>
      <c r="E53" s="828">
        <v>1</v>
      </c>
      <c r="F53" s="829">
        <f t="shared" si="7"/>
        <v>3177</v>
      </c>
      <c r="G53" s="829">
        <f t="shared" si="5"/>
        <v>1918.2726</v>
      </c>
      <c r="H53" s="829">
        <f t="shared" si="6"/>
        <v>1258.7274</v>
      </c>
      <c r="K53" s="65"/>
      <c r="L53" s="65"/>
      <c r="M53"/>
      <c r="N53" s="65"/>
      <c r="O53" s="65"/>
      <c r="P53" s="65"/>
      <c r="Q53" s="65"/>
      <c r="R53" s="65"/>
    </row>
    <row r="54" spans="1:18" s="122" customFormat="1" x14ac:dyDescent="0.2">
      <c r="B54" s="486"/>
      <c r="C54" s="832"/>
      <c r="D54" s="255"/>
      <c r="E54" s="828"/>
      <c r="F54" s="829">
        <f t="shared" si="7"/>
        <v>0</v>
      </c>
      <c r="G54" s="829">
        <f t="shared" si="5"/>
        <v>0</v>
      </c>
      <c r="H54" s="829">
        <f t="shared" si="6"/>
        <v>0</v>
      </c>
      <c r="K54" s="65"/>
      <c r="L54" s="65"/>
      <c r="M54"/>
      <c r="N54" s="65"/>
      <c r="O54" s="65"/>
      <c r="P54" s="65"/>
      <c r="Q54" s="65"/>
      <c r="R54" s="65"/>
    </row>
    <row r="55" spans="1:18" s="122" customFormat="1" x14ac:dyDescent="0.2">
      <c r="A55" s="126" t="s">
        <v>162</v>
      </c>
      <c r="B55" s="486" t="s">
        <v>200</v>
      </c>
      <c r="C55" s="832">
        <v>924</v>
      </c>
      <c r="D55" s="255">
        <v>0</v>
      </c>
      <c r="E55" s="828">
        <v>1</v>
      </c>
      <c r="F55" s="833" t="s">
        <v>364</v>
      </c>
      <c r="G55" s="830"/>
      <c r="H55" s="830"/>
      <c r="K55" s="65"/>
      <c r="L55" s="65"/>
      <c r="M55"/>
      <c r="N55" s="65"/>
      <c r="O55" s="65"/>
      <c r="P55" s="65"/>
      <c r="Q55" s="65"/>
      <c r="R55" s="65"/>
    </row>
    <row r="56" spans="1:18" s="122" customFormat="1" x14ac:dyDescent="0.2">
      <c r="B56" s="486"/>
      <c r="C56" s="832"/>
      <c r="D56" s="255"/>
      <c r="E56" s="828"/>
      <c r="F56" s="829"/>
      <c r="G56" s="829">
        <f t="shared" si="5"/>
        <v>0</v>
      </c>
      <c r="H56" s="829">
        <f t="shared" si="6"/>
        <v>0</v>
      </c>
      <c r="K56" s="65"/>
      <c r="L56" s="65"/>
      <c r="M56"/>
      <c r="N56" s="65"/>
      <c r="O56" s="65"/>
      <c r="P56" s="65"/>
      <c r="Q56" s="65"/>
      <c r="R56" s="65"/>
    </row>
    <row r="57" spans="1:18" s="122" customFormat="1" x14ac:dyDescent="0.2">
      <c r="A57" s="126"/>
      <c r="B57" s="486"/>
      <c r="C57" s="832"/>
      <c r="D57" s="834"/>
      <c r="E57" s="828"/>
      <c r="F57" s="829"/>
      <c r="G57" s="829">
        <f t="shared" si="5"/>
        <v>0</v>
      </c>
      <c r="H57" s="829">
        <f t="shared" si="6"/>
        <v>0</v>
      </c>
      <c r="K57" s="65"/>
      <c r="L57" s="65"/>
      <c r="M57"/>
      <c r="N57" s="65"/>
      <c r="O57" s="65"/>
      <c r="P57" s="65"/>
      <c r="Q57" s="65"/>
      <c r="R57" s="65"/>
    </row>
    <row r="58" spans="1:18" s="122" customFormat="1" x14ac:dyDescent="0.2">
      <c r="A58" s="126"/>
      <c r="B58" s="486"/>
      <c r="C58" s="832"/>
      <c r="D58" s="834"/>
      <c r="E58" s="828"/>
      <c r="F58" s="829"/>
      <c r="G58" s="829">
        <f t="shared" si="5"/>
        <v>0</v>
      </c>
      <c r="H58" s="829">
        <f t="shared" si="6"/>
        <v>0</v>
      </c>
      <c r="K58" s="65"/>
      <c r="L58" s="65"/>
      <c r="M58"/>
      <c r="N58" s="65"/>
      <c r="O58" s="65"/>
      <c r="P58" s="65"/>
      <c r="Q58" s="65"/>
      <c r="R58" s="65"/>
    </row>
    <row r="59" spans="1:18" s="122" customFormat="1" x14ac:dyDescent="0.2">
      <c r="A59" s="126" t="s">
        <v>156</v>
      </c>
      <c r="B59" s="486" t="s">
        <v>155</v>
      </c>
      <c r="C59" s="832">
        <v>924</v>
      </c>
      <c r="D59" s="834">
        <v>54238</v>
      </c>
      <c r="E59" s="828">
        <v>1</v>
      </c>
      <c r="F59" s="829">
        <f>D59*E59</f>
        <v>54238</v>
      </c>
      <c r="G59" s="829">
        <f t="shared" si="5"/>
        <v>32748.904399999999</v>
      </c>
      <c r="H59" s="829">
        <f t="shared" si="6"/>
        <v>21489.095600000001</v>
      </c>
      <c r="K59" s="65"/>
      <c r="L59" s="65"/>
      <c r="M59"/>
      <c r="N59" s="65"/>
      <c r="O59" s="65"/>
      <c r="P59" s="65"/>
      <c r="Q59" s="65"/>
      <c r="R59" s="65"/>
    </row>
    <row r="60" spans="1:18" s="122" customFormat="1" x14ac:dyDescent="0.2">
      <c r="A60" s="126"/>
      <c r="B60" s="486"/>
      <c r="C60" s="832"/>
      <c r="D60" s="834"/>
      <c r="E60" s="828"/>
      <c r="F60" s="829"/>
      <c r="G60" s="829"/>
      <c r="H60" s="829"/>
      <c r="K60" s="65"/>
      <c r="L60" s="65"/>
      <c r="M60"/>
      <c r="N60" s="65"/>
      <c r="O60" s="65"/>
      <c r="P60" s="65"/>
      <c r="Q60" s="65"/>
      <c r="R60" s="65"/>
    </row>
    <row r="61" spans="1:18" s="122" customFormat="1" x14ac:dyDescent="0.2">
      <c r="B61" s="486"/>
      <c r="C61" s="486"/>
      <c r="D61" s="827"/>
      <c r="F61" s="128"/>
      <c r="G61" s="128"/>
      <c r="H61" s="128"/>
      <c r="K61" s="65"/>
      <c r="L61" s="65"/>
      <c r="M61"/>
      <c r="N61" s="65"/>
      <c r="O61" s="65"/>
      <c r="P61" s="65"/>
      <c r="Q61" s="65"/>
      <c r="R61" s="65"/>
    </row>
    <row r="62" spans="1:18" s="122" customFormat="1" ht="13.5" thickBot="1" x14ac:dyDescent="0.25">
      <c r="B62" s="486"/>
      <c r="C62" s="486"/>
      <c r="D62" s="42">
        <f>SUM(D11:D59)</f>
        <v>5823590.8200000003</v>
      </c>
      <c r="F62" s="42">
        <f>SUM(F11:F59)</f>
        <v>3130310.0580512919</v>
      </c>
      <c r="G62" s="42">
        <f>SUM(G11:G59)</f>
        <v>1826765.2107513682</v>
      </c>
      <c r="H62" s="42">
        <f>SUM(H11:H59)</f>
        <v>1303544.8472999241</v>
      </c>
      <c r="K62" s="65"/>
      <c r="L62" s="65"/>
      <c r="M62"/>
      <c r="N62" s="65"/>
      <c r="O62" s="65"/>
      <c r="P62" s="65"/>
      <c r="Q62" s="65"/>
      <c r="R62" s="65"/>
    </row>
    <row r="63" spans="1:18" ht="14.25" thickTop="1" thickBot="1" x14ac:dyDescent="0.25">
      <c r="D63" s="254"/>
    </row>
    <row r="64" spans="1:18" x14ac:dyDescent="0.2">
      <c r="B64" s="735"/>
      <c r="C64" s="485"/>
      <c r="D64" s="835"/>
      <c r="E64" s="485"/>
      <c r="F64" s="129" t="s">
        <v>17</v>
      </c>
      <c r="G64" s="129" t="s">
        <v>18</v>
      </c>
      <c r="H64" s="130" t="s">
        <v>40</v>
      </c>
    </row>
    <row r="65" spans="1:8" x14ac:dyDescent="0.2">
      <c r="B65" s="739" t="s">
        <v>72</v>
      </c>
      <c r="C65" s="128"/>
      <c r="D65" s="836">
        <v>924</v>
      </c>
      <c r="E65" s="486">
        <v>1</v>
      </c>
      <c r="F65" s="131">
        <f>[1]Lead!$E$19</f>
        <v>0.6038</v>
      </c>
      <c r="G65" s="131">
        <f>[1]Lead!$F$19</f>
        <v>0.3962</v>
      </c>
      <c r="H65" s="132">
        <f>SUM(F65:G65)</f>
        <v>1</v>
      </c>
    </row>
    <row r="66" spans="1:8" ht="13.5" thickBot="1" x14ac:dyDescent="0.25">
      <c r="B66" s="837" t="s">
        <v>72</v>
      </c>
      <c r="C66" s="838"/>
      <c r="D66" s="839">
        <v>925</v>
      </c>
      <c r="E66" s="487">
        <v>2</v>
      </c>
      <c r="F66" s="133">
        <f>[1]Lead!$E$9</f>
        <v>0.58050000000000002</v>
      </c>
      <c r="G66" s="133">
        <f>[1]Lead!$F$9</f>
        <v>0.41949999999999998</v>
      </c>
      <c r="H66" s="134">
        <f>SUM(F66:G66)</f>
        <v>1</v>
      </c>
    </row>
    <row r="67" spans="1:8" x14ac:dyDescent="0.2">
      <c r="D67" s="254"/>
    </row>
    <row r="68" spans="1:8" x14ac:dyDescent="0.2">
      <c r="A68" s="135"/>
      <c r="D68" s="254"/>
    </row>
    <row r="69" spans="1:8" x14ac:dyDescent="0.2">
      <c r="A69" s="135" t="s">
        <v>365</v>
      </c>
      <c r="D69" s="254"/>
    </row>
    <row r="70" spans="1:8" x14ac:dyDescent="0.2">
      <c r="D70" s="254"/>
    </row>
    <row r="71" spans="1:8" x14ac:dyDescent="0.2">
      <c r="D71" s="254"/>
    </row>
    <row r="72" spans="1:8" x14ac:dyDescent="0.2">
      <c r="D72" s="254"/>
    </row>
    <row r="73" spans="1:8" x14ac:dyDescent="0.2">
      <c r="C73" s="254"/>
    </row>
    <row r="74" spans="1:8" x14ac:dyDescent="0.2">
      <c r="C74" s="254"/>
    </row>
    <row r="75" spans="1:8" x14ac:dyDescent="0.2">
      <c r="D75" s="254"/>
    </row>
    <row r="76" spans="1:8" x14ac:dyDescent="0.2">
      <c r="D76" s="254"/>
    </row>
    <row r="77" spans="1:8" x14ac:dyDescent="0.2">
      <c r="D77" s="254"/>
    </row>
    <row r="78" spans="1:8" x14ac:dyDescent="0.2">
      <c r="D78" s="254"/>
    </row>
    <row r="79" spans="1:8" x14ac:dyDescent="0.2">
      <c r="D79" s="254"/>
    </row>
    <row r="80" spans="1:8" x14ac:dyDescent="0.2">
      <c r="D80" s="254"/>
    </row>
    <row r="81" spans="4:4" x14ac:dyDescent="0.2">
      <c r="D81" s="254"/>
    </row>
    <row r="82" spans="4:4" x14ac:dyDescent="0.2">
      <c r="D82" s="254"/>
    </row>
    <row r="83" spans="4:4" x14ac:dyDescent="0.2">
      <c r="D83" s="254"/>
    </row>
    <row r="84" spans="4:4" x14ac:dyDescent="0.2">
      <c r="D84" s="254"/>
    </row>
    <row r="85" spans="4:4" x14ac:dyDescent="0.2">
      <c r="D85" s="254"/>
    </row>
    <row r="86" spans="4:4" x14ac:dyDescent="0.2">
      <c r="D86" s="254"/>
    </row>
  </sheetData>
  <mergeCells count="1">
    <mergeCell ref="E3:F3"/>
  </mergeCells>
  <pageMargins left="0.56999999999999995" right="0.37" top="0.3" bottom="0.39" header="0.17" footer="0.17"/>
  <pageSetup scale="61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5"/>
  <sheetViews>
    <sheetView zoomScale="80" zoomScaleNormal="80" workbookViewId="0">
      <selection activeCell="B1" sqref="B1:L1048576"/>
    </sheetView>
  </sheetViews>
  <sheetFormatPr defaultColWidth="9.140625" defaultRowHeight="15" outlineLevelCol="1" x14ac:dyDescent="0.25"/>
  <cols>
    <col min="1" max="1" width="33.140625" style="201" customWidth="1"/>
    <col min="2" max="2" width="34.28515625" style="201" hidden="1" customWidth="1" outlineLevel="1"/>
    <col min="3" max="3" width="14.5703125" style="201" hidden="1" customWidth="1" outlineLevel="1"/>
    <col min="4" max="4" width="12.85546875" style="200" hidden="1" customWidth="1" outlineLevel="1"/>
    <col min="5" max="5" width="9.140625" style="200" hidden="1" customWidth="1" outlineLevel="1"/>
    <col min="6" max="6" width="10.7109375" style="200" hidden="1" customWidth="1" outlineLevel="1"/>
    <col min="7" max="7" width="15.7109375" style="201" hidden="1" customWidth="1" outlineLevel="1"/>
    <col min="8" max="8" width="9.28515625" style="201" hidden="1" customWidth="1" outlineLevel="1"/>
    <col min="9" max="10" width="20.7109375" style="201" hidden="1" customWidth="1" outlineLevel="1"/>
    <col min="11" max="11" width="11.5703125" style="201" hidden="1" customWidth="1" outlineLevel="1"/>
    <col min="12" max="12" width="20.7109375" style="201" hidden="1" customWidth="1" outlineLevel="1"/>
    <col min="13" max="13" width="23.5703125" style="201" bestFit="1" customWidth="1" collapsed="1"/>
    <col min="14" max="14" width="11.5703125" style="201" customWidth="1"/>
    <col min="15" max="15" width="18.140625" style="427" customWidth="1"/>
    <col min="16" max="16" width="22.5703125" style="842" bestFit="1" customWidth="1"/>
    <col min="17" max="17" width="20.140625" style="201" customWidth="1"/>
    <col min="18" max="18" width="2.140625" style="201" customWidth="1"/>
    <col min="19" max="19" width="20.7109375" style="201" bestFit="1" customWidth="1"/>
    <col min="20" max="20" width="16.85546875" style="428" bestFit="1" customWidth="1"/>
    <col min="21" max="21" width="13.140625" style="428" bestFit="1" customWidth="1"/>
    <col min="22" max="16384" width="9.140625" style="201"/>
  </cols>
  <sheetData>
    <row r="1" spans="1:20" x14ac:dyDescent="0.25">
      <c r="A1" s="199"/>
      <c r="B1" s="199"/>
      <c r="C1" s="199"/>
    </row>
    <row r="3" spans="1:20" ht="25.5" x14ac:dyDescent="0.2">
      <c r="A3" s="203" t="s">
        <v>230</v>
      </c>
      <c r="B3" s="204" t="s">
        <v>231</v>
      </c>
      <c r="C3" s="205" t="s">
        <v>232</v>
      </c>
      <c r="D3" s="206" t="s">
        <v>233</v>
      </c>
      <c r="E3" s="206" t="s">
        <v>234</v>
      </c>
      <c r="F3" s="206" t="s">
        <v>235</v>
      </c>
      <c r="G3" s="206" t="s">
        <v>236</v>
      </c>
      <c r="H3" s="207" t="s">
        <v>237</v>
      </c>
      <c r="I3" s="208" t="s">
        <v>238</v>
      </c>
      <c r="J3" s="209" t="s">
        <v>239</v>
      </c>
      <c r="K3" s="210" t="s">
        <v>240</v>
      </c>
      <c r="L3" s="203" t="s">
        <v>241</v>
      </c>
      <c r="M3" s="203" t="s">
        <v>242</v>
      </c>
      <c r="N3" s="390" t="s">
        <v>346</v>
      </c>
      <c r="O3" s="391" t="s">
        <v>347</v>
      </c>
      <c r="P3" s="391" t="s">
        <v>348</v>
      </c>
      <c r="Q3" s="390" t="s">
        <v>243</v>
      </c>
    </row>
    <row r="4" spans="1:20" ht="12.75" x14ac:dyDescent="0.2">
      <c r="A4" s="211" t="s">
        <v>244</v>
      </c>
      <c r="B4" s="211"/>
      <c r="C4" s="211"/>
      <c r="D4" s="212">
        <v>16896380</v>
      </c>
      <c r="E4" s="213">
        <v>6.2300000000000001E-2</v>
      </c>
      <c r="F4" s="212">
        <v>10526.444739999999</v>
      </c>
      <c r="G4" s="214">
        <v>17578994</v>
      </c>
      <c r="H4" s="215">
        <v>5.4138699999999998E-2</v>
      </c>
      <c r="I4" s="216">
        <v>17547899</v>
      </c>
      <c r="J4" s="217">
        <v>9500.2043959130006</v>
      </c>
      <c r="K4" s="218">
        <v>2.5000000000000001E-2</v>
      </c>
      <c r="L4" s="216">
        <v>33586180</v>
      </c>
      <c r="M4" s="216">
        <v>8396.5450000000001</v>
      </c>
      <c r="N4" s="218">
        <v>2.5000000000000001E-2</v>
      </c>
      <c r="O4" s="237">
        <v>0</v>
      </c>
      <c r="P4" s="238">
        <v>0</v>
      </c>
      <c r="Q4" s="219" t="s">
        <v>31</v>
      </c>
    </row>
    <row r="5" spans="1:20" ht="12.75" x14ac:dyDescent="0.2">
      <c r="A5" s="211" t="s">
        <v>245</v>
      </c>
      <c r="B5" s="211"/>
      <c r="C5" s="211"/>
      <c r="D5" s="212">
        <v>38346246</v>
      </c>
      <c r="E5" s="213">
        <v>6.2300000000000001E-2</v>
      </c>
      <c r="F5" s="212">
        <v>23889.711258000003</v>
      </c>
      <c r="G5" s="214">
        <v>39895435</v>
      </c>
      <c r="H5" s="215">
        <v>5.4138699999999998E-2</v>
      </c>
      <c r="I5" s="216">
        <v>39840094</v>
      </c>
      <c r="J5" s="217">
        <v>21568</v>
      </c>
      <c r="K5" s="218">
        <v>3.2000000000000001E-2</v>
      </c>
      <c r="L5" s="216">
        <v>61222064</v>
      </c>
      <c r="M5" s="216">
        <v>19591.06048</v>
      </c>
      <c r="N5" s="218">
        <v>0.04</v>
      </c>
      <c r="O5" s="237">
        <v>70563500</v>
      </c>
      <c r="P5" s="238">
        <v>28225.4</v>
      </c>
      <c r="Q5" s="219" t="s">
        <v>31</v>
      </c>
    </row>
    <row r="6" spans="1:20" ht="12.75" x14ac:dyDescent="0.2">
      <c r="A6" s="211" t="s">
        <v>246</v>
      </c>
      <c r="B6" s="220" t="s">
        <v>55</v>
      </c>
      <c r="C6" s="220"/>
      <c r="D6" s="221" t="s">
        <v>247</v>
      </c>
      <c r="E6" s="221"/>
      <c r="F6" s="221"/>
      <c r="G6" s="222"/>
      <c r="H6" s="223">
        <v>5.4100000000000002E-2</v>
      </c>
      <c r="I6" s="216">
        <v>28440166</v>
      </c>
      <c r="J6" s="216">
        <v>15386.129806000001</v>
      </c>
      <c r="K6" s="218">
        <v>0.02</v>
      </c>
      <c r="L6" s="216">
        <v>5728350</v>
      </c>
      <c r="M6" s="216">
        <v>1145.67</v>
      </c>
      <c r="N6" s="218">
        <v>2.4E-2</v>
      </c>
      <c r="O6" s="237">
        <v>5842344.165</v>
      </c>
      <c r="P6" s="238">
        <v>1402.1625996</v>
      </c>
      <c r="Q6" s="219" t="s">
        <v>31</v>
      </c>
    </row>
    <row r="7" spans="1:20" ht="12.75" x14ac:dyDescent="0.2">
      <c r="A7" s="211" t="s">
        <v>248</v>
      </c>
      <c r="B7" s="219"/>
      <c r="C7" s="219"/>
      <c r="D7" s="224"/>
      <c r="E7" s="224"/>
      <c r="F7" s="224"/>
      <c r="G7" s="225"/>
      <c r="H7" s="223">
        <v>5.4100000000000002E-2</v>
      </c>
      <c r="I7" s="216">
        <v>352991041</v>
      </c>
      <c r="J7" s="216">
        <v>190968.15318100003</v>
      </c>
      <c r="K7" s="218">
        <v>3.7999999999999999E-2</v>
      </c>
      <c r="L7" s="216">
        <v>346152257</v>
      </c>
      <c r="M7" s="216">
        <v>131537.85765999998</v>
      </c>
      <c r="N7" s="218">
        <v>4.3999999999999997E-2</v>
      </c>
      <c r="O7" s="237">
        <v>346851179</v>
      </c>
      <c r="P7" s="238">
        <v>152614.51875999998</v>
      </c>
      <c r="Q7" s="219" t="s">
        <v>31</v>
      </c>
    </row>
    <row r="8" spans="1:20" ht="12.75" x14ac:dyDescent="0.2">
      <c r="A8" s="211" t="s">
        <v>246</v>
      </c>
      <c r="B8" s="220"/>
      <c r="C8" s="220"/>
      <c r="D8" s="221"/>
      <c r="E8" s="221"/>
      <c r="F8" s="221"/>
      <c r="G8" s="222"/>
      <c r="H8" s="223"/>
      <c r="I8" s="216"/>
      <c r="J8" s="216"/>
      <c r="K8" s="218">
        <v>0.02</v>
      </c>
      <c r="L8" s="216">
        <v>12771490</v>
      </c>
      <c r="M8" s="216">
        <v>2554.2980000000002</v>
      </c>
      <c r="N8" s="218">
        <v>2.2800000000000001E-2</v>
      </c>
      <c r="O8" s="237">
        <v>12989280.3959</v>
      </c>
      <c r="P8" s="238">
        <v>2961.5559302652</v>
      </c>
      <c r="Q8" s="219" t="s">
        <v>17</v>
      </c>
    </row>
    <row r="9" spans="1:20" ht="12.75" x14ac:dyDescent="0.2">
      <c r="A9" s="211" t="s">
        <v>249</v>
      </c>
      <c r="B9" s="211" t="s">
        <v>250</v>
      </c>
      <c r="C9" s="211" t="s">
        <v>249</v>
      </c>
      <c r="D9" s="212">
        <v>4357000</v>
      </c>
      <c r="E9" s="213">
        <v>3.7647966966237553E-2</v>
      </c>
      <c r="F9" s="212">
        <v>1640.3219207189702</v>
      </c>
      <c r="G9" s="214">
        <v>4511000</v>
      </c>
      <c r="H9" s="215">
        <v>3.2716083293660436E-2</v>
      </c>
      <c r="I9" s="216">
        <v>4532880</v>
      </c>
      <c r="J9" s="216">
        <v>1482.9807964016754</v>
      </c>
      <c r="K9" s="218">
        <v>4.2000000000000003E-2</v>
      </c>
      <c r="L9" s="216">
        <v>4608621</v>
      </c>
      <c r="M9" s="216">
        <v>1935.6208200000003</v>
      </c>
      <c r="N9" s="218">
        <v>4.7E-2</v>
      </c>
      <c r="O9" s="237">
        <v>4711657</v>
      </c>
      <c r="P9" s="238">
        <v>2214.4787899999997</v>
      </c>
      <c r="Q9" s="219" t="s">
        <v>17</v>
      </c>
    </row>
    <row r="10" spans="1:20" x14ac:dyDescent="0.2">
      <c r="A10" s="211" t="s">
        <v>251</v>
      </c>
      <c r="B10" s="211" t="s">
        <v>252</v>
      </c>
      <c r="C10" s="211" t="s">
        <v>253</v>
      </c>
      <c r="D10" s="212">
        <v>450614000</v>
      </c>
      <c r="E10" s="213">
        <v>2.1879962319304471E-2</v>
      </c>
      <c r="F10" s="212">
        <v>98594.17340551065</v>
      </c>
      <c r="G10" s="226">
        <v>669295000</v>
      </c>
      <c r="H10" s="215">
        <v>3.1399999999999997E-2</v>
      </c>
      <c r="I10" s="216">
        <v>669505759</v>
      </c>
      <c r="J10" s="216">
        <v>210224.80832599997</v>
      </c>
      <c r="K10" s="218">
        <v>3.2000000000000001E-2</v>
      </c>
      <c r="L10" s="216">
        <v>664440690</v>
      </c>
      <c r="M10" s="216">
        <v>212621.02080000003</v>
      </c>
      <c r="N10" s="218">
        <v>4.0500000000000001E-2</v>
      </c>
      <c r="O10" s="237">
        <v>664440690.46193111</v>
      </c>
      <c r="P10" s="238">
        <v>269098.47963708208</v>
      </c>
      <c r="Q10" s="219" t="s">
        <v>17</v>
      </c>
      <c r="R10" s="227"/>
      <c r="S10" s="228"/>
      <c r="T10" s="429"/>
    </row>
    <row r="11" spans="1:20" x14ac:dyDescent="0.2">
      <c r="A11" s="211" t="s">
        <v>254</v>
      </c>
      <c r="B11" s="211" t="s">
        <v>255</v>
      </c>
      <c r="C11" s="211" t="s">
        <v>253</v>
      </c>
      <c r="D11" s="212">
        <v>346194000</v>
      </c>
      <c r="E11" s="213">
        <v>3.6080283509341997E-2</v>
      </c>
      <c r="F11" s="212">
        <v>124907.77669233143</v>
      </c>
      <c r="G11" s="214">
        <v>383006000</v>
      </c>
      <c r="H11" s="215">
        <v>4.1000000000000002E-2</v>
      </c>
      <c r="I11" s="216">
        <v>383006000</v>
      </c>
      <c r="J11" s="216">
        <v>157032.46</v>
      </c>
      <c r="K11" s="218">
        <v>3.2000000000000001E-2</v>
      </c>
      <c r="L11" s="216">
        <v>407900310</v>
      </c>
      <c r="M11" s="216">
        <v>130528.0992</v>
      </c>
      <c r="N11" s="218">
        <v>4.0500000000000001E-2</v>
      </c>
      <c r="O11" s="237">
        <v>407900310.4721511</v>
      </c>
      <c r="P11" s="238">
        <v>165199.62574122119</v>
      </c>
      <c r="Q11" s="219" t="s">
        <v>17</v>
      </c>
      <c r="R11" s="227"/>
      <c r="S11" s="228"/>
      <c r="T11" s="429"/>
    </row>
    <row r="12" spans="1:20" x14ac:dyDescent="0.2">
      <c r="A12" s="211" t="s">
        <v>256</v>
      </c>
      <c r="B12" s="211" t="s">
        <v>257</v>
      </c>
      <c r="C12" s="211" t="s">
        <v>258</v>
      </c>
      <c r="D12" s="212">
        <v>256871236</v>
      </c>
      <c r="E12" s="213">
        <v>9.4053860630722269E-2</v>
      </c>
      <c r="F12" s="212">
        <v>241597.31430785367</v>
      </c>
      <c r="G12" s="214">
        <v>267151000</v>
      </c>
      <c r="H12" s="215">
        <v>8.1732804888097657E-2</v>
      </c>
      <c r="I12" s="216">
        <v>263682120</v>
      </c>
      <c r="J12" s="216">
        <v>215514.79266439952</v>
      </c>
      <c r="K12" s="218">
        <v>7.0000000000000007E-2</v>
      </c>
      <c r="L12" s="216">
        <v>283592113</v>
      </c>
      <c r="M12" s="216">
        <v>198514.4791</v>
      </c>
      <c r="N12" s="218">
        <v>7.9500000000000001E-2</v>
      </c>
      <c r="O12" s="237">
        <v>283592113</v>
      </c>
      <c r="P12" s="238">
        <v>225455.72983500001</v>
      </c>
      <c r="Q12" s="219" t="s">
        <v>17</v>
      </c>
      <c r="R12" s="227"/>
      <c r="S12" s="228"/>
      <c r="T12" s="429"/>
    </row>
    <row r="13" spans="1:20" x14ac:dyDescent="0.2">
      <c r="A13" s="211" t="s">
        <v>259</v>
      </c>
      <c r="B13" s="211" t="s">
        <v>260</v>
      </c>
      <c r="C13" s="211" t="s">
        <v>261</v>
      </c>
      <c r="D13" s="212">
        <v>289667000</v>
      </c>
      <c r="E13" s="213">
        <v>8.8668649363099969E-2</v>
      </c>
      <c r="F13" s="212">
        <v>256843.81655061079</v>
      </c>
      <c r="G13" s="214">
        <v>298542000</v>
      </c>
      <c r="H13" s="215">
        <v>7.7053056296533876E-2</v>
      </c>
      <c r="I13" s="216">
        <v>239423441</v>
      </c>
      <c r="J13" s="216">
        <v>184483.07878082857</v>
      </c>
      <c r="K13" s="218">
        <v>5.5E-2</v>
      </c>
      <c r="L13" s="216">
        <v>268085273</v>
      </c>
      <c r="M13" s="216">
        <v>147446.90015</v>
      </c>
      <c r="N13" s="218">
        <v>6.5000000000000002E-2</v>
      </c>
      <c r="O13" s="237">
        <v>257878497.24955955</v>
      </c>
      <c r="P13" s="238">
        <v>167621.02321221371</v>
      </c>
      <c r="Q13" s="219" t="s">
        <v>17</v>
      </c>
      <c r="R13" s="227"/>
      <c r="S13" s="228"/>
      <c r="T13" s="429"/>
    </row>
    <row r="14" spans="1:20" x14ac:dyDescent="0.2">
      <c r="A14" s="211" t="s">
        <v>262</v>
      </c>
      <c r="B14" s="211" t="s">
        <v>263</v>
      </c>
      <c r="C14" s="211" t="s">
        <v>264</v>
      </c>
      <c r="D14" s="212">
        <v>662297000</v>
      </c>
      <c r="E14" s="213">
        <v>3.7120215224820029E-2</v>
      </c>
      <c r="F14" s="212">
        <v>245846.07182752629</v>
      </c>
      <c r="G14" s="226">
        <v>682901000</v>
      </c>
      <c r="H14" s="215">
        <v>3.2257467030368601E-2</v>
      </c>
      <c r="I14" s="216">
        <v>424436105</v>
      </c>
      <c r="J14" s="216">
        <v>136912.33663535566</v>
      </c>
      <c r="K14" s="218">
        <v>0.03</v>
      </c>
      <c r="L14" s="216">
        <v>466144260</v>
      </c>
      <c r="M14" s="216">
        <v>139843.27799999999</v>
      </c>
      <c r="N14" s="218">
        <v>4.4999999999999998E-2</v>
      </c>
      <c r="O14" s="237">
        <v>449270652.83476865</v>
      </c>
      <c r="P14" s="238">
        <v>202171.7937756459</v>
      </c>
      <c r="Q14" s="219" t="s">
        <v>17</v>
      </c>
      <c r="R14" s="227"/>
      <c r="S14" s="228"/>
      <c r="T14" s="429"/>
    </row>
    <row r="15" spans="1:20" x14ac:dyDescent="0.2">
      <c r="A15" s="211" t="s">
        <v>265</v>
      </c>
      <c r="B15" s="211"/>
      <c r="C15" s="211"/>
      <c r="D15" s="212">
        <v>629831000</v>
      </c>
      <c r="E15" s="213">
        <v>3.9554579999999999E-2</v>
      </c>
      <c r="F15" s="212">
        <v>249127.00675979999</v>
      </c>
      <c r="G15" s="226">
        <v>648907000</v>
      </c>
      <c r="H15" s="215">
        <v>3.4372930019999998E-2</v>
      </c>
      <c r="I15" s="216">
        <v>593714663</v>
      </c>
      <c r="J15" s="216">
        <v>204077.12563146881</v>
      </c>
      <c r="K15" s="218">
        <v>0.03</v>
      </c>
      <c r="L15" s="216">
        <v>618703734</v>
      </c>
      <c r="M15" s="216">
        <v>185611.1202</v>
      </c>
      <c r="N15" s="218">
        <v>4.4999999999999998E-2</v>
      </c>
      <c r="O15" s="237">
        <v>580930468.89799452</v>
      </c>
      <c r="P15" s="238">
        <v>261418.71100409754</v>
      </c>
      <c r="Q15" s="219" t="s">
        <v>17</v>
      </c>
      <c r="R15" s="227"/>
      <c r="S15" s="228"/>
      <c r="T15" s="429"/>
    </row>
    <row r="16" spans="1:20" x14ac:dyDescent="0.2">
      <c r="A16" s="211" t="s">
        <v>266</v>
      </c>
      <c r="B16" s="211"/>
      <c r="C16" s="211"/>
      <c r="D16" s="212"/>
      <c r="E16" s="213"/>
      <c r="F16" s="212"/>
      <c r="G16" s="226"/>
      <c r="H16" s="215"/>
      <c r="I16" s="216"/>
      <c r="J16" s="216"/>
      <c r="K16" s="218">
        <v>2.6499999999999999E-2</v>
      </c>
      <c r="L16" s="216">
        <v>14448105</v>
      </c>
      <c r="M16" s="216">
        <v>3828.7478249999999</v>
      </c>
      <c r="N16" s="218">
        <v>2.6499999999999999E-2</v>
      </c>
      <c r="O16" s="237">
        <v>14735622.390775867</v>
      </c>
      <c r="P16" s="238">
        <v>3904.9399335556045</v>
      </c>
      <c r="Q16" s="219" t="s">
        <v>17</v>
      </c>
      <c r="R16" s="227"/>
      <c r="S16" s="228"/>
      <c r="T16" s="429"/>
    </row>
    <row r="17" spans="1:20" x14ac:dyDescent="0.2">
      <c r="A17" s="211" t="s">
        <v>267</v>
      </c>
      <c r="B17" s="219"/>
      <c r="C17" s="219"/>
      <c r="D17" s="430" t="s">
        <v>268</v>
      </c>
      <c r="E17" s="224"/>
      <c r="F17" s="224"/>
      <c r="G17" s="431"/>
      <c r="H17" s="230">
        <v>5.4100000000000002E-2</v>
      </c>
      <c r="I17" s="216">
        <v>1803420927</v>
      </c>
      <c r="J17" s="216">
        <v>975650.72150700004</v>
      </c>
      <c r="K17" s="218">
        <v>3.7999999999999999E-2</v>
      </c>
      <c r="L17" s="216">
        <v>1594848550</v>
      </c>
      <c r="M17" s="216">
        <v>606042.44900000002</v>
      </c>
      <c r="N17" s="218">
        <v>4.1500000000000002E-2</v>
      </c>
      <c r="O17" s="237">
        <v>1752023566.4591076</v>
      </c>
      <c r="P17" s="238">
        <v>727089.78008052974</v>
      </c>
      <c r="Q17" s="219" t="s">
        <v>17</v>
      </c>
      <c r="R17" s="227"/>
      <c r="S17" s="228"/>
      <c r="T17" s="429"/>
    </row>
    <row r="18" spans="1:20" x14ac:dyDescent="0.2">
      <c r="A18" s="211" t="s">
        <v>269</v>
      </c>
      <c r="B18" s="219"/>
      <c r="C18" s="219"/>
      <c r="D18" s="221"/>
      <c r="E18" s="221"/>
      <c r="F18" s="221"/>
      <c r="G18" s="219"/>
      <c r="H18" s="223">
        <v>5.4100000000000002E-2</v>
      </c>
      <c r="I18" s="216">
        <v>203862890</v>
      </c>
      <c r="J18" s="216">
        <v>110289.82349000001</v>
      </c>
      <c r="K18" s="218">
        <v>3.7999999999999999E-2</v>
      </c>
      <c r="L18" s="216">
        <v>229787312</v>
      </c>
      <c r="M18" s="216">
        <v>87319.17856</v>
      </c>
      <c r="N18" s="218">
        <v>0.04</v>
      </c>
      <c r="O18" s="237">
        <v>234307800.5363043</v>
      </c>
      <c r="P18" s="238">
        <v>93723.12021452171</v>
      </c>
      <c r="Q18" s="219" t="s">
        <v>17</v>
      </c>
      <c r="R18" s="227"/>
      <c r="S18" s="231"/>
      <c r="T18" s="432"/>
    </row>
    <row r="19" spans="1:20" x14ac:dyDescent="0.2">
      <c r="A19" s="750" t="s">
        <v>270</v>
      </c>
      <c r="B19" s="750" t="s">
        <v>271</v>
      </c>
      <c r="C19" s="750" t="s">
        <v>272</v>
      </c>
      <c r="D19" s="751">
        <v>400929000</v>
      </c>
      <c r="E19" s="752">
        <v>3.7303023037373935E-2</v>
      </c>
      <c r="F19" s="751">
        <v>149558.63723351294</v>
      </c>
      <c r="G19" s="226">
        <v>273220000</v>
      </c>
      <c r="H19" s="753">
        <v>3.2416327019477949E-2</v>
      </c>
      <c r="I19" s="217">
        <v>296675338</v>
      </c>
      <c r="J19" s="217">
        <v>96171.247752221519</v>
      </c>
      <c r="K19" s="218">
        <v>3.5000000000000003E-2</v>
      </c>
      <c r="L19" s="217">
        <v>292134834</v>
      </c>
      <c r="M19" s="217">
        <v>102247.19190000002</v>
      </c>
      <c r="N19" s="218">
        <v>0.04</v>
      </c>
      <c r="O19" s="238">
        <v>297960271.33431059</v>
      </c>
      <c r="P19" s="238">
        <v>119184.10853372423</v>
      </c>
      <c r="Q19" s="233" t="s">
        <v>17</v>
      </c>
      <c r="R19" s="227"/>
      <c r="S19" s="228"/>
      <c r="T19" s="429"/>
    </row>
    <row r="20" spans="1:20" x14ac:dyDescent="0.2">
      <c r="A20" s="750" t="s">
        <v>273</v>
      </c>
      <c r="B20" s="750" t="s">
        <v>274</v>
      </c>
      <c r="C20" s="750" t="s">
        <v>275</v>
      </c>
      <c r="D20" s="751">
        <v>136672000</v>
      </c>
      <c r="E20" s="752">
        <v>3.6511991174806128E-2</v>
      </c>
      <c r="F20" s="751">
        <v>49901.668578431032</v>
      </c>
      <c r="G20" s="226">
        <v>142194000</v>
      </c>
      <c r="H20" s="753">
        <v>3.1728920330906525E-2</v>
      </c>
      <c r="I20" s="217">
        <v>141985390</v>
      </c>
      <c r="J20" s="217">
        <v>45050.431274626913</v>
      </c>
      <c r="K20" s="218">
        <v>4.5499999999999999E-2</v>
      </c>
      <c r="L20" s="217">
        <v>148579486</v>
      </c>
      <c r="M20" s="217">
        <v>67603.666129999998</v>
      </c>
      <c r="N20" s="218">
        <v>5.0999999999999997E-2</v>
      </c>
      <c r="O20" s="238">
        <v>149055395</v>
      </c>
      <c r="P20" s="238">
        <v>76018.251449999996</v>
      </c>
      <c r="Q20" s="233" t="s">
        <v>17</v>
      </c>
      <c r="R20" s="227"/>
      <c r="S20" s="234"/>
      <c r="T20" s="433"/>
    </row>
    <row r="21" spans="1:20" ht="12.75" x14ac:dyDescent="0.2">
      <c r="A21" s="750" t="s">
        <v>276</v>
      </c>
      <c r="B21" s="750"/>
      <c r="C21" s="750" t="s">
        <v>275</v>
      </c>
      <c r="D21" s="751"/>
      <c r="E21" s="752"/>
      <c r="F21" s="751"/>
      <c r="G21" s="226">
        <v>2390000</v>
      </c>
      <c r="H21" s="753">
        <v>1.9E-2</v>
      </c>
      <c r="I21" s="217">
        <v>2389860</v>
      </c>
      <c r="J21" s="217">
        <v>454</v>
      </c>
      <c r="K21" s="218">
        <v>1.9E-2</v>
      </c>
      <c r="L21" s="217">
        <v>2389860</v>
      </c>
      <c r="M21" s="217">
        <v>454.07339999999999</v>
      </c>
      <c r="N21" s="218">
        <v>2.01E-2</v>
      </c>
      <c r="O21" s="238">
        <v>2437418</v>
      </c>
      <c r="P21" s="238">
        <v>489.92101799999995</v>
      </c>
      <c r="Q21" s="761" t="s">
        <v>277</v>
      </c>
      <c r="R21" s="227"/>
      <c r="S21" s="227"/>
      <c r="T21" s="434"/>
    </row>
    <row r="22" spans="1:20" ht="12.75" x14ac:dyDescent="0.2">
      <c r="A22" s="750" t="s">
        <v>278</v>
      </c>
      <c r="B22" s="750" t="s">
        <v>279</v>
      </c>
      <c r="C22" s="750" t="s">
        <v>280</v>
      </c>
      <c r="D22" s="751">
        <v>368012000</v>
      </c>
      <c r="E22" s="752">
        <v>4.1391606233694589E-2</v>
      </c>
      <c r="F22" s="751">
        <v>152326.07793274414</v>
      </c>
      <c r="G22" s="226">
        <v>382879000</v>
      </c>
      <c r="H22" s="753">
        <v>3.5969305817080598E-2</v>
      </c>
      <c r="I22" s="217">
        <v>217968722</v>
      </c>
      <c r="J22" s="217">
        <v>78401.836201762242</v>
      </c>
      <c r="K22" s="218">
        <v>0.04</v>
      </c>
      <c r="L22" s="217">
        <v>220873522</v>
      </c>
      <c r="M22" s="217">
        <v>88349.408800000005</v>
      </c>
      <c r="N22" s="218">
        <v>4.5999999999999999E-2</v>
      </c>
      <c r="O22" s="238">
        <v>225357630.36000001</v>
      </c>
      <c r="P22" s="238">
        <v>103664.50996559999</v>
      </c>
      <c r="Q22" s="233" t="s">
        <v>17</v>
      </c>
      <c r="R22" s="227"/>
      <c r="S22" s="227"/>
      <c r="T22" s="434"/>
    </row>
    <row r="23" spans="1:20" ht="12.75" x14ac:dyDescent="0.2">
      <c r="A23" s="750" t="s">
        <v>281</v>
      </c>
      <c r="B23" s="750" t="s">
        <v>282</v>
      </c>
      <c r="C23" s="750" t="s">
        <v>283</v>
      </c>
      <c r="D23" s="751">
        <v>106878000</v>
      </c>
      <c r="E23" s="752">
        <v>9.688394257838108E-2</v>
      </c>
      <c r="F23" s="751">
        <v>103547.62014892213</v>
      </c>
      <c r="G23" s="226">
        <v>110134000</v>
      </c>
      <c r="H23" s="753">
        <v>8.4192146100613152E-2</v>
      </c>
      <c r="I23" s="217">
        <v>112164829</v>
      </c>
      <c r="J23" s="217">
        <v>94433.976705182897</v>
      </c>
      <c r="K23" s="218">
        <v>6.5000000000000002E-2</v>
      </c>
      <c r="L23" s="217">
        <v>120435661</v>
      </c>
      <c r="M23" s="217">
        <v>78283.179650000005</v>
      </c>
      <c r="N23" s="218">
        <v>6.8000000000000005E-2</v>
      </c>
      <c r="O23" s="238">
        <v>122791918.7581</v>
      </c>
      <c r="P23" s="238">
        <v>83498.504755508009</v>
      </c>
      <c r="Q23" s="233" t="s">
        <v>17</v>
      </c>
      <c r="R23" s="227"/>
      <c r="S23" s="227"/>
      <c r="T23" s="434"/>
    </row>
    <row r="24" spans="1:20" ht="12.75" x14ac:dyDescent="0.2">
      <c r="A24" s="750" t="s">
        <v>284</v>
      </c>
      <c r="B24" s="750" t="s">
        <v>285</v>
      </c>
      <c r="C24" s="750" t="s">
        <v>286</v>
      </c>
      <c r="D24" s="751">
        <v>107570000</v>
      </c>
      <c r="E24" s="752">
        <v>4.8511100976614992E-2</v>
      </c>
      <c r="F24" s="751">
        <v>52183.391320544746</v>
      </c>
      <c r="G24" s="214">
        <v>110841000</v>
      </c>
      <c r="H24" s="753">
        <v>4.215614674867843E-2</v>
      </c>
      <c r="I24" s="217">
        <v>113825154</v>
      </c>
      <c r="J24" s="217">
        <v>47984.298957149222</v>
      </c>
      <c r="K24" s="218">
        <v>4.5499999999999999E-2</v>
      </c>
      <c r="L24" s="217">
        <v>130964962</v>
      </c>
      <c r="M24" s="217">
        <v>59589.057709999994</v>
      </c>
      <c r="N24" s="218">
        <v>4.9000000000000002E-2</v>
      </c>
      <c r="O24" s="238">
        <v>133578827.66960703</v>
      </c>
      <c r="P24" s="238">
        <v>65453.625558107451</v>
      </c>
      <c r="Q24" s="233" t="s">
        <v>17</v>
      </c>
      <c r="R24" s="227"/>
      <c r="S24" s="227"/>
      <c r="T24" s="434"/>
    </row>
    <row r="25" spans="1:20" ht="12.75" x14ac:dyDescent="0.2">
      <c r="A25" s="750" t="s">
        <v>287</v>
      </c>
      <c r="B25" s="750" t="s">
        <v>288</v>
      </c>
      <c r="C25" s="750" t="s">
        <v>289</v>
      </c>
      <c r="D25" s="751">
        <v>273070000</v>
      </c>
      <c r="E25" s="752">
        <v>9.7008130971476383E-2</v>
      </c>
      <c r="F25" s="751">
        <v>264900.10324381053</v>
      </c>
      <c r="G25" s="214">
        <v>281336000</v>
      </c>
      <c r="H25" s="753">
        <v>8.4300065814212982E-2</v>
      </c>
      <c r="I25" s="217">
        <v>236740487</v>
      </c>
      <c r="J25" s="217">
        <v>199572.16</v>
      </c>
      <c r="K25" s="218">
        <v>7.4999999999999997E-2</v>
      </c>
      <c r="L25" s="217">
        <v>228203028</v>
      </c>
      <c r="M25" s="217">
        <v>171152.27099999998</v>
      </c>
      <c r="N25" s="218">
        <v>7.8E-2</v>
      </c>
      <c r="O25" s="238">
        <v>232867239.15120003</v>
      </c>
      <c r="P25" s="238">
        <v>181636.44653793602</v>
      </c>
      <c r="Q25" s="233" t="s">
        <v>17</v>
      </c>
      <c r="S25" s="428"/>
    </row>
    <row r="26" spans="1:20" ht="12.75" x14ac:dyDescent="0.2">
      <c r="A26" s="750" t="s">
        <v>290</v>
      </c>
      <c r="B26" s="750" t="s">
        <v>291</v>
      </c>
      <c r="C26" s="750" t="s">
        <v>292</v>
      </c>
      <c r="D26" s="751">
        <v>181431000</v>
      </c>
      <c r="E26" s="752">
        <v>2.7222016264915234E-2</v>
      </c>
      <c r="F26" s="751">
        <v>49389.176329598355</v>
      </c>
      <c r="G26" s="226">
        <v>185060000</v>
      </c>
      <c r="H26" s="753">
        <v>4.2200000000000001E-2</v>
      </c>
      <c r="I26" s="217">
        <v>187771156</v>
      </c>
      <c r="J26" s="217">
        <v>79239.427832000001</v>
      </c>
      <c r="K26" s="218">
        <v>0.04</v>
      </c>
      <c r="L26" s="217">
        <v>200111948</v>
      </c>
      <c r="M26" s="217">
        <v>80044.779200000004</v>
      </c>
      <c r="N26" s="218">
        <v>4.7100000000000003E-2</v>
      </c>
      <c r="O26" s="238">
        <v>204118201.77601603</v>
      </c>
      <c r="P26" s="238">
        <v>96139.673036503547</v>
      </c>
      <c r="Q26" s="233" t="s">
        <v>17</v>
      </c>
    </row>
    <row r="27" spans="1:20" ht="12.75" x14ac:dyDescent="0.2">
      <c r="A27" s="750" t="s">
        <v>293</v>
      </c>
      <c r="B27" s="750"/>
      <c r="C27" s="750" t="s">
        <v>294</v>
      </c>
      <c r="D27" s="751">
        <v>226443000</v>
      </c>
      <c r="E27" s="752">
        <v>6.6316799999999995E-2</v>
      </c>
      <c r="F27" s="751">
        <v>150169.75142399999</v>
      </c>
      <c r="G27" s="226">
        <v>235591000</v>
      </c>
      <c r="H27" s="753">
        <v>5.7629299199999998E-2</v>
      </c>
      <c r="I27" s="217">
        <v>238400727</v>
      </c>
      <c r="J27" s="217">
        <v>137388.66825780517</v>
      </c>
      <c r="K27" s="218">
        <v>4.9000000000000002E-2</v>
      </c>
      <c r="L27" s="217">
        <v>244559955</v>
      </c>
      <c r="M27" s="217">
        <v>119834.37794999999</v>
      </c>
      <c r="N27" s="218">
        <v>5.3999999999999999E-2</v>
      </c>
      <c r="O27" s="238">
        <v>249542583.02020001</v>
      </c>
      <c r="P27" s="238">
        <v>134752.99483090802</v>
      </c>
      <c r="Q27" s="761" t="s">
        <v>17</v>
      </c>
    </row>
    <row r="28" spans="1:20" ht="12.75" x14ac:dyDescent="0.2">
      <c r="A28" s="750" t="s">
        <v>295</v>
      </c>
      <c r="B28" s="233"/>
      <c r="C28" s="233"/>
      <c r="D28" s="755"/>
      <c r="E28" s="755"/>
      <c r="F28" s="755"/>
      <c r="G28" s="233"/>
      <c r="H28" s="233">
        <v>5.4100000000000002E-2</v>
      </c>
      <c r="I28" s="217">
        <v>18258844</v>
      </c>
      <c r="J28" s="217">
        <v>9878.0346040000004</v>
      </c>
      <c r="K28" s="218">
        <v>5.1999999999999998E-2</v>
      </c>
      <c r="L28" s="217">
        <v>18532598</v>
      </c>
      <c r="M28" s="217">
        <v>9636.9509599999983</v>
      </c>
      <c r="N28" s="218">
        <v>6.0499999999999998E-2</v>
      </c>
      <c r="O28" s="238">
        <v>18901396.510957476</v>
      </c>
      <c r="P28" s="238">
        <v>11435.344889129272</v>
      </c>
      <c r="Q28" s="233" t="s">
        <v>18</v>
      </c>
    </row>
    <row r="29" spans="1:20" ht="12.75" x14ac:dyDescent="0.2">
      <c r="A29" s="750" t="s">
        <v>296</v>
      </c>
      <c r="B29" s="233"/>
      <c r="C29" s="233"/>
      <c r="D29" s="755"/>
      <c r="E29" s="755"/>
      <c r="F29" s="755"/>
      <c r="G29" s="233"/>
      <c r="H29" s="233">
        <v>5.4100000000000002E-2</v>
      </c>
      <c r="I29" s="217">
        <v>27325866</v>
      </c>
      <c r="J29" s="217">
        <v>14783.293506</v>
      </c>
      <c r="K29" s="218">
        <v>4.5499999999999999E-2</v>
      </c>
      <c r="L29" s="217">
        <v>27355073</v>
      </c>
      <c r="M29" s="217">
        <v>12446.558215000001</v>
      </c>
      <c r="N29" s="218">
        <v>5.0999999999999997E-2</v>
      </c>
      <c r="O29" s="238">
        <v>27883465.190643109</v>
      </c>
      <c r="P29" s="238">
        <v>14220.567247227984</v>
      </c>
      <c r="Q29" s="233" t="s">
        <v>18</v>
      </c>
    </row>
    <row r="30" spans="1:20" ht="12.75" x14ac:dyDescent="0.2">
      <c r="A30" s="750" t="s">
        <v>297</v>
      </c>
      <c r="B30" s="233"/>
      <c r="C30" s="233"/>
      <c r="D30" s="840" t="s">
        <v>298</v>
      </c>
      <c r="E30" s="757"/>
      <c r="F30" s="757"/>
      <c r="G30" s="764"/>
      <c r="H30" s="233">
        <v>5.4100000000000002E-2</v>
      </c>
      <c r="I30" s="217">
        <v>7191632</v>
      </c>
      <c r="J30" s="217">
        <v>3890.6729120000005</v>
      </c>
      <c r="K30" s="218">
        <v>3.8399999999999997E-2</v>
      </c>
      <c r="L30" s="217">
        <v>7237410</v>
      </c>
      <c r="M30" s="217">
        <v>2779.1654399999998</v>
      </c>
      <c r="N30" s="218">
        <v>4.1000000000000002E-2</v>
      </c>
      <c r="O30" s="238">
        <v>7680195</v>
      </c>
      <c r="P30" s="238">
        <v>3148.87995</v>
      </c>
      <c r="Q30" s="233" t="s">
        <v>18</v>
      </c>
    </row>
    <row r="31" spans="1:20" ht="12.75" x14ac:dyDescent="0.2">
      <c r="A31" s="750" t="s">
        <v>299</v>
      </c>
      <c r="B31" s="233"/>
      <c r="C31" s="233"/>
      <c r="D31" s="755"/>
      <c r="E31" s="755"/>
      <c r="F31" s="755"/>
      <c r="G31" s="233"/>
      <c r="H31" s="233">
        <v>5.4100000000000002E-2</v>
      </c>
      <c r="I31" s="217">
        <v>54852742</v>
      </c>
      <c r="J31" s="217">
        <v>29675.333422000003</v>
      </c>
      <c r="K31" s="218">
        <v>3.7999999999999999E-2</v>
      </c>
      <c r="L31" s="217">
        <v>51784695</v>
      </c>
      <c r="M31" s="217">
        <v>19678.184099999999</v>
      </c>
      <c r="N31" s="218">
        <v>4.1000000000000002E-2</v>
      </c>
      <c r="O31" s="238">
        <v>55091215.679739438</v>
      </c>
      <c r="P31" s="238">
        <v>22587.39842869317</v>
      </c>
      <c r="Q31" s="233" t="s">
        <v>18</v>
      </c>
    </row>
    <row r="32" spans="1:20" ht="12.75" x14ac:dyDescent="0.2">
      <c r="A32" s="750" t="s">
        <v>300</v>
      </c>
      <c r="B32" s="750" t="s">
        <v>301</v>
      </c>
      <c r="C32" s="750" t="s">
        <v>302</v>
      </c>
      <c r="D32" s="751">
        <v>94261644.829077467</v>
      </c>
      <c r="E32" s="752">
        <v>4.0082192296925299E-2</v>
      </c>
      <c r="F32" s="751">
        <v>37782.133742635575</v>
      </c>
      <c r="G32" s="765">
        <v>97170390</v>
      </c>
      <c r="H32" s="753">
        <v>3.4831425106028088E-2</v>
      </c>
      <c r="I32" s="217">
        <v>98077394</v>
      </c>
      <c r="J32" s="217">
        <v>34161</v>
      </c>
      <c r="K32" s="218">
        <v>3.4799999999999998E-2</v>
      </c>
      <c r="L32" s="217">
        <v>98145096</v>
      </c>
      <c r="M32" s="217">
        <v>34154.493408000002</v>
      </c>
      <c r="N32" s="218">
        <v>4.1000000000000002E-2</v>
      </c>
      <c r="O32" s="238">
        <v>100137201</v>
      </c>
      <c r="P32" s="238">
        <v>41056.252410000001</v>
      </c>
      <c r="Q32" s="761" t="s">
        <v>277</v>
      </c>
    </row>
    <row r="33" spans="1:17" ht="25.5" x14ac:dyDescent="0.2">
      <c r="A33" s="750" t="s">
        <v>268</v>
      </c>
      <c r="B33" s="750"/>
      <c r="C33" s="750"/>
      <c r="D33" s="756">
        <v>38802593</v>
      </c>
      <c r="E33" s="767">
        <v>4.0082192296925299E-2</v>
      </c>
      <c r="F33" s="756">
        <v>49563.718704476276</v>
      </c>
      <c r="G33" s="214">
        <v>23209955</v>
      </c>
      <c r="H33" s="753">
        <v>3.4831425106028088E-2</v>
      </c>
      <c r="I33" s="238">
        <v>0</v>
      </c>
      <c r="J33" s="238">
        <v>0</v>
      </c>
      <c r="K33" s="218"/>
      <c r="L33" s="238">
        <v>0</v>
      </c>
      <c r="M33" s="238">
        <v>0</v>
      </c>
      <c r="N33" s="218"/>
      <c r="O33" s="238"/>
      <c r="P33" s="238">
        <v>0</v>
      </c>
      <c r="Q33" s="768" t="s">
        <v>303</v>
      </c>
    </row>
    <row r="34" spans="1:17" ht="12.75" x14ac:dyDescent="0.2">
      <c r="A34" s="211" t="s">
        <v>304</v>
      </c>
      <c r="B34" s="211"/>
      <c r="C34" s="211"/>
      <c r="D34" s="212">
        <v>6000000</v>
      </c>
      <c r="E34" s="213">
        <v>6.2300000000000001E-2</v>
      </c>
      <c r="F34" s="212">
        <v>3738</v>
      </c>
      <c r="G34" s="214">
        <v>6367248</v>
      </c>
      <c r="H34" s="215">
        <v>5.4138699999999998E-2</v>
      </c>
      <c r="I34" s="237"/>
      <c r="J34" s="238"/>
      <c r="K34" s="218">
        <v>4.4999999999999998E-2</v>
      </c>
      <c r="L34" s="237">
        <v>13120593</v>
      </c>
      <c r="M34" s="237">
        <v>5904.2668499999991</v>
      </c>
      <c r="N34" s="218">
        <v>4.5499999999999999E-2</v>
      </c>
      <c r="O34" s="237">
        <v>13472371</v>
      </c>
      <c r="P34" s="238">
        <v>6129.9288049999996</v>
      </c>
      <c r="Q34" s="768" t="s">
        <v>31</v>
      </c>
    </row>
    <row r="35" spans="1:17" ht="25.5" x14ac:dyDescent="0.2">
      <c r="A35" s="211" t="s">
        <v>305</v>
      </c>
      <c r="B35" s="211"/>
      <c r="C35" s="211"/>
      <c r="D35" s="212">
        <v>19132650</v>
      </c>
      <c r="E35" s="213">
        <v>6.2300000000000001E-2</v>
      </c>
      <c r="F35" s="212">
        <v>11919.640950000001</v>
      </c>
      <c r="G35" s="239">
        <v>19515303</v>
      </c>
      <c r="H35" s="215">
        <v>5.4138699999999998E-2</v>
      </c>
      <c r="I35" s="237"/>
      <c r="J35" s="238"/>
      <c r="K35" s="218"/>
      <c r="L35" s="237">
        <v>0</v>
      </c>
      <c r="M35" s="237">
        <v>0</v>
      </c>
      <c r="N35" s="218"/>
      <c r="O35" s="237"/>
      <c r="P35" s="238"/>
      <c r="Q35" s="768" t="s">
        <v>306</v>
      </c>
    </row>
    <row r="36" spans="1:17" ht="12.75" x14ac:dyDescent="0.2">
      <c r="A36" s="211"/>
      <c r="B36" s="211"/>
      <c r="C36" s="211"/>
      <c r="D36" s="212"/>
      <c r="E36" s="213"/>
      <c r="F36" s="212"/>
      <c r="G36" s="226"/>
      <c r="H36" s="215"/>
      <c r="I36" s="240">
        <v>6778032126</v>
      </c>
      <c r="J36" s="240">
        <v>3304174.9966391148</v>
      </c>
      <c r="K36" s="240"/>
      <c r="L36" s="240">
        <v>6816448030</v>
      </c>
      <c r="M36" s="240">
        <v>2729073.9495080006</v>
      </c>
      <c r="N36" s="240"/>
      <c r="O36" s="240">
        <v>6926913012.3142662</v>
      </c>
      <c r="P36" s="769">
        <v>3262517.7269300707</v>
      </c>
      <c r="Q36" s="770"/>
    </row>
    <row r="37" spans="1:17" x14ac:dyDescent="0.25">
      <c r="J37" s="241"/>
      <c r="K37" s="241"/>
      <c r="N37" s="241"/>
      <c r="O37" s="435"/>
      <c r="P37" s="843"/>
      <c r="Q37" s="199"/>
    </row>
    <row r="38" spans="1:17" ht="12.75" x14ac:dyDescent="0.2">
      <c r="C38" s="219" t="s">
        <v>307</v>
      </c>
      <c r="J38" s="436">
        <v>100467254</v>
      </c>
      <c r="K38" s="436"/>
      <c r="L38" s="243">
        <v>100534956</v>
      </c>
      <c r="M38" s="243">
        <v>34608.566808000003</v>
      </c>
      <c r="N38" s="436"/>
      <c r="O38" s="392">
        <v>102574619</v>
      </c>
      <c r="P38" s="844">
        <v>41546.173428000002</v>
      </c>
      <c r="Q38" s="841" t="s">
        <v>307</v>
      </c>
    </row>
    <row r="39" spans="1:17" ht="12.75" x14ac:dyDescent="0.2">
      <c r="C39" s="219" t="s">
        <v>308</v>
      </c>
      <c r="J39" s="436">
        <v>57387993</v>
      </c>
      <c r="K39" s="436"/>
      <c r="L39" s="243">
        <v>94808244</v>
      </c>
      <c r="M39" s="243">
        <v>27987.605479999998</v>
      </c>
      <c r="N39" s="436"/>
      <c r="O39" s="392">
        <v>70563500</v>
      </c>
      <c r="P39" s="844">
        <v>28225.4</v>
      </c>
      <c r="Q39" s="841" t="s">
        <v>308</v>
      </c>
    </row>
    <row r="40" spans="1:17" ht="12.75" x14ac:dyDescent="0.2">
      <c r="C40" s="219" t="s">
        <v>31</v>
      </c>
      <c r="J40" s="436">
        <v>381431207</v>
      </c>
      <c r="K40" s="436"/>
      <c r="L40" s="243">
        <v>365001200</v>
      </c>
      <c r="M40" s="243">
        <v>138587.79450999998</v>
      </c>
      <c r="N40" s="436"/>
      <c r="O40" s="392">
        <v>366165894.16500002</v>
      </c>
      <c r="P40" s="844">
        <v>160146.61016459999</v>
      </c>
      <c r="Q40" s="841" t="s">
        <v>31</v>
      </c>
    </row>
    <row r="41" spans="1:17" ht="12.75" x14ac:dyDescent="0.2">
      <c r="C41" s="219" t="s">
        <v>17</v>
      </c>
      <c r="J41" s="436">
        <v>6131116588</v>
      </c>
      <c r="K41" s="436"/>
      <c r="L41" s="243">
        <v>6151193854</v>
      </c>
      <c r="M41" s="243">
        <v>2483349.1239950005</v>
      </c>
      <c r="N41" s="436"/>
      <c r="O41" s="392">
        <v>6278052726.7679262</v>
      </c>
      <c r="P41" s="844">
        <v>2981207.3528224202</v>
      </c>
      <c r="Q41" s="841" t="s">
        <v>17</v>
      </c>
    </row>
    <row r="42" spans="1:17" ht="12.75" x14ac:dyDescent="0.2">
      <c r="C42" s="219" t="s">
        <v>309</v>
      </c>
      <c r="J42" s="436">
        <v>107629084</v>
      </c>
      <c r="K42" s="437"/>
      <c r="L42" s="243">
        <v>104909776</v>
      </c>
      <c r="M42" s="243">
        <v>44540.858714999995</v>
      </c>
      <c r="N42" s="437"/>
      <c r="O42" s="392">
        <v>109556272.38134003</v>
      </c>
      <c r="P42" s="844">
        <v>51392.190515050424</v>
      </c>
      <c r="Q42" s="841" t="s">
        <v>309</v>
      </c>
    </row>
    <row r="43" spans="1:17" ht="13.5" thickBot="1" x14ac:dyDescent="0.25">
      <c r="C43" s="219"/>
      <c r="J43" s="438">
        <v>6778032126</v>
      </c>
      <c r="K43" s="439"/>
      <c r="L43" s="243">
        <v>6816448030</v>
      </c>
      <c r="M43" s="247">
        <v>2729073.9495080006</v>
      </c>
      <c r="N43" s="439"/>
      <c r="O43" s="393">
        <v>6926913012.3142662</v>
      </c>
      <c r="P43" s="845">
        <v>3262517.7269300702</v>
      </c>
      <c r="Q43" s="440" t="s">
        <v>310</v>
      </c>
    </row>
    <row r="45" spans="1:17" x14ac:dyDescent="0.25">
      <c r="M45" s="249">
        <f>SUM(M38,M42)</f>
        <v>79149.425522999998</v>
      </c>
    </row>
  </sheetData>
  <pageMargins left="0.75" right="0.75" top="1" bottom="1" header="0.5" footer="0.5"/>
  <pageSetup scale="91" fitToHeight="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8"/>
  <sheetViews>
    <sheetView zoomScale="86" zoomScaleNormal="86" workbookViewId="0">
      <selection activeCell="H12" sqref="H12"/>
    </sheetView>
  </sheetViews>
  <sheetFormatPr defaultColWidth="8.85546875" defaultRowHeight="12.75" x14ac:dyDescent="0.2"/>
  <cols>
    <col min="1" max="1" width="8.85546875" style="65"/>
    <col min="2" max="2" width="20.28515625" style="65" bestFit="1" customWidth="1"/>
    <col min="3" max="3" width="11.7109375" style="65" bestFit="1" customWidth="1"/>
    <col min="4" max="5" width="14.7109375" style="65" bestFit="1" customWidth="1"/>
    <col min="6" max="6" width="11.42578125" style="65" customWidth="1"/>
    <col min="7" max="8" width="15" style="65" bestFit="1" customWidth="1"/>
    <col min="9" max="9" width="11.42578125" style="65" customWidth="1"/>
    <col min="10" max="10" width="22.7109375" style="65" customWidth="1"/>
    <col min="11" max="11" width="12" style="65" bestFit="1" customWidth="1"/>
    <col min="12" max="13" width="13.140625" style="65" bestFit="1" customWidth="1"/>
    <col min="14" max="14" width="11.85546875" style="367" bestFit="1" customWidth="1"/>
    <col min="15" max="15" width="8.85546875" style="367"/>
    <col min="16" max="16384" width="8.85546875" style="65"/>
  </cols>
  <sheetData>
    <row r="2" spans="2:15" ht="15.75" thickBot="1" x14ac:dyDescent="0.3">
      <c r="B2" s="441" t="s">
        <v>350</v>
      </c>
      <c r="C2" s="442"/>
    </row>
    <row r="3" spans="2:15" ht="15" x14ac:dyDescent="0.25">
      <c r="B3" s="441" t="s">
        <v>351</v>
      </c>
      <c r="C3" s="442"/>
      <c r="L3" s="65" t="s">
        <v>395</v>
      </c>
      <c r="M3" s="858" t="s">
        <v>352</v>
      </c>
    </row>
    <row r="4" spans="2:15" ht="13.5" thickBot="1" x14ac:dyDescent="0.25">
      <c r="B4" s="442"/>
      <c r="C4" s="442"/>
      <c r="L4" s="65" t="s">
        <v>300</v>
      </c>
      <c r="M4" s="859">
        <f>1/3</f>
        <v>0.33333333333333331</v>
      </c>
    </row>
    <row r="5" spans="2:15" ht="15.75" thickBot="1" x14ac:dyDescent="0.3">
      <c r="C5" s="441" t="s">
        <v>26</v>
      </c>
      <c r="D5" s="441" t="s">
        <v>40</v>
      </c>
      <c r="E5" s="441" t="s">
        <v>353</v>
      </c>
    </row>
    <row r="6" spans="2:15" ht="51.75" x14ac:dyDescent="0.25">
      <c r="B6" s="443" t="s">
        <v>354</v>
      </c>
      <c r="C6" s="443">
        <v>92400635</v>
      </c>
      <c r="D6" s="865">
        <f>'Rates - Updated'!P39</f>
        <v>28225.4</v>
      </c>
      <c r="E6" s="444">
        <f t="shared" ref="E6:E9" si="0">D6/12</f>
        <v>2352.1166666666668</v>
      </c>
      <c r="J6" s="68"/>
      <c r="K6" s="445" t="s">
        <v>355</v>
      </c>
      <c r="L6" s="846" t="s">
        <v>356</v>
      </c>
      <c r="M6" s="446" t="s">
        <v>147</v>
      </c>
      <c r="N6" s="447"/>
      <c r="O6" s="448"/>
    </row>
    <row r="7" spans="2:15" ht="15" x14ac:dyDescent="0.25">
      <c r="B7" s="443" t="s">
        <v>357</v>
      </c>
      <c r="C7" s="443">
        <v>92400634</v>
      </c>
      <c r="D7" s="865">
        <f>'Rates - Updated'!P40</f>
        <v>160146.61016459999</v>
      </c>
      <c r="E7" s="444">
        <f t="shared" si="0"/>
        <v>13345.550847049999</v>
      </c>
      <c r="J7" s="449">
        <v>92400013</v>
      </c>
      <c r="K7" s="313">
        <f>Proposal!E4</f>
        <v>2483349.12</v>
      </c>
      <c r="L7" s="250">
        <f>E27</f>
        <v>2981207.3528224207</v>
      </c>
      <c r="M7" s="450">
        <f>L7-K7</f>
        <v>497858.23282242054</v>
      </c>
    </row>
    <row r="8" spans="2:15" ht="15" x14ac:dyDescent="0.25">
      <c r="B8" s="443" t="s">
        <v>17</v>
      </c>
      <c r="C8" s="443">
        <v>92400013</v>
      </c>
      <c r="D8" s="866">
        <f>'Rates - Updated'!P41</f>
        <v>2981207.3528224202</v>
      </c>
      <c r="E8" s="444">
        <f t="shared" si="0"/>
        <v>248433.94606853501</v>
      </c>
      <c r="J8" s="69" t="s">
        <v>167</v>
      </c>
      <c r="K8" s="313">
        <f>Proposal!E5</f>
        <v>367005.06</v>
      </c>
      <c r="L8" s="250">
        <f>'Prop Ins - RYupdated (2)'!E9</f>
        <v>369192</v>
      </c>
      <c r="M8" s="450">
        <f t="shared" ref="M8:M11" si="1">L8-K8</f>
        <v>2186.9400000000023</v>
      </c>
    </row>
    <row r="9" spans="2:15" ht="15" x14ac:dyDescent="0.25">
      <c r="B9" s="443" t="s">
        <v>18</v>
      </c>
      <c r="C9" s="443">
        <v>92400308</v>
      </c>
      <c r="D9" s="444">
        <f>'Rates - Updated'!P42</f>
        <v>51392.190515050424</v>
      </c>
      <c r="E9" s="444">
        <f t="shared" si="0"/>
        <v>4282.6825429208684</v>
      </c>
      <c r="J9" s="69" t="s">
        <v>168</v>
      </c>
      <c r="K9" s="313">
        <f>Proposal!E6</f>
        <v>389942.85</v>
      </c>
      <c r="L9" s="250">
        <f>'Prop Ins - RYupdated (2)'!E10</f>
        <v>392266</v>
      </c>
      <c r="M9" s="450">
        <f t="shared" si="1"/>
        <v>2323.1500000000233</v>
      </c>
    </row>
    <row r="10" spans="2:15" ht="13.5" thickBot="1" x14ac:dyDescent="0.25">
      <c r="D10" s="451">
        <f>SUM(D6:D9)</f>
        <v>3220971.5535020703</v>
      </c>
      <c r="E10" s="451">
        <f>SUM(E6:E9)</f>
        <v>268414.29612517252</v>
      </c>
      <c r="J10" s="69" t="s">
        <v>150</v>
      </c>
      <c r="K10" s="313">
        <f>Proposal!E7</f>
        <v>147552.0660041667</v>
      </c>
      <c r="L10" s="250">
        <f>'Prop Ins - RYupdated (2)'!E11</f>
        <v>152284</v>
      </c>
      <c r="M10" s="450">
        <f t="shared" si="1"/>
        <v>4731.9339958333003</v>
      </c>
    </row>
    <row r="11" spans="2:15" x14ac:dyDescent="0.2">
      <c r="J11" s="69" t="s">
        <v>169</v>
      </c>
      <c r="K11" s="452">
        <f>Proposal!E8</f>
        <v>454.07339999999999</v>
      </c>
      <c r="L11" s="847">
        <f>'Rates - Updated'!P21</f>
        <v>489.92101799999995</v>
      </c>
      <c r="M11" s="453">
        <f t="shared" si="1"/>
        <v>35.847617999999954</v>
      </c>
    </row>
    <row r="12" spans="2:15" ht="15" x14ac:dyDescent="0.25">
      <c r="B12" s="443" t="s">
        <v>358</v>
      </c>
      <c r="C12" s="443">
        <v>62000010</v>
      </c>
      <c r="D12" s="443">
        <v>62000010</v>
      </c>
      <c r="E12" s="443">
        <v>62000010</v>
      </c>
      <c r="F12" s="443">
        <v>62000010</v>
      </c>
      <c r="G12" s="454"/>
      <c r="J12" s="455" t="s">
        <v>17</v>
      </c>
      <c r="K12" s="288">
        <f>SUM(K7:K11)</f>
        <v>3388303.1694041672</v>
      </c>
      <c r="L12" s="339">
        <f>SUM(L7:L11)</f>
        <v>3895439.2738404209</v>
      </c>
      <c r="M12" s="456">
        <f>SUM(M7:M11)</f>
        <v>507136.1044362539</v>
      </c>
    </row>
    <row r="13" spans="2:15" ht="15" x14ac:dyDescent="0.25">
      <c r="B13" s="443" t="s">
        <v>359</v>
      </c>
      <c r="C13" s="443">
        <v>1116</v>
      </c>
      <c r="D13" s="443">
        <v>1116</v>
      </c>
      <c r="E13" s="443">
        <v>1116</v>
      </c>
      <c r="F13" s="443">
        <v>1116</v>
      </c>
      <c r="G13" s="454"/>
      <c r="J13" s="69"/>
      <c r="K13" s="313"/>
      <c r="L13" s="128"/>
      <c r="M13" s="457"/>
    </row>
    <row r="14" spans="2:15" ht="15" x14ac:dyDescent="0.25">
      <c r="B14" s="443" t="s">
        <v>26</v>
      </c>
      <c r="C14" s="458">
        <v>92400635</v>
      </c>
      <c r="D14" s="458">
        <v>92400634</v>
      </c>
      <c r="E14" s="443">
        <v>92400013</v>
      </c>
      <c r="F14" s="443">
        <v>92400308</v>
      </c>
      <c r="G14" s="443">
        <v>16500083</v>
      </c>
      <c r="H14" s="459">
        <f>G27</f>
        <v>3220971.5535020712</v>
      </c>
      <c r="J14" s="460"/>
      <c r="K14" s="313"/>
      <c r="L14" s="128"/>
      <c r="M14" s="457"/>
    </row>
    <row r="15" spans="2:15" ht="15" x14ac:dyDescent="0.25">
      <c r="B15" s="461">
        <v>42826</v>
      </c>
      <c r="C15" s="462">
        <f>$E$6</f>
        <v>2352.1166666666668</v>
      </c>
      <c r="D15" s="463">
        <f>$E$7</f>
        <v>13345.550847049999</v>
      </c>
      <c r="E15" s="463">
        <f>$E$8</f>
        <v>248433.94606853501</v>
      </c>
      <c r="F15" s="463">
        <f>$E$9</f>
        <v>4282.6825429208684</v>
      </c>
      <c r="G15" s="444">
        <f>SUM(C15:F15)</f>
        <v>268414.29612517252</v>
      </c>
      <c r="H15" s="463">
        <f>H14-G15</f>
        <v>2952557.2573768985</v>
      </c>
      <c r="J15" s="449">
        <v>92400308</v>
      </c>
      <c r="K15" s="313">
        <f>Proposal!E12</f>
        <v>44540.86</v>
      </c>
      <c r="L15" s="250">
        <f>Amortiz!F27</f>
        <v>51392.190515050424</v>
      </c>
      <c r="M15" s="450">
        <f>L15-K15</f>
        <v>6851.3305150504239</v>
      </c>
    </row>
    <row r="16" spans="2:15" ht="15" x14ac:dyDescent="0.25">
      <c r="B16" s="461">
        <v>42856</v>
      </c>
      <c r="C16" s="462">
        <f t="shared" ref="C16:C26" si="2">$E$6</f>
        <v>2352.1166666666668</v>
      </c>
      <c r="D16" s="463">
        <f t="shared" ref="D16:D26" si="3">$E$7</f>
        <v>13345.550847049999</v>
      </c>
      <c r="E16" s="463">
        <f t="shared" ref="E16:E26" si="4">$E$8</f>
        <v>248433.94606853501</v>
      </c>
      <c r="F16" s="463">
        <f t="shared" ref="F16:F26" si="5">$E$9</f>
        <v>4282.6825429208684</v>
      </c>
      <c r="G16" s="444">
        <f t="shared" ref="G16:G26" si="6">SUM(C16:F16)</f>
        <v>268414.29612517252</v>
      </c>
      <c r="H16" s="463">
        <f t="shared" ref="H16:H26" si="7">H15-G16</f>
        <v>2684142.9612517259</v>
      </c>
      <c r="J16" s="449" t="s">
        <v>175</v>
      </c>
      <c r="K16" s="452">
        <f>Proposal!E13</f>
        <v>11384.831136000001</v>
      </c>
      <c r="L16" s="847">
        <f>'Rates - Updated'!P32*Amortiz!M4</f>
        <v>13685.41747</v>
      </c>
      <c r="M16" s="453">
        <f>L16-K16</f>
        <v>2300.5863339999996</v>
      </c>
    </row>
    <row r="17" spans="2:13" ht="15" x14ac:dyDescent="0.25">
      <c r="B17" s="461">
        <v>42887</v>
      </c>
      <c r="C17" s="462">
        <f t="shared" si="2"/>
        <v>2352.1166666666668</v>
      </c>
      <c r="D17" s="463">
        <f t="shared" si="3"/>
        <v>13345.550847049999</v>
      </c>
      <c r="E17" s="463">
        <f t="shared" si="4"/>
        <v>248433.94606853501</v>
      </c>
      <c r="F17" s="463">
        <f t="shared" si="5"/>
        <v>4282.6825429208684</v>
      </c>
      <c r="G17" s="444">
        <f t="shared" si="6"/>
        <v>268414.29612517252</v>
      </c>
      <c r="H17" s="463">
        <f t="shared" si="7"/>
        <v>2415728.6651265533</v>
      </c>
      <c r="J17" s="455" t="s">
        <v>18</v>
      </c>
      <c r="K17" s="288">
        <f>SUM(K15:K16)</f>
        <v>55925.691136000001</v>
      </c>
      <c r="L17" s="339">
        <f>SUM(L15:L16)</f>
        <v>65077.607985050425</v>
      </c>
      <c r="M17" s="456">
        <f>SUM(M15:M16)</f>
        <v>9151.9168490504235</v>
      </c>
    </row>
    <row r="18" spans="2:13" ht="15" x14ac:dyDescent="0.25">
      <c r="B18" s="461">
        <v>42917</v>
      </c>
      <c r="C18" s="462">
        <f t="shared" si="2"/>
        <v>2352.1166666666668</v>
      </c>
      <c r="D18" s="463">
        <f t="shared" si="3"/>
        <v>13345.550847049999</v>
      </c>
      <c r="E18" s="463">
        <f t="shared" si="4"/>
        <v>248433.94606853501</v>
      </c>
      <c r="F18" s="463">
        <f t="shared" si="5"/>
        <v>4282.6825429208684</v>
      </c>
      <c r="G18" s="444">
        <f t="shared" si="6"/>
        <v>268414.29612517252</v>
      </c>
      <c r="H18" s="463">
        <f t="shared" si="7"/>
        <v>2147314.3690013806</v>
      </c>
      <c r="J18" s="455"/>
      <c r="K18" s="313"/>
      <c r="L18" s="128"/>
      <c r="M18" s="457"/>
    </row>
    <row r="19" spans="2:13" ht="15" x14ac:dyDescent="0.25">
      <c r="B19" s="461">
        <v>42948</v>
      </c>
      <c r="C19" s="462">
        <f t="shared" si="2"/>
        <v>2352.1166666666668</v>
      </c>
      <c r="D19" s="463">
        <f t="shared" si="3"/>
        <v>13345.550847049999</v>
      </c>
      <c r="E19" s="463">
        <f t="shared" si="4"/>
        <v>248433.94606853501</v>
      </c>
      <c r="F19" s="463">
        <f t="shared" si="5"/>
        <v>4282.6825429208684</v>
      </c>
      <c r="G19" s="444">
        <f t="shared" si="6"/>
        <v>268414.29612517252</v>
      </c>
      <c r="H19" s="463">
        <f t="shared" si="7"/>
        <v>1878900.072876208</v>
      </c>
      <c r="J19" s="460"/>
      <c r="K19" s="313"/>
      <c r="L19" s="367"/>
      <c r="M19" s="457"/>
    </row>
    <row r="20" spans="2:13" ht="15" x14ac:dyDescent="0.25">
      <c r="B20" s="461">
        <v>42979</v>
      </c>
      <c r="C20" s="462">
        <f t="shared" si="2"/>
        <v>2352.1166666666668</v>
      </c>
      <c r="D20" s="463">
        <f t="shared" si="3"/>
        <v>13345.550847049999</v>
      </c>
      <c r="E20" s="463">
        <f t="shared" si="4"/>
        <v>248433.94606853501</v>
      </c>
      <c r="F20" s="463">
        <f t="shared" si="5"/>
        <v>4282.6825429208684</v>
      </c>
      <c r="G20" s="444">
        <f t="shared" si="6"/>
        <v>268414.29612517252</v>
      </c>
      <c r="H20" s="463">
        <f t="shared" si="7"/>
        <v>1610485.7767510354</v>
      </c>
      <c r="J20" s="69"/>
      <c r="K20" s="313"/>
      <c r="L20" s="367"/>
      <c r="M20" s="457"/>
    </row>
    <row r="21" spans="2:13" ht="15" x14ac:dyDescent="0.25">
      <c r="B21" s="461">
        <v>43009</v>
      </c>
      <c r="C21" s="462">
        <f t="shared" si="2"/>
        <v>2352.1166666666668</v>
      </c>
      <c r="D21" s="463">
        <f t="shared" si="3"/>
        <v>13345.550847049999</v>
      </c>
      <c r="E21" s="463">
        <f t="shared" si="4"/>
        <v>248433.94606853501</v>
      </c>
      <c r="F21" s="463">
        <f t="shared" si="5"/>
        <v>4282.6825429208684</v>
      </c>
      <c r="G21" s="444">
        <f t="shared" si="6"/>
        <v>268414.29612517252</v>
      </c>
      <c r="H21" s="463">
        <f t="shared" si="7"/>
        <v>1342071.4806258627</v>
      </c>
      <c r="J21" s="449">
        <v>92400634</v>
      </c>
      <c r="K21" s="313">
        <f>Proposal!E18</f>
        <v>138587.79</v>
      </c>
      <c r="L21" s="313">
        <f>D27</f>
        <v>160146.61016460005</v>
      </c>
      <c r="M21" s="450">
        <f t="shared" ref="M21:M22" si="8">L21-K21</f>
        <v>21558.820164600038</v>
      </c>
    </row>
    <row r="22" spans="2:13" ht="15" x14ac:dyDescent="0.25">
      <c r="B22" s="461">
        <v>43040</v>
      </c>
      <c r="C22" s="462">
        <f t="shared" si="2"/>
        <v>2352.1166666666668</v>
      </c>
      <c r="D22" s="463">
        <f t="shared" si="3"/>
        <v>13345.550847049999</v>
      </c>
      <c r="E22" s="463">
        <f t="shared" si="4"/>
        <v>248433.94606853501</v>
      </c>
      <c r="F22" s="463">
        <f t="shared" si="5"/>
        <v>4282.6825429208684</v>
      </c>
      <c r="G22" s="444">
        <f t="shared" si="6"/>
        <v>268414.29612517252</v>
      </c>
      <c r="H22" s="463">
        <f t="shared" si="7"/>
        <v>1073657.1845006901</v>
      </c>
      <c r="J22" s="449">
        <v>92400635</v>
      </c>
      <c r="K22" s="452">
        <f>Proposal!E19</f>
        <v>27987.61</v>
      </c>
      <c r="L22" s="452">
        <f>C27</f>
        <v>28225.400000000009</v>
      </c>
      <c r="M22" s="453">
        <f t="shared" si="8"/>
        <v>237.79000000000815</v>
      </c>
    </row>
    <row r="23" spans="2:13" ht="15" x14ac:dyDescent="0.25">
      <c r="B23" s="461">
        <v>43070</v>
      </c>
      <c r="C23" s="462">
        <f t="shared" si="2"/>
        <v>2352.1166666666668</v>
      </c>
      <c r="D23" s="463">
        <f t="shared" si="3"/>
        <v>13345.550847049999</v>
      </c>
      <c r="E23" s="463">
        <f t="shared" si="4"/>
        <v>248433.94606853501</v>
      </c>
      <c r="F23" s="463">
        <f t="shared" si="5"/>
        <v>4282.6825429208684</v>
      </c>
      <c r="G23" s="444">
        <f t="shared" si="6"/>
        <v>268414.29612517252</v>
      </c>
      <c r="H23" s="463">
        <f t="shared" si="7"/>
        <v>805242.88837551756</v>
      </c>
      <c r="J23" s="455" t="s">
        <v>31</v>
      </c>
      <c r="K23" s="288">
        <f>SUM(K21:K22)</f>
        <v>166575.40000000002</v>
      </c>
      <c r="L23" s="288">
        <f t="shared" ref="L23:M23" si="9">SUM(L21:L22)</f>
        <v>188372.01016460004</v>
      </c>
      <c r="M23" s="456">
        <f t="shared" si="9"/>
        <v>21796.610164600046</v>
      </c>
    </row>
    <row r="24" spans="2:13" ht="15" x14ac:dyDescent="0.25">
      <c r="B24" s="461">
        <v>43101</v>
      </c>
      <c r="C24" s="462">
        <f t="shared" si="2"/>
        <v>2352.1166666666668</v>
      </c>
      <c r="D24" s="463">
        <f t="shared" si="3"/>
        <v>13345.550847049999</v>
      </c>
      <c r="E24" s="463">
        <f t="shared" si="4"/>
        <v>248433.94606853501</v>
      </c>
      <c r="F24" s="463">
        <f t="shared" si="5"/>
        <v>4282.6825429208684</v>
      </c>
      <c r="G24" s="444">
        <f t="shared" si="6"/>
        <v>268414.29612517252</v>
      </c>
      <c r="H24" s="463">
        <f t="shared" si="7"/>
        <v>536828.59225034504</v>
      </c>
      <c r="J24" s="455"/>
      <c r="K24" s="313"/>
      <c r="L24" s="367"/>
      <c r="M24" s="457"/>
    </row>
    <row r="25" spans="2:13" ht="15" x14ac:dyDescent="0.25">
      <c r="B25" s="461">
        <v>43132</v>
      </c>
      <c r="C25" s="462">
        <f t="shared" si="2"/>
        <v>2352.1166666666668</v>
      </c>
      <c r="D25" s="463">
        <f t="shared" si="3"/>
        <v>13345.550847049999</v>
      </c>
      <c r="E25" s="463">
        <f t="shared" si="4"/>
        <v>248433.94606853501</v>
      </c>
      <c r="F25" s="463">
        <f t="shared" si="5"/>
        <v>4282.6825429208684</v>
      </c>
      <c r="G25" s="444">
        <f t="shared" si="6"/>
        <v>268414.29612517252</v>
      </c>
      <c r="H25" s="463">
        <f t="shared" si="7"/>
        <v>268414.29612517252</v>
      </c>
      <c r="J25" s="460"/>
      <c r="K25" s="452"/>
      <c r="L25" s="464"/>
      <c r="M25" s="465"/>
    </row>
    <row r="26" spans="2:13" ht="15.75" thickBot="1" x14ac:dyDescent="0.3">
      <c r="B26" s="461">
        <v>43160</v>
      </c>
      <c r="C26" s="462">
        <f t="shared" si="2"/>
        <v>2352.1166666666668</v>
      </c>
      <c r="D26" s="463">
        <f t="shared" si="3"/>
        <v>13345.550847049999</v>
      </c>
      <c r="E26" s="463">
        <f t="shared" si="4"/>
        <v>248433.94606853501</v>
      </c>
      <c r="F26" s="463">
        <f t="shared" si="5"/>
        <v>4282.6825429208684</v>
      </c>
      <c r="G26" s="444">
        <f t="shared" si="6"/>
        <v>268414.29612517252</v>
      </c>
      <c r="H26" s="463">
        <f t="shared" si="7"/>
        <v>0</v>
      </c>
      <c r="J26" s="466" t="s">
        <v>40</v>
      </c>
      <c r="K26" s="467">
        <f>K12+K17+K23</f>
        <v>3610804.2605401673</v>
      </c>
      <c r="L26" s="467">
        <f>L12+L17+L23</f>
        <v>4148888.8919900712</v>
      </c>
      <c r="M26" s="468">
        <f>M12+M17+M23</f>
        <v>538084.63144990441</v>
      </c>
    </row>
    <row r="27" spans="2:13" ht="15" x14ac:dyDescent="0.25">
      <c r="B27" s="469"/>
      <c r="C27" s="860">
        <f>SUM(C15:C26)</f>
        <v>28225.400000000009</v>
      </c>
      <c r="D27" s="860">
        <f t="shared" ref="D27:G27" si="10">SUM(D15:D26)</f>
        <v>160146.61016460005</v>
      </c>
      <c r="E27" s="860">
        <f t="shared" si="10"/>
        <v>2981207.3528224207</v>
      </c>
      <c r="F27" s="860">
        <f t="shared" si="10"/>
        <v>51392.190515050424</v>
      </c>
      <c r="G27" s="860">
        <f t="shared" si="10"/>
        <v>3220971.5535020712</v>
      </c>
      <c r="K27" s="313"/>
      <c r="L27" s="357"/>
    </row>
    <row r="28" spans="2:13" x14ac:dyDescent="0.2">
      <c r="K28" s="85"/>
      <c r="L28" s="85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opLeftCell="C1" zoomScale="80" zoomScaleNormal="80" workbookViewId="0">
      <selection activeCell="K34" sqref="K34"/>
    </sheetView>
  </sheetViews>
  <sheetFormatPr defaultColWidth="9.140625" defaultRowHeight="12.75" x14ac:dyDescent="0.2"/>
  <cols>
    <col min="1" max="1" width="42.28515625" style="153" customWidth="1"/>
    <col min="2" max="6" width="12.7109375" style="153" bestFit="1" customWidth="1"/>
    <col min="7" max="7" width="11.28515625" style="153" bestFit="1" customWidth="1"/>
    <col min="8" max="11" width="12.7109375" style="153" bestFit="1" customWidth="1"/>
    <col min="12" max="12" width="15.140625" style="153" customWidth="1"/>
    <col min="13" max="13" width="11.28515625" style="153" bestFit="1" customWidth="1"/>
    <col min="14" max="14" width="14.5703125" style="153" bestFit="1" customWidth="1"/>
    <col min="15" max="15" width="21.7109375" style="153" bestFit="1" customWidth="1"/>
    <col min="16" max="16" width="11.42578125" style="153" bestFit="1" customWidth="1"/>
    <col min="17" max="16384" width="9.140625" style="153"/>
  </cols>
  <sheetData>
    <row r="1" spans="1:17" x14ac:dyDescent="0.2">
      <c r="A1" s="151"/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</row>
    <row r="4" spans="1:17" x14ac:dyDescent="0.2">
      <c r="A4" s="154" t="s">
        <v>138</v>
      </c>
      <c r="B4" s="155">
        <v>43101</v>
      </c>
      <c r="C4" s="155">
        <v>43132</v>
      </c>
      <c r="D4" s="155">
        <v>43160</v>
      </c>
      <c r="E4" s="155">
        <v>43191</v>
      </c>
      <c r="F4" s="155">
        <v>43221</v>
      </c>
      <c r="G4" s="155">
        <v>43252</v>
      </c>
      <c r="H4" s="155">
        <v>43282</v>
      </c>
      <c r="I4" s="155">
        <v>43313</v>
      </c>
      <c r="J4" s="155">
        <v>43344</v>
      </c>
      <c r="K4" s="155">
        <v>43374</v>
      </c>
      <c r="L4" s="155">
        <v>43405</v>
      </c>
      <c r="M4" s="155">
        <v>43435</v>
      </c>
      <c r="N4" s="155" t="s">
        <v>207</v>
      </c>
      <c r="O4" s="155" t="s">
        <v>212</v>
      </c>
    </row>
    <row r="5" spans="1:17" x14ac:dyDescent="0.2">
      <c r="A5" s="152" t="s">
        <v>135</v>
      </c>
      <c r="B5" s="156">
        <v>69830.64</v>
      </c>
      <c r="C5" s="156">
        <v>69830.64</v>
      </c>
      <c r="D5" s="156">
        <v>69830.64</v>
      </c>
      <c r="E5" s="156">
        <v>61167.51</v>
      </c>
      <c r="F5" s="156">
        <v>61167.51</v>
      </c>
      <c r="G5" s="157">
        <v>62262.559999999998</v>
      </c>
      <c r="H5" s="156">
        <v>62262.559999999998</v>
      </c>
      <c r="I5" s="156">
        <f>62262.56+24148.8</f>
        <v>86411.36</v>
      </c>
      <c r="J5" s="156">
        <v>62262.559999999998</v>
      </c>
      <c r="K5" s="156">
        <v>62262.559999999998</v>
      </c>
      <c r="L5" s="156">
        <v>62262.559999999998</v>
      </c>
      <c r="M5" s="158">
        <v>62262.559999999998</v>
      </c>
      <c r="N5" s="159">
        <f>SUM(B5:M5)</f>
        <v>791813.66000000015</v>
      </c>
      <c r="O5" s="160">
        <f>N5*0.5</f>
        <v>395906.83000000007</v>
      </c>
      <c r="P5" s="181">
        <f>E5*12</f>
        <v>734010.12</v>
      </c>
      <c r="Q5" s="153" t="s">
        <v>337</v>
      </c>
    </row>
    <row r="6" spans="1:17" x14ac:dyDescent="0.2">
      <c r="A6" s="152"/>
      <c r="G6" s="161"/>
      <c r="H6" s="161"/>
      <c r="I6" s="161"/>
      <c r="J6" s="161"/>
      <c r="K6" s="161"/>
      <c r="L6" s="161"/>
      <c r="M6" s="161"/>
      <c r="N6" s="161"/>
      <c r="O6" s="152"/>
      <c r="P6" s="181">
        <f>P5*0.5</f>
        <v>367005.06</v>
      </c>
      <c r="Q6" s="153" t="s">
        <v>336</v>
      </c>
    </row>
    <row r="7" spans="1:17" x14ac:dyDescent="0.2">
      <c r="A7" s="151" t="s">
        <v>139</v>
      </c>
      <c r="G7" s="161"/>
      <c r="H7" s="161"/>
      <c r="I7" s="161"/>
      <c r="J7" s="161"/>
      <c r="K7" s="161"/>
      <c r="L7" s="161"/>
      <c r="M7" s="161"/>
      <c r="N7" s="161"/>
      <c r="O7" s="152"/>
      <c r="P7" s="181">
        <f>P6/12</f>
        <v>30583.755000000001</v>
      </c>
      <c r="Q7" s="153" t="s">
        <v>335</v>
      </c>
    </row>
    <row r="8" spans="1:17" x14ac:dyDescent="0.2">
      <c r="A8" s="162" t="s">
        <v>213</v>
      </c>
      <c r="B8" s="156">
        <v>9353.6299999999992</v>
      </c>
      <c r="C8" s="156">
        <v>9353.6299999999992</v>
      </c>
      <c r="D8" s="156">
        <v>9353.6299999999992</v>
      </c>
      <c r="E8" s="156">
        <v>16712</v>
      </c>
      <c r="F8" s="156">
        <v>16712</v>
      </c>
      <c r="G8" s="163">
        <v>16712</v>
      </c>
      <c r="H8" s="156">
        <f>3709.2+42373.32+16712</f>
        <v>62794.52</v>
      </c>
      <c r="I8" s="156">
        <v>16712</v>
      </c>
      <c r="J8" s="156">
        <v>16712</v>
      </c>
      <c r="K8" s="156">
        <v>16712</v>
      </c>
      <c r="L8" s="156">
        <v>16712</v>
      </c>
      <c r="M8" s="158">
        <v>16712</v>
      </c>
      <c r="N8" s="159">
        <f t="shared" ref="N8:N16" si="0">SUM(B8:M8)</f>
        <v>224551.41</v>
      </c>
      <c r="O8" s="160">
        <f t="shared" ref="O8:O16" si="1">N8*0.5</f>
        <v>112275.705</v>
      </c>
    </row>
    <row r="9" spans="1:17" x14ac:dyDescent="0.2">
      <c r="A9" s="162" t="s">
        <v>129</v>
      </c>
      <c r="B9" s="156">
        <v>970.73</v>
      </c>
      <c r="C9" s="156">
        <v>970.73</v>
      </c>
      <c r="D9" s="156">
        <v>970.73</v>
      </c>
      <c r="E9" s="156">
        <v>1059</v>
      </c>
      <c r="F9" s="156">
        <f>931.92-127.08</f>
        <v>804.83999999999992</v>
      </c>
      <c r="G9" s="163">
        <v>931.92</v>
      </c>
      <c r="H9" s="156">
        <v>931.92</v>
      </c>
      <c r="I9" s="156">
        <v>931.92</v>
      </c>
      <c r="J9" s="156">
        <v>931.92</v>
      </c>
      <c r="K9" s="156">
        <v>931.92</v>
      </c>
      <c r="L9" s="156">
        <v>931.92</v>
      </c>
      <c r="M9" s="158">
        <v>931.92</v>
      </c>
      <c r="N9" s="159">
        <f t="shared" si="0"/>
        <v>11299.47</v>
      </c>
      <c r="O9" s="160">
        <f t="shared" si="1"/>
        <v>5649.7349999999997</v>
      </c>
    </row>
    <row r="10" spans="1:17" x14ac:dyDescent="0.2">
      <c r="A10" s="162" t="s">
        <v>130</v>
      </c>
      <c r="B10" s="156">
        <v>0</v>
      </c>
      <c r="C10" s="156">
        <v>0</v>
      </c>
      <c r="D10" s="156">
        <v>0</v>
      </c>
      <c r="E10" s="156">
        <v>0</v>
      </c>
      <c r="F10" s="156">
        <v>0</v>
      </c>
      <c r="G10" s="156">
        <v>0</v>
      </c>
      <c r="H10" s="156">
        <v>0</v>
      </c>
      <c r="I10" s="156">
        <v>0</v>
      </c>
      <c r="J10" s="156">
        <v>0</v>
      </c>
      <c r="K10" s="156">
        <v>0</v>
      </c>
      <c r="L10" s="156">
        <v>0</v>
      </c>
      <c r="M10" s="164"/>
      <c r="N10" s="159">
        <f t="shared" si="0"/>
        <v>0</v>
      </c>
      <c r="O10" s="160">
        <f t="shared" si="1"/>
        <v>0</v>
      </c>
    </row>
    <row r="11" spans="1:17" x14ac:dyDescent="0.2">
      <c r="A11" s="162" t="s">
        <v>131</v>
      </c>
      <c r="B11" s="156">
        <v>1116.48</v>
      </c>
      <c r="C11" s="156">
        <v>1116.48</v>
      </c>
      <c r="D11" s="156">
        <v>1116.48</v>
      </c>
      <c r="E11" s="165">
        <v>1479</v>
      </c>
      <c r="F11" s="156">
        <v>1479</v>
      </c>
      <c r="G11" s="163">
        <v>1479</v>
      </c>
      <c r="H11" s="156">
        <v>1479</v>
      </c>
      <c r="I11" s="156">
        <v>1479</v>
      </c>
      <c r="J11" s="156">
        <v>1479</v>
      </c>
      <c r="K11" s="156">
        <v>1479</v>
      </c>
      <c r="L11" s="156">
        <v>1479</v>
      </c>
      <c r="M11" s="158">
        <v>1479</v>
      </c>
      <c r="N11" s="159">
        <f t="shared" si="0"/>
        <v>16660.440000000002</v>
      </c>
      <c r="O11" s="160">
        <f t="shared" si="1"/>
        <v>8330.2200000000012</v>
      </c>
    </row>
    <row r="12" spans="1:17" x14ac:dyDescent="0.2">
      <c r="A12" s="162" t="s">
        <v>182</v>
      </c>
      <c r="B12" s="156">
        <v>2390.04</v>
      </c>
      <c r="C12" s="156">
        <v>2390.04</v>
      </c>
      <c r="D12" s="156">
        <v>2390.04</v>
      </c>
      <c r="E12" s="156">
        <v>2415</v>
      </c>
      <c r="F12" s="156">
        <f>2415+3025</f>
        <v>5440</v>
      </c>
      <c r="G12" s="157">
        <v>21123.27</v>
      </c>
      <c r="H12" s="156">
        <v>0</v>
      </c>
      <c r="I12" s="156">
        <v>0</v>
      </c>
      <c r="J12" s="156">
        <v>0</v>
      </c>
      <c r="K12" s="156">
        <v>0</v>
      </c>
      <c r="L12" s="156">
        <v>0</v>
      </c>
      <c r="M12" s="164"/>
      <c r="N12" s="159">
        <f t="shared" si="0"/>
        <v>36148.39</v>
      </c>
      <c r="O12" s="160">
        <f t="shared" si="1"/>
        <v>18074.195</v>
      </c>
    </row>
    <row r="13" spans="1:17" x14ac:dyDescent="0.2">
      <c r="A13" s="162" t="s">
        <v>183</v>
      </c>
      <c r="B13" s="166">
        <v>3921.1</v>
      </c>
      <c r="C13" s="166">
        <v>3921.1</v>
      </c>
      <c r="D13" s="166">
        <v>3921.1</v>
      </c>
      <c r="E13" s="156">
        <v>3900.5</v>
      </c>
      <c r="F13" s="156">
        <v>3323.98</v>
      </c>
      <c r="G13" s="157">
        <v>4451.54</v>
      </c>
      <c r="H13" s="156">
        <v>0</v>
      </c>
      <c r="I13" s="156">
        <v>0</v>
      </c>
      <c r="J13" s="156">
        <v>0</v>
      </c>
      <c r="K13" s="156">
        <v>0</v>
      </c>
      <c r="L13" s="156">
        <v>0</v>
      </c>
      <c r="M13" s="164"/>
      <c r="N13" s="159">
        <f t="shared" si="0"/>
        <v>23439.32</v>
      </c>
      <c r="O13" s="160">
        <f t="shared" si="1"/>
        <v>11719.66</v>
      </c>
    </row>
    <row r="14" spans="1:17" x14ac:dyDescent="0.2">
      <c r="A14" s="162" t="s">
        <v>214</v>
      </c>
      <c r="B14" s="156">
        <v>320.39</v>
      </c>
      <c r="C14" s="156">
        <v>320.39</v>
      </c>
      <c r="D14" s="156">
        <v>320.39</v>
      </c>
      <c r="E14" s="156">
        <v>364.48</v>
      </c>
      <c r="F14" s="156">
        <v>364.48</v>
      </c>
      <c r="G14" s="159">
        <v>0</v>
      </c>
      <c r="H14" s="156">
        <v>0</v>
      </c>
      <c r="I14" s="156">
        <v>0</v>
      </c>
      <c r="J14" s="156">
        <v>0</v>
      </c>
      <c r="K14" s="156">
        <v>0</v>
      </c>
      <c r="L14" s="156">
        <v>0</v>
      </c>
      <c r="M14" s="159"/>
      <c r="N14" s="159">
        <f t="shared" si="0"/>
        <v>1690.13</v>
      </c>
      <c r="O14" s="160">
        <f t="shared" si="1"/>
        <v>845.06500000000005</v>
      </c>
    </row>
    <row r="15" spans="1:17" x14ac:dyDescent="0.2">
      <c r="A15" s="167" t="s">
        <v>215</v>
      </c>
      <c r="B15" s="156">
        <v>202</v>
      </c>
      <c r="C15" s="156">
        <v>131</v>
      </c>
      <c r="D15" s="156">
        <v>131.22999999999999</v>
      </c>
      <c r="E15" s="156">
        <v>131.22999999999999</v>
      </c>
      <c r="F15" s="156">
        <v>131.22999999999999</v>
      </c>
      <c r="G15" s="158">
        <v>131.22999999999999</v>
      </c>
      <c r="H15" s="156">
        <v>131.22999999999999</v>
      </c>
      <c r="I15" s="156">
        <v>131.22999999999999</v>
      </c>
      <c r="J15" s="156">
        <v>131.22999999999999</v>
      </c>
      <c r="K15" s="156">
        <v>131.22999999999999</v>
      </c>
      <c r="L15" s="156">
        <v>131.22999999999999</v>
      </c>
      <c r="M15" s="158">
        <v>131.22999999999999</v>
      </c>
      <c r="N15" s="159">
        <f t="shared" si="0"/>
        <v>1645.3000000000002</v>
      </c>
      <c r="O15" s="160">
        <f t="shared" si="1"/>
        <v>822.65000000000009</v>
      </c>
    </row>
    <row r="16" spans="1:17" x14ac:dyDescent="0.2">
      <c r="A16" s="168" t="s">
        <v>216</v>
      </c>
      <c r="B16" s="169">
        <v>30957.14</v>
      </c>
      <c r="C16" s="169">
        <v>30957.14</v>
      </c>
      <c r="D16" s="169">
        <v>30957.14</v>
      </c>
      <c r="E16" s="169">
        <v>30957.14</v>
      </c>
      <c r="F16" s="169">
        <v>30957.14</v>
      </c>
      <c r="G16" s="170">
        <v>30957.14</v>
      </c>
      <c r="H16" s="169">
        <v>30957.14</v>
      </c>
      <c r="I16" s="169">
        <v>30957.14</v>
      </c>
      <c r="J16" s="169">
        <v>30957.14</v>
      </c>
      <c r="K16" s="169">
        <v>30957.14</v>
      </c>
      <c r="L16" s="169">
        <v>30957.14</v>
      </c>
      <c r="M16" s="170">
        <v>43920.37</v>
      </c>
      <c r="N16" s="159">
        <f t="shared" si="0"/>
        <v>384448.91000000009</v>
      </c>
      <c r="O16" s="160">
        <f t="shared" si="1"/>
        <v>192224.45500000005</v>
      </c>
    </row>
    <row r="17" spans="1:16" ht="13.5" thickBot="1" x14ac:dyDescent="0.25">
      <c r="A17" s="171" t="s">
        <v>217</v>
      </c>
      <c r="B17" s="172">
        <f t="shared" ref="B17:O17" si="2">SUM(B5:B16)</f>
        <v>119062.15</v>
      </c>
      <c r="C17" s="172">
        <f t="shared" si="2"/>
        <v>118991.15</v>
      </c>
      <c r="D17" s="172">
        <f t="shared" si="2"/>
        <v>118991.37999999999</v>
      </c>
      <c r="E17" s="172">
        <f t="shared" si="2"/>
        <v>118185.86</v>
      </c>
      <c r="F17" s="172">
        <f t="shared" si="2"/>
        <v>120380.18</v>
      </c>
      <c r="G17" s="172">
        <f t="shared" si="2"/>
        <v>138048.65999999997</v>
      </c>
      <c r="H17" s="172">
        <f t="shared" si="2"/>
        <v>158556.37</v>
      </c>
      <c r="I17" s="172">
        <f t="shared" si="2"/>
        <v>136622.65</v>
      </c>
      <c r="J17" s="172">
        <f t="shared" si="2"/>
        <v>112473.84999999999</v>
      </c>
      <c r="K17" s="172">
        <f t="shared" si="2"/>
        <v>112473.84999999999</v>
      </c>
      <c r="L17" s="172">
        <f t="shared" si="2"/>
        <v>112473.84999999999</v>
      </c>
      <c r="M17" s="172">
        <f t="shared" si="2"/>
        <v>125437.07999999999</v>
      </c>
      <c r="N17" s="172">
        <f t="shared" si="2"/>
        <v>1491697.0300000003</v>
      </c>
      <c r="O17" s="173">
        <f t="shared" si="2"/>
        <v>745848.51500000013</v>
      </c>
      <c r="P17" s="181">
        <f>O17-O5</f>
        <v>349941.68500000006</v>
      </c>
    </row>
    <row r="18" spans="1:16" ht="13.5" thickTop="1" x14ac:dyDescent="0.2">
      <c r="B18" s="159"/>
      <c r="C18" s="159"/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74"/>
    </row>
    <row r="19" spans="1:16" x14ac:dyDescent="0.2">
      <c r="A19" s="175" t="s">
        <v>218</v>
      </c>
      <c r="B19" s="159">
        <f>B17*0.5</f>
        <v>59531.074999999997</v>
      </c>
      <c r="C19" s="159">
        <f t="shared" ref="C19:M19" si="3">C17*0.5</f>
        <v>59495.574999999997</v>
      </c>
      <c r="D19" s="159">
        <f t="shared" si="3"/>
        <v>59495.689999999995</v>
      </c>
      <c r="E19" s="159">
        <f t="shared" si="3"/>
        <v>59092.93</v>
      </c>
      <c r="F19" s="159">
        <f t="shared" si="3"/>
        <v>60190.09</v>
      </c>
      <c r="G19" s="159">
        <f t="shared" si="3"/>
        <v>69024.329999999987</v>
      </c>
      <c r="H19" s="159">
        <f t="shared" si="3"/>
        <v>79278.184999999998</v>
      </c>
      <c r="I19" s="159">
        <f t="shared" si="3"/>
        <v>68311.324999999997</v>
      </c>
      <c r="J19" s="159">
        <f t="shared" si="3"/>
        <v>56236.924999999996</v>
      </c>
      <c r="K19" s="159">
        <f t="shared" si="3"/>
        <v>56236.924999999996</v>
      </c>
      <c r="L19" s="159">
        <f t="shared" si="3"/>
        <v>56236.924999999996</v>
      </c>
      <c r="M19" s="159">
        <f t="shared" si="3"/>
        <v>62718.539999999994</v>
      </c>
      <c r="N19" s="159"/>
      <c r="O19" s="174">
        <f>SUM(B19:M19)</f>
        <v>745848.51500000013</v>
      </c>
    </row>
    <row r="21" spans="1:16" ht="13.5" thickBot="1" x14ac:dyDescent="0.25">
      <c r="A21" s="258" t="s">
        <v>225</v>
      </c>
      <c r="B21" s="259">
        <f>SUM(B8:B16)</f>
        <v>49231.509999999995</v>
      </c>
      <c r="C21" s="259">
        <f t="shared" ref="C21:L21" si="4">SUM(C8:C16)</f>
        <v>49160.509999999995</v>
      </c>
      <c r="D21" s="259">
        <f t="shared" si="4"/>
        <v>49160.739999999991</v>
      </c>
      <c r="E21" s="259">
        <f t="shared" si="4"/>
        <v>57018.35</v>
      </c>
      <c r="F21" s="259">
        <f t="shared" si="4"/>
        <v>59212.67</v>
      </c>
      <c r="G21" s="259">
        <f t="shared" si="4"/>
        <v>75786.100000000006</v>
      </c>
      <c r="H21" s="259">
        <f t="shared" si="4"/>
        <v>96293.81</v>
      </c>
      <c r="I21" s="259">
        <f t="shared" si="4"/>
        <v>50211.289999999994</v>
      </c>
      <c r="J21" s="259">
        <f t="shared" si="4"/>
        <v>50211.289999999994</v>
      </c>
      <c r="K21" s="259">
        <f t="shared" si="4"/>
        <v>50211.289999999994</v>
      </c>
      <c r="L21" s="259">
        <f t="shared" si="4"/>
        <v>50211.289999999994</v>
      </c>
      <c r="M21" s="259">
        <f>SUM(M8:M16)</f>
        <v>63174.520000000004</v>
      </c>
      <c r="N21" s="259">
        <f>SUM(B21:M21)</f>
        <v>699883.37000000011</v>
      </c>
    </row>
    <row r="22" spans="1:16" ht="13.5" thickTop="1" x14ac:dyDescent="0.2">
      <c r="M22" s="67" t="s">
        <v>105</v>
      </c>
      <c r="N22" s="86">
        <v>0.5</v>
      </c>
    </row>
    <row r="23" spans="1:16" ht="13.5" thickBot="1" x14ac:dyDescent="0.25">
      <c r="N23" s="861">
        <f>N21*N22</f>
        <v>349941.68500000006</v>
      </c>
    </row>
    <row r="24" spans="1:16" ht="13.5" thickTop="1" x14ac:dyDescent="0.2"/>
    <row r="26" spans="1:16" ht="13.5" thickBot="1" x14ac:dyDescent="0.25">
      <c r="M26" s="153" t="s">
        <v>331</v>
      </c>
      <c r="N26" s="153" t="s">
        <v>332</v>
      </c>
    </row>
    <row r="27" spans="1:16" x14ac:dyDescent="0.2">
      <c r="L27" s="68" t="s">
        <v>107</v>
      </c>
      <c r="M27" s="332">
        <f>P7</f>
        <v>30583.755000000001</v>
      </c>
      <c r="N27" s="333">
        <f>'Colstrip 3&amp;4 2018'!P7</f>
        <v>32495.237499999999</v>
      </c>
    </row>
    <row r="28" spans="1:16" ht="13.5" thickBot="1" x14ac:dyDescent="0.25">
      <c r="K28" s="181"/>
      <c r="L28" s="72" t="s">
        <v>333</v>
      </c>
      <c r="M28" s="334">
        <f>M27*3</f>
        <v>91751.264999999999</v>
      </c>
      <c r="N28" s="335">
        <f>N27*3</f>
        <v>97485.712499999994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zoomScale="80" zoomScaleNormal="80" workbookViewId="0">
      <selection activeCell="C29" sqref="C29"/>
    </sheetView>
  </sheetViews>
  <sheetFormatPr defaultColWidth="9.140625" defaultRowHeight="12.75" x14ac:dyDescent="0.2"/>
  <cols>
    <col min="1" max="1" width="41.7109375" style="153" bestFit="1" customWidth="1"/>
    <col min="2" max="6" width="12.7109375" style="153" bestFit="1" customWidth="1"/>
    <col min="7" max="7" width="11.5703125" style="153" bestFit="1" customWidth="1"/>
    <col min="8" max="12" width="12.7109375" style="153" bestFit="1" customWidth="1"/>
    <col min="13" max="13" width="11.28515625" style="153" bestFit="1" customWidth="1"/>
    <col min="14" max="14" width="14.5703125" style="153" bestFit="1" customWidth="1"/>
    <col min="15" max="15" width="18.85546875" style="153" bestFit="1" customWidth="1"/>
    <col min="16" max="16" width="13.140625" style="153" bestFit="1" customWidth="1"/>
    <col min="17" max="17" width="13.28515625" style="153" bestFit="1" customWidth="1"/>
    <col min="18" max="16384" width="9.140625" style="153"/>
  </cols>
  <sheetData>
    <row r="1" spans="1:17" x14ac:dyDescent="0.2">
      <c r="A1" s="151"/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</row>
    <row r="4" spans="1:17" x14ac:dyDescent="0.2">
      <c r="A4" s="154" t="s">
        <v>138</v>
      </c>
      <c r="B4" s="155">
        <v>43101</v>
      </c>
      <c r="C4" s="155">
        <v>43132</v>
      </c>
      <c r="D4" s="155">
        <v>43160</v>
      </c>
      <c r="E4" s="155">
        <v>43191</v>
      </c>
      <c r="F4" s="155">
        <v>43221</v>
      </c>
      <c r="G4" s="155">
        <v>43252</v>
      </c>
      <c r="H4" s="155">
        <v>43282</v>
      </c>
      <c r="I4" s="155">
        <v>43313</v>
      </c>
      <c r="J4" s="155">
        <v>43344</v>
      </c>
      <c r="K4" s="155">
        <v>43374</v>
      </c>
      <c r="L4" s="155">
        <v>43405</v>
      </c>
      <c r="M4" s="155">
        <v>43435</v>
      </c>
      <c r="N4" s="155" t="s">
        <v>207</v>
      </c>
      <c r="O4" s="155" t="s">
        <v>219</v>
      </c>
    </row>
    <row r="5" spans="1:17" x14ac:dyDescent="0.2">
      <c r="A5" s="152" t="s">
        <v>135</v>
      </c>
      <c r="B5" s="156">
        <v>148390.1</v>
      </c>
      <c r="C5" s="156">
        <v>148390.1</v>
      </c>
      <c r="D5" s="156">
        <v>148390.1</v>
      </c>
      <c r="E5" s="156">
        <v>129980.95</v>
      </c>
      <c r="F5" s="156">
        <v>129980.95</v>
      </c>
      <c r="G5" s="157">
        <v>132307.93</v>
      </c>
      <c r="H5" s="158">
        <v>132307.93</v>
      </c>
      <c r="I5" s="156">
        <f>132307.93+51316.2</f>
        <v>183624.13</v>
      </c>
      <c r="J5" s="156">
        <v>132307.93</v>
      </c>
      <c r="K5" s="156">
        <v>132307.93</v>
      </c>
      <c r="L5" s="156">
        <v>132307.93</v>
      </c>
      <c r="M5" s="158">
        <v>132307.93</v>
      </c>
      <c r="N5" s="159">
        <f>SUM(B5:M5)</f>
        <v>1682603.9099999997</v>
      </c>
      <c r="O5" s="160">
        <f>N5*0.25</f>
        <v>420650.97749999992</v>
      </c>
      <c r="P5" s="181">
        <f>E5*12</f>
        <v>1559771.4</v>
      </c>
      <c r="Q5" s="153" t="s">
        <v>337</v>
      </c>
    </row>
    <row r="6" spans="1:17" x14ac:dyDescent="0.2">
      <c r="A6" s="152"/>
      <c r="G6" s="161"/>
      <c r="H6" s="161"/>
      <c r="I6" s="161"/>
      <c r="J6" s="161"/>
      <c r="K6" s="161"/>
      <c r="L6" s="161"/>
      <c r="M6" s="161"/>
      <c r="N6" s="159"/>
      <c r="O6" s="152"/>
      <c r="P6" s="181">
        <f>P5*0.25</f>
        <v>389942.85</v>
      </c>
      <c r="Q6" s="153" t="s">
        <v>336</v>
      </c>
    </row>
    <row r="7" spans="1:17" x14ac:dyDescent="0.2">
      <c r="A7" s="151" t="s">
        <v>139</v>
      </c>
      <c r="G7" s="161"/>
      <c r="H7" s="161"/>
      <c r="I7" s="161"/>
      <c r="J7" s="161"/>
      <c r="K7" s="161"/>
      <c r="L7" s="161"/>
      <c r="M7" s="161"/>
      <c r="N7" s="159"/>
      <c r="O7" s="152"/>
      <c r="P7" s="181">
        <f>P6/12</f>
        <v>32495.237499999999</v>
      </c>
      <c r="Q7" s="153" t="s">
        <v>335</v>
      </c>
    </row>
    <row r="8" spans="1:17" x14ac:dyDescent="0.2">
      <c r="A8" s="176" t="s">
        <v>213</v>
      </c>
      <c r="B8" s="156">
        <v>9353.6200000000008</v>
      </c>
      <c r="C8" s="156">
        <v>9353.6200000000008</v>
      </c>
      <c r="D8" s="156">
        <v>9353.6200000000008</v>
      </c>
      <c r="E8" s="156">
        <v>16712</v>
      </c>
      <c r="F8" s="156">
        <v>16712</v>
      </c>
      <c r="G8" s="163">
        <v>16712</v>
      </c>
      <c r="H8" s="158">
        <f>3709.2+42373.31+16712</f>
        <v>62794.509999999995</v>
      </c>
      <c r="I8" s="156">
        <v>16712</v>
      </c>
      <c r="J8" s="156">
        <v>16712</v>
      </c>
      <c r="K8" s="156">
        <v>16712</v>
      </c>
      <c r="L8" s="156">
        <v>16712</v>
      </c>
      <c r="M8" s="158">
        <v>16712</v>
      </c>
      <c r="N8" s="159">
        <f t="shared" ref="N8:N16" si="0">SUM(B8:M8)</f>
        <v>224551.37</v>
      </c>
      <c r="O8" s="160">
        <f t="shared" ref="O8:O16" si="1">N8*0.25</f>
        <v>56137.842499999999</v>
      </c>
    </row>
    <row r="9" spans="1:17" x14ac:dyDescent="0.2">
      <c r="A9" s="176" t="s">
        <v>129</v>
      </c>
      <c r="B9" s="156">
        <v>1235.48</v>
      </c>
      <c r="C9" s="156">
        <v>1235.48</v>
      </c>
      <c r="D9" s="156">
        <v>1235.48</v>
      </c>
      <c r="E9" s="156">
        <v>1059</v>
      </c>
      <c r="F9" s="156">
        <f>1186.08+127.08</f>
        <v>1313.1599999999999</v>
      </c>
      <c r="G9" s="163">
        <v>1186.08</v>
      </c>
      <c r="H9" s="158">
        <v>1186.08</v>
      </c>
      <c r="I9" s="156">
        <v>1186.08</v>
      </c>
      <c r="J9" s="156">
        <v>1186.08</v>
      </c>
      <c r="K9" s="156">
        <v>1186.08</v>
      </c>
      <c r="L9" s="156">
        <v>1186.08</v>
      </c>
      <c r="M9" s="158">
        <v>1186.08</v>
      </c>
      <c r="N9" s="159">
        <f t="shared" si="0"/>
        <v>14381.16</v>
      </c>
      <c r="O9" s="160">
        <f t="shared" si="1"/>
        <v>3595.29</v>
      </c>
    </row>
    <row r="10" spans="1:17" x14ac:dyDescent="0.2">
      <c r="A10" s="176" t="s">
        <v>130</v>
      </c>
      <c r="B10" s="156">
        <v>0</v>
      </c>
      <c r="C10" s="156">
        <v>0</v>
      </c>
      <c r="D10" s="156">
        <v>0</v>
      </c>
      <c r="E10" s="156">
        <v>0</v>
      </c>
      <c r="F10" s="156">
        <v>0</v>
      </c>
      <c r="G10" s="161"/>
      <c r="H10" s="156">
        <v>0</v>
      </c>
      <c r="I10" s="156">
        <v>0</v>
      </c>
      <c r="J10" s="156">
        <v>0</v>
      </c>
      <c r="K10" s="156">
        <v>0</v>
      </c>
      <c r="L10" s="156">
        <v>0</v>
      </c>
      <c r="M10" s="156">
        <v>0</v>
      </c>
      <c r="N10" s="159">
        <f t="shared" si="0"/>
        <v>0</v>
      </c>
      <c r="O10" s="160">
        <f t="shared" si="1"/>
        <v>0</v>
      </c>
    </row>
    <row r="11" spans="1:17" x14ac:dyDescent="0.2">
      <c r="A11" s="176" t="s">
        <v>131</v>
      </c>
      <c r="B11" s="156">
        <v>1116.47</v>
      </c>
      <c r="C11" s="156">
        <v>1116.47</v>
      </c>
      <c r="D11" s="156">
        <v>1116.47</v>
      </c>
      <c r="E11" s="165">
        <v>1479</v>
      </c>
      <c r="F11" s="156">
        <v>1479</v>
      </c>
      <c r="G11" s="163">
        <v>1479</v>
      </c>
      <c r="H11" s="158">
        <v>1479</v>
      </c>
      <c r="I11" s="156">
        <v>1479</v>
      </c>
      <c r="J11" s="156">
        <v>1479</v>
      </c>
      <c r="K11" s="156">
        <v>1479</v>
      </c>
      <c r="L11" s="156">
        <v>1479</v>
      </c>
      <c r="M11" s="158">
        <v>1479</v>
      </c>
      <c r="N11" s="159">
        <f t="shared" si="0"/>
        <v>16660.41</v>
      </c>
      <c r="O11" s="160">
        <f t="shared" si="1"/>
        <v>4165.1025</v>
      </c>
    </row>
    <row r="12" spans="1:17" x14ac:dyDescent="0.2">
      <c r="A12" s="176" t="s">
        <v>182</v>
      </c>
      <c r="B12" s="156">
        <v>2390.0300000000002</v>
      </c>
      <c r="C12" s="156">
        <v>2390.0300000000002</v>
      </c>
      <c r="D12" s="156">
        <v>2390.0300000000002</v>
      </c>
      <c r="E12" s="156">
        <v>2415</v>
      </c>
      <c r="F12" s="156">
        <f>2415+3025</f>
        <v>5440</v>
      </c>
      <c r="G12" s="157">
        <v>21123.27</v>
      </c>
      <c r="H12" s="156">
        <v>0</v>
      </c>
      <c r="I12" s="156">
        <v>0</v>
      </c>
      <c r="J12" s="156">
        <v>0</v>
      </c>
      <c r="K12" s="156">
        <v>0</v>
      </c>
      <c r="L12" s="156">
        <v>0</v>
      </c>
      <c r="M12" s="156">
        <v>0</v>
      </c>
      <c r="N12" s="159">
        <f t="shared" si="0"/>
        <v>36148.36</v>
      </c>
      <c r="O12" s="160">
        <f t="shared" si="1"/>
        <v>9037.09</v>
      </c>
    </row>
    <row r="13" spans="1:17" x14ac:dyDescent="0.2">
      <c r="A13" s="176" t="s">
        <v>183</v>
      </c>
      <c r="B13" s="166">
        <v>3921.1</v>
      </c>
      <c r="C13" s="166">
        <v>3921.1</v>
      </c>
      <c r="D13" s="166">
        <v>3921.1</v>
      </c>
      <c r="E13" s="156">
        <v>3900.5</v>
      </c>
      <c r="F13" s="156">
        <v>3323.98</v>
      </c>
      <c r="G13" s="157">
        <v>6831</v>
      </c>
      <c r="H13" s="156">
        <v>0</v>
      </c>
      <c r="I13" s="156">
        <v>0</v>
      </c>
      <c r="J13" s="156">
        <v>0</v>
      </c>
      <c r="K13" s="156">
        <v>0</v>
      </c>
      <c r="L13" s="156">
        <v>0</v>
      </c>
      <c r="M13" s="156">
        <v>0</v>
      </c>
      <c r="N13" s="159">
        <f t="shared" si="0"/>
        <v>25818.78</v>
      </c>
      <c r="O13" s="160">
        <f t="shared" si="1"/>
        <v>6454.6949999999997</v>
      </c>
    </row>
    <row r="14" spans="1:17" x14ac:dyDescent="0.2">
      <c r="A14" s="176" t="s">
        <v>214</v>
      </c>
      <c r="B14" s="156">
        <v>680.83</v>
      </c>
      <c r="C14" s="156">
        <v>680.83</v>
      </c>
      <c r="D14" s="156">
        <v>680.83</v>
      </c>
      <c r="E14" s="156">
        <v>774.52</v>
      </c>
      <c r="F14" s="156">
        <v>774.52</v>
      </c>
      <c r="G14" s="156">
        <v>0</v>
      </c>
      <c r="H14" s="156">
        <v>0</v>
      </c>
      <c r="I14" s="156">
        <v>0</v>
      </c>
      <c r="J14" s="156">
        <v>0</v>
      </c>
      <c r="K14" s="156">
        <v>0</v>
      </c>
      <c r="L14" s="156">
        <v>0</v>
      </c>
      <c r="M14" s="156">
        <v>0</v>
      </c>
      <c r="N14" s="159">
        <f t="shared" si="0"/>
        <v>3591.53</v>
      </c>
      <c r="O14" s="160">
        <f t="shared" si="1"/>
        <v>897.88250000000005</v>
      </c>
    </row>
    <row r="15" spans="1:17" x14ac:dyDescent="0.2">
      <c r="A15" s="167" t="s">
        <v>220</v>
      </c>
      <c r="B15" s="156">
        <v>1716</v>
      </c>
      <c r="C15" s="156">
        <v>2065</v>
      </c>
      <c r="D15" s="156">
        <f>2064.65+23.45</f>
        <v>2088.1</v>
      </c>
      <c r="E15" s="156">
        <v>2099.9299999999998</v>
      </c>
      <c r="F15" s="156">
        <v>2064.65</v>
      </c>
      <c r="G15" s="158">
        <v>2064.65</v>
      </c>
      <c r="H15" s="156">
        <v>2064.65</v>
      </c>
      <c r="I15" s="156">
        <v>2064.65</v>
      </c>
      <c r="J15" s="156">
        <v>2064.65</v>
      </c>
      <c r="K15" s="156">
        <v>2064.65</v>
      </c>
      <c r="L15" s="156">
        <v>2064.65</v>
      </c>
      <c r="M15" s="158">
        <v>2064.65</v>
      </c>
      <c r="N15" s="159">
        <f t="shared" si="0"/>
        <v>24486.230000000003</v>
      </c>
      <c r="O15" s="160">
        <f t="shared" si="1"/>
        <v>6121.5575000000008</v>
      </c>
    </row>
    <row r="16" spans="1:17" x14ac:dyDescent="0.2">
      <c r="A16" s="168" t="s">
        <v>221</v>
      </c>
      <c r="B16" s="169">
        <v>41622.01</v>
      </c>
      <c r="C16" s="169">
        <v>41622.01</v>
      </c>
      <c r="D16" s="169">
        <v>41622.01</v>
      </c>
      <c r="E16" s="169">
        <v>41622.01</v>
      </c>
      <c r="F16" s="169">
        <v>41622.01</v>
      </c>
      <c r="G16" s="170">
        <v>41622.01</v>
      </c>
      <c r="H16" s="169">
        <v>41622.01</v>
      </c>
      <c r="I16" s="169">
        <v>41622.01</v>
      </c>
      <c r="J16" s="169">
        <v>41622.01</v>
      </c>
      <c r="K16" s="169">
        <v>41622.01</v>
      </c>
      <c r="L16" s="169">
        <v>41622.01</v>
      </c>
      <c r="M16" s="170">
        <v>59017.63</v>
      </c>
      <c r="N16" s="159">
        <f t="shared" si="0"/>
        <v>516859.74000000005</v>
      </c>
      <c r="O16" s="160">
        <f t="shared" si="1"/>
        <v>129214.93500000001</v>
      </c>
    </row>
    <row r="17" spans="1:16" ht="13.5" thickBot="1" x14ac:dyDescent="0.25">
      <c r="A17" s="171" t="s">
        <v>217</v>
      </c>
      <c r="B17" s="177">
        <f>SUM(B5:B16)</f>
        <v>210425.64</v>
      </c>
      <c r="C17" s="177">
        <f>SUM(C5:C16)</f>
        <v>210774.64</v>
      </c>
      <c r="D17" s="177">
        <f t="shared" ref="D17:O17" si="2">SUM(D5:D16)</f>
        <v>210797.74000000002</v>
      </c>
      <c r="E17" s="177">
        <f t="shared" si="2"/>
        <v>200042.91</v>
      </c>
      <c r="F17" s="177">
        <f t="shared" si="2"/>
        <v>202710.27000000002</v>
      </c>
      <c r="G17" s="177">
        <f t="shared" si="2"/>
        <v>223325.93999999997</v>
      </c>
      <c r="H17" s="177">
        <f t="shared" si="2"/>
        <v>241454.18</v>
      </c>
      <c r="I17" s="177">
        <f t="shared" si="2"/>
        <v>246687.87</v>
      </c>
      <c r="J17" s="177">
        <f t="shared" si="2"/>
        <v>195371.66999999998</v>
      </c>
      <c r="K17" s="177">
        <f t="shared" si="2"/>
        <v>195371.66999999998</v>
      </c>
      <c r="L17" s="177">
        <f t="shared" si="2"/>
        <v>195371.66999999998</v>
      </c>
      <c r="M17" s="177">
        <f t="shared" si="2"/>
        <v>212767.28999999998</v>
      </c>
      <c r="N17" s="177">
        <f t="shared" si="2"/>
        <v>2545101.4899999998</v>
      </c>
      <c r="O17" s="177">
        <f t="shared" si="2"/>
        <v>636275.37249999994</v>
      </c>
      <c r="P17" s="181">
        <f>O17-O5</f>
        <v>215624.39500000002</v>
      </c>
    </row>
    <row r="18" spans="1:16" ht="13.5" thickTop="1" x14ac:dyDescent="0.2"/>
    <row r="19" spans="1:16" x14ac:dyDescent="0.2">
      <c r="A19" s="175" t="s">
        <v>222</v>
      </c>
      <c r="B19" s="178">
        <f>B17*0.25</f>
        <v>52606.41</v>
      </c>
      <c r="C19" s="179">
        <f>C17*0.25</f>
        <v>52693.66</v>
      </c>
      <c r="D19" s="179">
        <f>D17*0.25</f>
        <v>52699.435000000005</v>
      </c>
      <c r="E19" s="179">
        <f t="shared" ref="E19:M19" si="3">E17*0.25</f>
        <v>50010.727500000001</v>
      </c>
      <c r="F19" s="179">
        <f t="shared" si="3"/>
        <v>50677.567500000005</v>
      </c>
      <c r="G19" s="179">
        <f t="shared" si="3"/>
        <v>55831.484999999993</v>
      </c>
      <c r="H19" s="179">
        <f t="shared" si="3"/>
        <v>60363.544999999998</v>
      </c>
      <c r="I19" s="179">
        <f t="shared" si="3"/>
        <v>61671.967499999999</v>
      </c>
      <c r="J19" s="179">
        <f t="shared" si="3"/>
        <v>48842.917499999996</v>
      </c>
      <c r="K19" s="179">
        <f t="shared" si="3"/>
        <v>48842.917499999996</v>
      </c>
      <c r="L19" s="179">
        <f t="shared" si="3"/>
        <v>48842.917499999996</v>
      </c>
      <c r="M19" s="179">
        <f t="shared" si="3"/>
        <v>53191.822499999995</v>
      </c>
      <c r="O19" s="179">
        <f>SUM(B19:M19)</f>
        <v>636275.37249999994</v>
      </c>
    </row>
    <row r="21" spans="1:16" ht="13.5" thickBot="1" x14ac:dyDescent="0.25">
      <c r="A21" s="258" t="s">
        <v>225</v>
      </c>
      <c r="B21" s="259">
        <f t="shared" ref="B21:L21" si="4">SUM(B8:B16)</f>
        <v>62035.540000000008</v>
      </c>
      <c r="C21" s="259">
        <f t="shared" si="4"/>
        <v>62384.540000000008</v>
      </c>
      <c r="D21" s="259">
        <f t="shared" si="4"/>
        <v>62407.64</v>
      </c>
      <c r="E21" s="259">
        <f t="shared" si="4"/>
        <v>70061.960000000006</v>
      </c>
      <c r="F21" s="259">
        <f t="shared" si="4"/>
        <v>72729.320000000007</v>
      </c>
      <c r="G21" s="259">
        <f t="shared" si="4"/>
        <v>91018.010000000009</v>
      </c>
      <c r="H21" s="259">
        <f t="shared" si="4"/>
        <v>109146.25</v>
      </c>
      <c r="I21" s="259">
        <f t="shared" si="4"/>
        <v>63063.740000000005</v>
      </c>
      <c r="J21" s="259">
        <f t="shared" si="4"/>
        <v>63063.740000000005</v>
      </c>
      <c r="K21" s="259">
        <f t="shared" si="4"/>
        <v>63063.740000000005</v>
      </c>
      <c r="L21" s="259">
        <f t="shared" si="4"/>
        <v>63063.740000000005</v>
      </c>
      <c r="M21" s="259">
        <f>SUM(M8:M16)</f>
        <v>80459.360000000001</v>
      </c>
      <c r="N21" s="259">
        <f>SUM(B21:M21)</f>
        <v>862497.58</v>
      </c>
    </row>
    <row r="22" spans="1:16" ht="13.5" thickTop="1" x14ac:dyDescent="0.2">
      <c r="M22" s="67" t="s">
        <v>105</v>
      </c>
      <c r="N22" s="86">
        <v>0.25</v>
      </c>
    </row>
    <row r="23" spans="1:16" ht="13.5" thickBot="1" x14ac:dyDescent="0.25">
      <c r="N23" s="259">
        <f>N21*N22</f>
        <v>215624.39499999999</v>
      </c>
    </row>
    <row r="24" spans="1:16" ht="13.5" thickTop="1" x14ac:dyDescent="0.2">
      <c r="N24" s="257"/>
    </row>
    <row r="25" spans="1:16" x14ac:dyDescent="0.2">
      <c r="N25" s="18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selection activeCell="C15" sqref="C15"/>
    </sheetView>
  </sheetViews>
  <sheetFormatPr defaultRowHeight="12.75" x14ac:dyDescent="0.2"/>
  <cols>
    <col min="1" max="1" width="6.7109375" customWidth="1"/>
    <col min="2" max="2" width="30.28515625" bestFit="1" customWidth="1"/>
    <col min="3" max="3" width="4.7109375" customWidth="1"/>
    <col min="4" max="4" width="11.85546875" bestFit="1" customWidth="1"/>
    <col min="5" max="5" width="13.42578125" bestFit="1" customWidth="1"/>
    <col min="6" max="6" width="14.7109375" bestFit="1" customWidth="1"/>
    <col min="7" max="7" width="13.42578125" bestFit="1" customWidth="1"/>
    <col min="8" max="8" width="14.7109375" bestFit="1" customWidth="1"/>
  </cols>
  <sheetData>
    <row r="1" spans="1:10" x14ac:dyDescent="0.2">
      <c r="A1" s="2"/>
      <c r="B1" s="17"/>
      <c r="C1" s="17"/>
      <c r="D1" s="3"/>
      <c r="E1" s="3"/>
      <c r="F1" s="3"/>
      <c r="G1" s="284"/>
      <c r="H1" s="284"/>
    </row>
    <row r="2" spans="1:10" x14ac:dyDescent="0.2">
      <c r="A2" s="285" t="s">
        <v>0</v>
      </c>
      <c r="B2" s="18"/>
      <c r="C2" s="18"/>
      <c r="D2" s="4"/>
      <c r="E2" s="4"/>
      <c r="F2" s="4"/>
      <c r="G2" s="284"/>
      <c r="H2" s="284"/>
    </row>
    <row r="3" spans="1:10" x14ac:dyDescent="0.2">
      <c r="A3" s="3" t="s">
        <v>177</v>
      </c>
      <c r="B3" s="75"/>
      <c r="C3" s="75"/>
      <c r="D3" s="76"/>
      <c r="E3" s="76"/>
      <c r="F3" s="76"/>
      <c r="G3" s="284"/>
      <c r="H3" s="284"/>
    </row>
    <row r="4" spans="1:10" x14ac:dyDescent="0.2">
      <c r="A4" s="2" t="s">
        <v>226</v>
      </c>
      <c r="B4" s="17"/>
      <c r="C4" s="17"/>
      <c r="D4" s="3"/>
      <c r="E4" s="3"/>
      <c r="F4" s="3"/>
      <c r="G4" s="284"/>
      <c r="H4" s="284"/>
    </row>
    <row r="5" spans="1:10" x14ac:dyDescent="0.2">
      <c r="A5" s="2"/>
      <c r="B5" s="17"/>
      <c r="C5" s="17"/>
      <c r="D5" s="3"/>
      <c r="E5" s="3"/>
      <c r="F5" s="3"/>
    </row>
    <row r="6" spans="1:10" ht="14.25" x14ac:dyDescent="0.2">
      <c r="A6" s="282"/>
      <c r="B6" s="282"/>
      <c r="C6" s="282"/>
      <c r="D6" s="186" t="s">
        <v>316</v>
      </c>
      <c r="E6" s="186"/>
      <c r="F6" s="186" t="s">
        <v>172</v>
      </c>
      <c r="G6" s="186"/>
      <c r="H6" s="186" t="s">
        <v>229</v>
      </c>
    </row>
    <row r="7" spans="1:10" ht="14.25" x14ac:dyDescent="0.2">
      <c r="A7" s="186" t="s">
        <v>1</v>
      </c>
      <c r="B7" s="186"/>
      <c r="C7" s="186"/>
      <c r="D7" s="188" t="s">
        <v>4</v>
      </c>
      <c r="E7" s="188" t="s">
        <v>172</v>
      </c>
      <c r="F7" s="188" t="s">
        <v>5</v>
      </c>
      <c r="G7" s="188" t="s">
        <v>229</v>
      </c>
      <c r="H7" s="188" t="s">
        <v>5</v>
      </c>
    </row>
    <row r="8" spans="1:10" ht="15" x14ac:dyDescent="0.25">
      <c r="A8" s="187" t="s">
        <v>2</v>
      </c>
      <c r="B8" s="187" t="s">
        <v>3</v>
      </c>
      <c r="C8" s="187" t="s">
        <v>317</v>
      </c>
      <c r="D8" s="283" t="s">
        <v>318</v>
      </c>
      <c r="E8" s="283" t="s">
        <v>319</v>
      </c>
      <c r="F8" s="283" t="s">
        <v>320</v>
      </c>
      <c r="G8" s="283" t="s">
        <v>321</v>
      </c>
      <c r="H8" s="283" t="s">
        <v>322</v>
      </c>
    </row>
    <row r="9" spans="1:10" ht="14.25" x14ac:dyDescent="0.2">
      <c r="A9" s="1"/>
      <c r="B9" s="1"/>
      <c r="C9" s="1"/>
      <c r="D9" s="188"/>
      <c r="E9" s="188"/>
      <c r="F9" s="188"/>
      <c r="G9" s="188"/>
      <c r="H9" s="188"/>
    </row>
    <row r="10" spans="1:10" x14ac:dyDescent="0.2">
      <c r="A10" s="5">
        <v>1</v>
      </c>
      <c r="B10" s="1" t="s">
        <v>6</v>
      </c>
      <c r="C10" s="1"/>
      <c r="D10" s="189">
        <f>'Summary Prop &amp; Liab Ins'!H16</f>
        <v>149851.99538199999</v>
      </c>
      <c r="E10" s="189">
        <f>'Summary Prop &amp; Liab Ins'!L16</f>
        <v>121922.86461600001</v>
      </c>
      <c r="F10" s="196">
        <f>E10-D10</f>
        <v>-27929.130765999987</v>
      </c>
      <c r="G10" s="180">
        <f>'Summary Prop &amp; Liab Ins'!T16</f>
        <v>139710.59841226495</v>
      </c>
      <c r="H10" s="180">
        <f>G10-E10</f>
        <v>17787.733796264947</v>
      </c>
      <c r="I10" s="9"/>
      <c r="J10" s="9"/>
    </row>
    <row r="11" spans="1:10" x14ac:dyDescent="0.2">
      <c r="A11" s="5">
        <f>A10+1</f>
        <v>2</v>
      </c>
      <c r="B11" s="1" t="s">
        <v>7</v>
      </c>
      <c r="C11" s="1"/>
      <c r="D11" s="191">
        <f>'Summary Prop &amp; Liab Ins'!H42</f>
        <v>1079998.6559106729</v>
      </c>
      <c r="E11" s="191">
        <f>'Summary Prop &amp; Liab Ins'!L42</f>
        <v>1174568.4443488119</v>
      </c>
      <c r="F11" s="196">
        <f>E11-D11</f>
        <v>94569.788438139018</v>
      </c>
      <c r="G11" s="180">
        <f>'Summary Prop &amp; Liab Ins'!T42</f>
        <v>1187768.3315261228</v>
      </c>
      <c r="H11" s="180">
        <f t="shared" ref="H11" si="0">G11-E11</f>
        <v>13199.887177310884</v>
      </c>
      <c r="I11" s="715"/>
      <c r="J11" s="9"/>
    </row>
    <row r="12" spans="1:10" x14ac:dyDescent="0.2">
      <c r="A12" s="5">
        <f>A11+1</f>
        <v>3</v>
      </c>
      <c r="B12" s="6" t="s">
        <v>8</v>
      </c>
      <c r="C12" s="6"/>
      <c r="D12" s="197">
        <f>SUM(D10:D11)</f>
        <v>1229850.6512926728</v>
      </c>
      <c r="E12" s="197">
        <f>SUM(E10:E11)</f>
        <v>1296491.308964812</v>
      </c>
      <c r="F12" s="198">
        <f>SUM(F10:F11)</f>
        <v>66640.65767213903</v>
      </c>
      <c r="G12" s="716">
        <f>SUM(G10:G11)</f>
        <v>1327478.9299383876</v>
      </c>
      <c r="H12" s="716">
        <f>SUM(H10:H11)</f>
        <v>30987.620973575831</v>
      </c>
      <c r="I12" s="9"/>
      <c r="J12" s="9"/>
    </row>
    <row r="13" spans="1:10" ht="13.5" x14ac:dyDescent="0.25">
      <c r="A13" s="5">
        <f>A12+1</f>
        <v>4</v>
      </c>
      <c r="B13" s="6"/>
      <c r="C13" s="6"/>
      <c r="D13" s="192"/>
      <c r="E13" s="193"/>
      <c r="F13" s="195"/>
    </row>
    <row r="14" spans="1:10" x14ac:dyDescent="0.2">
      <c r="A14" s="5">
        <f>A13+1</f>
        <v>5</v>
      </c>
      <c r="B14" s="6" t="s">
        <v>323</v>
      </c>
      <c r="C14" s="266">
        <v>0.21</v>
      </c>
      <c r="D14" s="190">
        <f t="shared" ref="D14:E14" si="1">-D12*$C$14</f>
        <v>-258268.63677146129</v>
      </c>
      <c r="E14" s="190">
        <f t="shared" si="1"/>
        <v>-272263.1748826105</v>
      </c>
      <c r="F14" s="196">
        <f>E14-D14</f>
        <v>-13994.538111149217</v>
      </c>
      <c r="G14" s="20">
        <f>-G12*C14</f>
        <v>-278770.57528706139</v>
      </c>
      <c r="H14" s="20">
        <f t="shared" ref="H14" si="2">G14-E14</f>
        <v>-6507.4004044508911</v>
      </c>
    </row>
    <row r="15" spans="1:10" ht="13.5" thickBot="1" x14ac:dyDescent="0.25">
      <c r="A15" s="5">
        <f>A14+1</f>
        <v>6</v>
      </c>
      <c r="B15" s="6" t="s">
        <v>9</v>
      </c>
      <c r="C15" s="6"/>
      <c r="D15" s="267">
        <f>-D12-D14</f>
        <v>-971582.01452121162</v>
      </c>
      <c r="E15" s="267">
        <f t="shared" ref="E15:H15" si="3">-E12-E14</f>
        <v>-1024228.1340822014</v>
      </c>
      <c r="F15" s="267">
        <f t="shared" si="3"/>
        <v>-52646.119560989813</v>
      </c>
      <c r="G15" s="267">
        <f t="shared" si="3"/>
        <v>-1048708.3546513263</v>
      </c>
      <c r="H15" s="267">
        <f t="shared" si="3"/>
        <v>-24480.22056912494</v>
      </c>
    </row>
    <row r="16" spans="1:10" ht="13.5" thickTop="1" x14ac:dyDescent="0.2">
      <c r="D16" s="194"/>
      <c r="E16" s="194"/>
      <c r="F16" s="194"/>
    </row>
    <row r="17" spans="4:10" x14ac:dyDescent="0.2">
      <c r="D17" s="194"/>
      <c r="E17" s="194"/>
      <c r="F17" s="194"/>
    </row>
    <row r="29" spans="4:10" x14ac:dyDescent="0.2">
      <c r="I29" s="9"/>
      <c r="J29" s="9"/>
    </row>
    <row r="30" spans="4:10" x14ac:dyDescent="0.2">
      <c r="I30" s="9"/>
      <c r="J30" s="9"/>
    </row>
    <row r="31" spans="4:10" x14ac:dyDescent="0.2">
      <c r="I31" s="9"/>
      <c r="J31" s="9"/>
    </row>
    <row r="32" spans="4:10" x14ac:dyDescent="0.2">
      <c r="I32" s="717"/>
      <c r="J32" s="9"/>
    </row>
    <row r="33" spans="2:10" x14ac:dyDescent="0.2">
      <c r="I33" s="717"/>
      <c r="J33" s="9"/>
    </row>
    <row r="34" spans="2:10" x14ac:dyDescent="0.2">
      <c r="I34" s="717"/>
      <c r="J34" s="9"/>
    </row>
    <row r="35" spans="2:10" x14ac:dyDescent="0.2">
      <c r="I35" s="717"/>
      <c r="J35" s="9"/>
    </row>
    <row r="36" spans="2:10" x14ac:dyDescent="0.2">
      <c r="I36" s="717"/>
      <c r="J36" s="9"/>
    </row>
    <row r="37" spans="2:10" x14ac:dyDescent="0.2">
      <c r="I37" s="717"/>
      <c r="J37" s="9"/>
    </row>
    <row r="38" spans="2:10" x14ac:dyDescent="0.2">
      <c r="B38" s="136"/>
      <c r="C38" s="136"/>
      <c r="D38" s="718"/>
      <c r="E38" s="718"/>
      <c r="F38" s="718"/>
      <c r="G38" s="718"/>
      <c r="H38" s="718"/>
      <c r="I38" s="13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57"/>
  <sheetViews>
    <sheetView zoomScale="83" zoomScaleNormal="83" workbookViewId="0">
      <pane xSplit="4" ySplit="8" topLeftCell="G9" activePane="bottomRight" state="frozen"/>
      <selection pane="topRight" activeCell="E1" sqref="E1"/>
      <selection pane="bottomLeft" activeCell="A9" sqref="A9"/>
      <selection pane="bottomRight" activeCell="G29" sqref="G29"/>
    </sheetView>
  </sheetViews>
  <sheetFormatPr defaultColWidth="8.85546875" defaultRowHeight="12.75" x14ac:dyDescent="0.2"/>
  <cols>
    <col min="1" max="1" width="2.7109375" style="67" customWidth="1"/>
    <col min="2" max="2" width="18.5703125" style="67" customWidth="1"/>
    <col min="3" max="3" width="64.7109375" style="67" customWidth="1"/>
    <col min="4" max="4" width="8.28515625" style="67" bestFit="1" customWidth="1"/>
    <col min="5" max="5" width="17" style="67" bestFit="1" customWidth="1"/>
    <col min="6" max="6" width="10.7109375" style="640" bestFit="1" customWidth="1"/>
    <col min="7" max="7" width="15.140625" style="640" bestFit="1" customWidth="1"/>
    <col min="8" max="8" width="11.85546875" style="67" bestFit="1" customWidth="1"/>
    <col min="9" max="9" width="2.28515625" style="67" customWidth="1"/>
    <col min="10" max="10" width="10.7109375" style="67" bestFit="1" customWidth="1"/>
    <col min="11" max="11" width="13" style="67" bestFit="1" customWidth="1"/>
    <col min="12" max="12" width="12.140625" style="67" customWidth="1"/>
    <col min="13" max="13" width="1.5703125" style="67" customWidth="1"/>
    <col min="14" max="15" width="11.5703125" style="67" bestFit="1" customWidth="1"/>
    <col min="16" max="16" width="10.7109375" style="67" bestFit="1" customWidth="1"/>
    <col min="17" max="17" width="2.7109375" style="67" customWidth="1"/>
    <col min="18" max="18" width="13.140625" style="67" bestFit="1" customWidth="1"/>
    <col min="19" max="19" width="14.140625" style="67" bestFit="1" customWidth="1"/>
    <col min="20" max="20" width="13.140625" style="67" bestFit="1" customWidth="1"/>
    <col min="21" max="21" width="2.85546875" style="67" customWidth="1"/>
    <col min="22" max="22" width="13.7109375" style="67" bestFit="1" customWidth="1"/>
    <col min="23" max="23" width="13.42578125" style="67" bestFit="1" customWidth="1"/>
    <col min="24" max="24" width="11.7109375" style="67" bestFit="1" customWidth="1"/>
    <col min="25" max="16384" width="8.85546875" style="67"/>
  </cols>
  <sheetData>
    <row r="2" spans="1:24" s="126" customFormat="1" x14ac:dyDescent="0.2">
      <c r="B2" s="488" t="s">
        <v>16</v>
      </c>
      <c r="F2" s="489"/>
      <c r="G2" s="489"/>
      <c r="H2" s="490"/>
      <c r="I2" s="490"/>
      <c r="J2" s="490"/>
      <c r="K2" s="490"/>
      <c r="L2" s="124"/>
      <c r="M2" s="124"/>
      <c r="N2" s="124"/>
    </row>
    <row r="3" spans="1:24" s="126" customFormat="1" x14ac:dyDescent="0.2">
      <c r="B3" s="488" t="s">
        <v>33</v>
      </c>
      <c r="F3" s="489"/>
      <c r="G3" s="489"/>
      <c r="H3" s="490"/>
      <c r="I3" s="490"/>
      <c r="J3" s="490"/>
      <c r="K3" s="490"/>
      <c r="L3" s="124"/>
      <c r="M3" s="124"/>
      <c r="N3" s="124"/>
    </row>
    <row r="4" spans="1:24" s="126" customFormat="1" x14ac:dyDescent="0.2">
      <c r="B4" s="488" t="s">
        <v>224</v>
      </c>
      <c r="F4" s="489"/>
      <c r="G4" s="489"/>
      <c r="H4" s="490"/>
      <c r="I4" s="490"/>
      <c r="J4" s="490"/>
      <c r="K4" s="490"/>
      <c r="L4" s="124"/>
      <c r="M4" s="124"/>
      <c r="N4" s="124"/>
    </row>
    <row r="5" spans="1:24" ht="13.5" thickBot="1" x14ac:dyDescent="0.25">
      <c r="A5" s="126"/>
      <c r="B5" s="126"/>
      <c r="C5" s="124"/>
      <c r="D5" s="124"/>
      <c r="E5" s="124"/>
      <c r="F5" s="491"/>
      <c r="G5" s="491"/>
      <c r="H5" s="124"/>
      <c r="I5" s="492"/>
      <c r="J5" s="492"/>
      <c r="K5" s="492"/>
      <c r="L5" s="492"/>
      <c r="M5" s="492"/>
      <c r="N5" s="492"/>
    </row>
    <row r="6" spans="1:24" ht="20.45" customHeight="1" x14ac:dyDescent="0.2">
      <c r="A6" s="126"/>
      <c r="B6" s="867" t="s">
        <v>170</v>
      </c>
      <c r="C6" s="868"/>
      <c r="D6" s="868"/>
      <c r="E6" s="868"/>
      <c r="F6" s="868"/>
      <c r="G6" s="868"/>
      <c r="H6" s="869"/>
      <c r="I6" s="126"/>
      <c r="J6" s="493"/>
      <c r="K6" s="494" t="s">
        <v>172</v>
      </c>
      <c r="L6" s="495"/>
      <c r="N6" s="496" t="s">
        <v>157</v>
      </c>
      <c r="O6" s="497"/>
      <c r="P6" s="498"/>
      <c r="R6" s="499"/>
      <c r="S6" s="494" t="s">
        <v>229</v>
      </c>
      <c r="T6" s="500"/>
      <c r="V6" s="496" t="s">
        <v>157</v>
      </c>
      <c r="W6" s="497"/>
      <c r="X6" s="498"/>
    </row>
    <row r="7" spans="1:24" x14ac:dyDescent="0.2">
      <c r="A7" s="126"/>
      <c r="B7" s="501" t="s">
        <v>30</v>
      </c>
      <c r="C7" s="502" t="s">
        <v>29</v>
      </c>
      <c r="D7" s="502" t="s">
        <v>28</v>
      </c>
      <c r="E7" s="503"/>
      <c r="F7" s="503" t="s">
        <v>27</v>
      </c>
      <c r="G7" s="502" t="s">
        <v>17</v>
      </c>
      <c r="H7" s="504" t="s">
        <v>18</v>
      </c>
      <c r="I7" s="126"/>
      <c r="J7" s="505" t="s">
        <v>27</v>
      </c>
      <c r="K7" s="506" t="s">
        <v>17</v>
      </c>
      <c r="L7" s="507" t="s">
        <v>18</v>
      </c>
      <c r="N7" s="508" t="s">
        <v>27</v>
      </c>
      <c r="O7" s="509" t="s">
        <v>17</v>
      </c>
      <c r="P7" s="510" t="s">
        <v>18</v>
      </c>
      <c r="R7" s="568" t="s">
        <v>27</v>
      </c>
      <c r="S7" s="368" t="s">
        <v>17</v>
      </c>
      <c r="T7" s="511" t="s">
        <v>18</v>
      </c>
      <c r="V7" s="508" t="s">
        <v>27</v>
      </c>
      <c r="W7" s="509" t="s">
        <v>17</v>
      </c>
      <c r="X7" s="510" t="s">
        <v>18</v>
      </c>
    </row>
    <row r="8" spans="1:24" x14ac:dyDescent="0.2">
      <c r="A8" s="126"/>
      <c r="B8" s="512"/>
      <c r="C8" s="513"/>
      <c r="D8" s="513"/>
      <c r="E8" s="513"/>
      <c r="F8" s="513"/>
      <c r="G8" s="514">
        <f>[1]Lead!$E$19</f>
        <v>0.6038</v>
      </c>
      <c r="H8" s="515">
        <f>[1]Lead!$F$19</f>
        <v>0.3962</v>
      </c>
      <c r="I8" s="126"/>
      <c r="J8" s="516"/>
      <c r="K8" s="270">
        <f>G8</f>
        <v>0.6038</v>
      </c>
      <c r="L8" s="271">
        <f>H8</f>
        <v>0.3962</v>
      </c>
      <c r="M8" s="126"/>
      <c r="N8" s="517"/>
      <c r="O8" s="518"/>
      <c r="P8" s="519"/>
      <c r="R8" s="574"/>
      <c r="S8" s="270">
        <f>K8</f>
        <v>0.6038</v>
      </c>
      <c r="T8" s="271">
        <f>L8</f>
        <v>0.3962</v>
      </c>
      <c r="V8" s="517"/>
      <c r="W8" s="270">
        <f>S8</f>
        <v>0.6038</v>
      </c>
      <c r="X8" s="271">
        <f>T8</f>
        <v>0.3962</v>
      </c>
    </row>
    <row r="9" spans="1:24" s="126" customFormat="1" x14ac:dyDescent="0.2">
      <c r="B9" s="520" t="s">
        <v>86</v>
      </c>
      <c r="C9" s="521" t="s">
        <v>82</v>
      </c>
      <c r="D9" s="522" t="s">
        <v>18</v>
      </c>
      <c r="E9" s="523">
        <f>'SAP Download'!B5+'SAP Download'!B6</f>
        <v>60057.579999999987</v>
      </c>
      <c r="F9" s="524"/>
      <c r="G9" s="387">
        <v>0</v>
      </c>
      <c r="H9" s="525">
        <f>E9</f>
        <v>60057.579999999987</v>
      </c>
      <c r="J9" s="526">
        <f>Proposal!E14</f>
        <v>55925.691136000001</v>
      </c>
      <c r="K9" s="527"/>
      <c r="L9" s="528">
        <f>J9</f>
        <v>55925.691136000001</v>
      </c>
      <c r="M9" s="529"/>
      <c r="N9" s="526">
        <f>J9-SUM(E9:F9)</f>
        <v>-4131.8888639999859</v>
      </c>
      <c r="O9" s="530">
        <f>K9-G9</f>
        <v>0</v>
      </c>
      <c r="P9" s="528">
        <f>L9-H9</f>
        <v>-4131.8888639999859</v>
      </c>
      <c r="R9" s="719">
        <f>Amortiz!L17</f>
        <v>65077.607985050425</v>
      </c>
      <c r="S9" s="127"/>
      <c r="T9" s="525">
        <f>R9</f>
        <v>65077.607985050425</v>
      </c>
      <c r="V9" s="526">
        <f>R9-J9</f>
        <v>9151.9168490504235</v>
      </c>
      <c r="W9" s="530">
        <f>S9-K9</f>
        <v>0</v>
      </c>
      <c r="X9" s="528">
        <f>T9-L9</f>
        <v>9151.9168490504235</v>
      </c>
    </row>
    <row r="10" spans="1:24" s="126" customFormat="1" x14ac:dyDescent="0.2">
      <c r="B10" s="520">
        <v>92400013</v>
      </c>
      <c r="C10" s="521" t="s">
        <v>81</v>
      </c>
      <c r="D10" s="522" t="s">
        <v>17</v>
      </c>
      <c r="E10" s="523">
        <f>'SAP Download'!B7</f>
        <v>2606398.02</v>
      </c>
      <c r="F10" s="524"/>
      <c r="G10" s="387">
        <f>E10</f>
        <v>2606398.02</v>
      </c>
      <c r="H10" s="525">
        <v>0</v>
      </c>
      <c r="J10" s="531">
        <f>Proposal!E4+Proposal!E8</f>
        <v>2483803.1934000002</v>
      </c>
      <c r="K10" s="532">
        <f>J10</f>
        <v>2483803.1934000002</v>
      </c>
      <c r="L10" s="533"/>
      <c r="M10" s="529"/>
      <c r="N10" s="531">
        <f t="shared" ref="N10:N13" si="0">J10-SUM(E10:F10)</f>
        <v>-122594.8265999998</v>
      </c>
      <c r="O10" s="532">
        <f t="shared" ref="O10:P14" si="1">K10-G10</f>
        <v>-122594.8265999998</v>
      </c>
      <c r="P10" s="533">
        <f t="shared" si="1"/>
        <v>0</v>
      </c>
      <c r="R10" s="719">
        <f>Amortiz!L7+Amortiz!L11</f>
        <v>2981697.2738404209</v>
      </c>
      <c r="S10" s="387">
        <f>R10</f>
        <v>2981697.2738404209</v>
      </c>
      <c r="T10" s="534">
        <v>0</v>
      </c>
      <c r="V10" s="535">
        <f t="shared" ref="V10:V14" si="2">R10-J10</f>
        <v>497894.08044042066</v>
      </c>
      <c r="W10" s="530">
        <f t="shared" ref="W10:W14" si="3">S10-K10</f>
        <v>497894.08044042066</v>
      </c>
      <c r="X10" s="533">
        <f>T10-L10</f>
        <v>0</v>
      </c>
    </row>
    <row r="11" spans="1:24" s="126" customFormat="1" x14ac:dyDescent="0.2">
      <c r="B11" s="520">
        <v>92400005</v>
      </c>
      <c r="C11" s="521" t="s">
        <v>108</v>
      </c>
      <c r="D11" s="522" t="s">
        <v>17</v>
      </c>
      <c r="E11" s="523">
        <f>'Colstrip Ins '!O9+'Colstrip Ins '!O33</f>
        <v>783749.46750000003</v>
      </c>
      <c r="F11" s="524"/>
      <c r="G11" s="387">
        <f>E11</f>
        <v>783749.46750000003</v>
      </c>
      <c r="H11" s="525">
        <v>0</v>
      </c>
      <c r="J11" s="531">
        <f>Proposal!E5+Proposal!E6</f>
        <v>756947.90999999992</v>
      </c>
      <c r="K11" s="532">
        <f>J11</f>
        <v>756947.90999999992</v>
      </c>
      <c r="L11" s="533"/>
      <c r="M11" s="529"/>
      <c r="N11" s="531">
        <f t="shared" si="0"/>
        <v>-26801.557500000112</v>
      </c>
      <c r="O11" s="532">
        <f t="shared" si="1"/>
        <v>-26801.557500000112</v>
      </c>
      <c r="P11" s="533">
        <f t="shared" si="1"/>
        <v>0</v>
      </c>
      <c r="R11" s="719">
        <f>Amortiz!L8+Amortiz!L9</f>
        <v>761458</v>
      </c>
      <c r="S11" s="387">
        <f>R11</f>
        <v>761458</v>
      </c>
      <c r="T11" s="534">
        <v>0</v>
      </c>
      <c r="V11" s="535">
        <f t="shared" si="2"/>
        <v>4510.0900000000838</v>
      </c>
      <c r="W11" s="530">
        <f t="shared" si="3"/>
        <v>4510.0900000000838</v>
      </c>
      <c r="X11" s="533">
        <f t="shared" ref="X11:X14" si="4">T11-L11</f>
        <v>0</v>
      </c>
    </row>
    <row r="12" spans="1:24" s="126" customFormat="1" x14ac:dyDescent="0.2">
      <c r="B12" s="520">
        <v>92400005</v>
      </c>
      <c r="C12" s="521" t="s">
        <v>150</v>
      </c>
      <c r="D12" s="522" t="s">
        <v>17</v>
      </c>
      <c r="E12" s="523">
        <f>'Freddy1 Ins 2018'!O5</f>
        <v>145719.74700166669</v>
      </c>
      <c r="F12" s="524"/>
      <c r="G12" s="387">
        <f>E12</f>
        <v>145719.74700166669</v>
      </c>
      <c r="H12" s="525">
        <v>0</v>
      </c>
      <c r="J12" s="531">
        <f>Proposal!E7</f>
        <v>147552.0660041667</v>
      </c>
      <c r="K12" s="532">
        <f>J12</f>
        <v>147552.0660041667</v>
      </c>
      <c r="L12" s="533"/>
      <c r="M12" s="529"/>
      <c r="N12" s="531">
        <f t="shared" si="0"/>
        <v>1832.3190025000076</v>
      </c>
      <c r="O12" s="532">
        <f t="shared" si="1"/>
        <v>1832.3190025000076</v>
      </c>
      <c r="P12" s="533">
        <f t="shared" si="1"/>
        <v>0</v>
      </c>
      <c r="R12" s="719">
        <f>Amortiz!L10</f>
        <v>152284</v>
      </c>
      <c r="S12" s="387">
        <f>R12</f>
        <v>152284</v>
      </c>
      <c r="T12" s="534">
        <v>0</v>
      </c>
      <c r="V12" s="535">
        <f t="shared" si="2"/>
        <v>4731.9339958333003</v>
      </c>
      <c r="W12" s="530">
        <f t="shared" si="3"/>
        <v>4731.9339958333003</v>
      </c>
      <c r="X12" s="533">
        <f t="shared" si="4"/>
        <v>0</v>
      </c>
    </row>
    <row r="13" spans="1:24" s="126" customFormat="1" x14ac:dyDescent="0.2">
      <c r="B13" s="520">
        <v>92400634</v>
      </c>
      <c r="C13" s="521" t="s">
        <v>38</v>
      </c>
      <c r="D13" s="522" t="s">
        <v>31</v>
      </c>
      <c r="E13" s="387"/>
      <c r="F13" s="523">
        <f>'SAP Download'!B8</f>
        <v>197881.39</v>
      </c>
      <c r="G13" s="387">
        <f>F13*G8</f>
        <v>119480.783282</v>
      </c>
      <c r="H13" s="525">
        <f>F13*H8</f>
        <v>78400.60671800001</v>
      </c>
      <c r="J13" s="531">
        <f>Proposal!E18</f>
        <v>138587.79</v>
      </c>
      <c r="K13" s="532">
        <f>$J13*K$8</f>
        <v>83679.307602000001</v>
      </c>
      <c r="L13" s="533">
        <f>$J13*L$8</f>
        <v>54908.482398</v>
      </c>
      <c r="M13" s="529"/>
      <c r="N13" s="531">
        <f t="shared" si="0"/>
        <v>-59293.600000000006</v>
      </c>
      <c r="O13" s="532">
        <f t="shared" si="1"/>
        <v>-35801.475680000003</v>
      </c>
      <c r="P13" s="533">
        <f t="shared" si="1"/>
        <v>-23492.12432000001</v>
      </c>
      <c r="R13" s="719">
        <f>Amortiz!L21</f>
        <v>160146.61016460005</v>
      </c>
      <c r="S13" s="387">
        <f>R13*S8</f>
        <v>96696.523217385504</v>
      </c>
      <c r="T13" s="525">
        <f>R13*T8</f>
        <v>63450.086947214535</v>
      </c>
      <c r="V13" s="535">
        <f t="shared" si="2"/>
        <v>21558.820164600038</v>
      </c>
      <c r="W13" s="530">
        <f t="shared" si="3"/>
        <v>13017.215615385503</v>
      </c>
      <c r="X13" s="533">
        <f t="shared" si="4"/>
        <v>8541.6045492145349</v>
      </c>
    </row>
    <row r="14" spans="1:24" s="368" customFormat="1" x14ac:dyDescent="0.2">
      <c r="A14" s="127"/>
      <c r="B14" s="520">
        <v>92400635</v>
      </c>
      <c r="C14" s="521" t="s">
        <v>23</v>
      </c>
      <c r="D14" s="522" t="s">
        <v>31</v>
      </c>
      <c r="E14" s="387"/>
      <c r="F14" s="523">
        <f>'SAP Download'!B9</f>
        <v>28757.719999999998</v>
      </c>
      <c r="G14" s="387">
        <f>F14*$G$8</f>
        <v>17363.911335999997</v>
      </c>
      <c r="H14" s="525">
        <f>F14*$H$8</f>
        <v>11393.808663999998</v>
      </c>
      <c r="I14" s="127"/>
      <c r="J14" s="531">
        <f>Proposal!E19</f>
        <v>27987.61</v>
      </c>
      <c r="K14" s="532">
        <f>$J14*K$8</f>
        <v>16898.918917999999</v>
      </c>
      <c r="L14" s="533">
        <f>$J14*L$8</f>
        <v>11088.691081999999</v>
      </c>
      <c r="M14" s="527"/>
      <c r="N14" s="531">
        <f t="shared" ref="N14" si="5">J14-SUM(E14:F14)</f>
        <v>-770.10999999999694</v>
      </c>
      <c r="O14" s="532">
        <f t="shared" si="1"/>
        <v>-464.992417999998</v>
      </c>
      <c r="P14" s="533">
        <f t="shared" si="1"/>
        <v>-305.11758199999895</v>
      </c>
      <c r="R14" s="719">
        <f>Amortiz!L22</f>
        <v>28225.400000000009</v>
      </c>
      <c r="S14" s="70">
        <f>S8*R14</f>
        <v>17042.496520000004</v>
      </c>
      <c r="T14" s="71">
        <f>T8*R14</f>
        <v>11182.903480000003</v>
      </c>
      <c r="V14" s="535">
        <f t="shared" si="2"/>
        <v>237.79000000000815</v>
      </c>
      <c r="W14" s="530">
        <f t="shared" si="3"/>
        <v>143.57760200000484</v>
      </c>
      <c r="X14" s="533">
        <f t="shared" si="4"/>
        <v>94.212398000003304</v>
      </c>
    </row>
    <row r="15" spans="1:24" x14ac:dyDescent="0.2">
      <c r="A15" s="126"/>
      <c r="B15" s="538"/>
      <c r="C15" s="521"/>
      <c r="D15" s="522"/>
      <c r="E15" s="539"/>
      <c r="F15" s="523"/>
      <c r="G15" s="387"/>
      <c r="H15" s="525"/>
      <c r="I15" s="126"/>
      <c r="J15" s="531"/>
      <c r="K15" s="532"/>
      <c r="L15" s="533"/>
      <c r="M15" s="529"/>
      <c r="N15" s="531"/>
      <c r="O15" s="532"/>
      <c r="P15" s="533"/>
      <c r="R15" s="568"/>
      <c r="S15" s="368"/>
      <c r="T15" s="511"/>
      <c r="V15" s="531"/>
      <c r="W15" s="532"/>
      <c r="X15" s="533"/>
    </row>
    <row r="16" spans="1:24" ht="13.5" thickBot="1" x14ac:dyDescent="0.25">
      <c r="A16" s="126"/>
      <c r="B16" s="538"/>
      <c r="C16" s="540" t="s">
        <v>37</v>
      </c>
      <c r="D16" s="522"/>
      <c r="E16" s="541">
        <f>SUM(E9:E15)</f>
        <v>3595924.8145016665</v>
      </c>
      <c r="F16" s="542">
        <f>SUM(F9:F15)</f>
        <v>226639.11000000002</v>
      </c>
      <c r="G16" s="543">
        <f>SUM(G9:G15)</f>
        <v>3672711.9291196666</v>
      </c>
      <c r="H16" s="544">
        <f>SUM(H9:H15)</f>
        <v>149851.99538199999</v>
      </c>
      <c r="I16" s="126"/>
      <c r="J16" s="545">
        <f>SUM(J9:J15)</f>
        <v>3610804.2605401669</v>
      </c>
      <c r="K16" s="546">
        <f>SUM(K9:K15)</f>
        <v>3488881.3959241672</v>
      </c>
      <c r="L16" s="547">
        <f>SUM(L9:L15)</f>
        <v>121922.86461600001</v>
      </c>
      <c r="M16" s="529"/>
      <c r="N16" s="545">
        <f>SUM(N9:N15)</f>
        <v>-211759.66396149987</v>
      </c>
      <c r="O16" s="546">
        <f>SUM(O9:O15)</f>
        <v>-183830.53319549991</v>
      </c>
      <c r="P16" s="547">
        <f>SUM(P9:P15)</f>
        <v>-27929.130765999995</v>
      </c>
      <c r="R16" s="720">
        <f>SUM(R9:R15)</f>
        <v>4148888.8919900712</v>
      </c>
      <c r="S16" s="98">
        <f>SUM(S9:S15)</f>
        <v>4009178.2935778066</v>
      </c>
      <c r="T16" s="548">
        <f>SUM(T9:T15)</f>
        <v>139710.59841226495</v>
      </c>
      <c r="V16" s="545">
        <f>SUM(V9:V15)</f>
        <v>538084.63144990453</v>
      </c>
      <c r="W16" s="546">
        <f>SUM(W9:W15)</f>
        <v>520296.89765363955</v>
      </c>
      <c r="X16" s="547">
        <f>SUM(X9:X15)</f>
        <v>17787.733796264962</v>
      </c>
    </row>
    <row r="17" spans="1:24" ht="14.25" thickTop="1" thickBot="1" x14ac:dyDescent="0.25">
      <c r="B17" s="549"/>
      <c r="C17" s="550"/>
      <c r="D17" s="551"/>
      <c r="E17" s="551"/>
      <c r="F17" s="552"/>
      <c r="G17" s="92"/>
      <c r="H17" s="93"/>
      <c r="I17" s="126"/>
      <c r="J17" s="553"/>
      <c r="K17" s="554"/>
      <c r="L17" s="555"/>
      <c r="M17" s="529"/>
      <c r="N17" s="556"/>
      <c r="O17" s="554"/>
      <c r="P17" s="555"/>
      <c r="R17" s="556"/>
      <c r="S17" s="558"/>
      <c r="T17" s="559"/>
      <c r="V17" s="556"/>
      <c r="W17" s="554"/>
      <c r="X17" s="555"/>
    </row>
    <row r="18" spans="1:24" ht="13.5" thickBot="1" x14ac:dyDescent="0.25">
      <c r="B18" s="521"/>
      <c r="C18" s="509"/>
      <c r="D18" s="509"/>
      <c r="E18" s="560"/>
      <c r="F18" s="560"/>
      <c r="G18" s="560"/>
      <c r="H18" s="560"/>
      <c r="I18" s="521"/>
      <c r="J18" s="561"/>
      <c r="K18" s="561"/>
      <c r="L18" s="561"/>
      <c r="M18" s="527"/>
      <c r="N18" s="509"/>
      <c r="O18" s="561"/>
      <c r="P18" s="561"/>
      <c r="Q18" s="368"/>
      <c r="R18" s="561"/>
      <c r="S18" s="561"/>
      <c r="T18" s="561"/>
      <c r="U18" s="368"/>
      <c r="V18" s="509"/>
      <c r="W18" s="561"/>
      <c r="X18" s="561"/>
    </row>
    <row r="19" spans="1:24" ht="19.149999999999999" customHeight="1" x14ac:dyDescent="0.2">
      <c r="B19" s="870" t="s">
        <v>171</v>
      </c>
      <c r="C19" s="871"/>
      <c r="D19" s="871"/>
      <c r="E19" s="871"/>
      <c r="F19" s="871"/>
      <c r="G19" s="871"/>
      <c r="H19" s="872"/>
      <c r="I19" s="562"/>
      <c r="J19" s="493"/>
      <c r="K19" s="494" t="s">
        <v>172</v>
      </c>
      <c r="L19" s="495"/>
      <c r="N19" s="68"/>
      <c r="O19" s="563"/>
      <c r="P19" s="564"/>
      <c r="R19" s="721"/>
      <c r="S19" s="565" t="s">
        <v>366</v>
      </c>
      <c r="T19" s="500"/>
      <c r="V19" s="68"/>
      <c r="W19" s="563"/>
      <c r="X19" s="564"/>
    </row>
    <row r="20" spans="1:24" x14ac:dyDescent="0.2">
      <c r="A20" s="126"/>
      <c r="B20" s="501" t="s">
        <v>30</v>
      </c>
      <c r="C20" s="502" t="s">
        <v>29</v>
      </c>
      <c r="D20" s="502" t="s">
        <v>28</v>
      </c>
      <c r="E20" s="502"/>
      <c r="F20" s="502" t="s">
        <v>27</v>
      </c>
      <c r="G20" s="502" t="s">
        <v>17</v>
      </c>
      <c r="H20" s="504" t="s">
        <v>18</v>
      </c>
      <c r="I20" s="562"/>
      <c r="J20" s="508" t="s">
        <v>27</v>
      </c>
      <c r="K20" s="509" t="s">
        <v>17</v>
      </c>
      <c r="L20" s="510" t="s">
        <v>18</v>
      </c>
      <c r="N20" s="69"/>
      <c r="O20" s="367"/>
      <c r="P20" s="457"/>
      <c r="R20" s="508" t="s">
        <v>27</v>
      </c>
      <c r="S20" s="509" t="s">
        <v>17</v>
      </c>
      <c r="T20" s="510" t="s">
        <v>18</v>
      </c>
      <c r="V20" s="69"/>
      <c r="W20" s="367"/>
      <c r="X20" s="457"/>
    </row>
    <row r="21" spans="1:24" x14ac:dyDescent="0.2">
      <c r="A21" s="126"/>
      <c r="B21" s="512"/>
      <c r="C21" s="513"/>
      <c r="D21" s="513"/>
      <c r="E21" s="513"/>
      <c r="F21" s="513"/>
      <c r="G21" s="514">
        <f>[1]Lead!$E$9</f>
        <v>0.58050000000000002</v>
      </c>
      <c r="H21" s="515">
        <f>[1]Lead!$F$9</f>
        <v>0.41949999999999998</v>
      </c>
      <c r="I21" s="562"/>
      <c r="J21" s="517"/>
      <c r="K21" s="270">
        <f>G21</f>
        <v>0.58050000000000002</v>
      </c>
      <c r="L21" s="271">
        <f>H21</f>
        <v>0.41949999999999998</v>
      </c>
      <c r="M21" s="126"/>
      <c r="N21" s="69"/>
      <c r="O21" s="367"/>
      <c r="P21" s="457"/>
      <c r="R21" s="574"/>
      <c r="S21" s="270">
        <f>K21</f>
        <v>0.58050000000000002</v>
      </c>
      <c r="T21" s="271">
        <f>L21</f>
        <v>0.41949999999999998</v>
      </c>
      <c r="V21" s="69"/>
      <c r="W21" s="367"/>
      <c r="X21" s="457"/>
    </row>
    <row r="22" spans="1:24" s="126" customFormat="1" x14ac:dyDescent="0.2">
      <c r="B22" s="520">
        <v>92500602</v>
      </c>
      <c r="C22" s="521" t="s">
        <v>20</v>
      </c>
      <c r="D22" s="522" t="s">
        <v>31</v>
      </c>
      <c r="E22" s="566"/>
      <c r="F22" s="539">
        <f>'SAP Download'!B13</f>
        <v>482997.92</v>
      </c>
      <c r="G22" s="539">
        <f>$G$21*F22</f>
        <v>280380.29255999997</v>
      </c>
      <c r="H22" s="567">
        <f>$H$21*F22</f>
        <v>202617.62743999998</v>
      </c>
      <c r="I22" s="562"/>
      <c r="J22" s="531"/>
      <c r="K22" s="532"/>
      <c r="L22" s="533"/>
      <c r="M22" s="529"/>
      <c r="N22" s="69"/>
      <c r="O22" s="367"/>
      <c r="P22" s="457"/>
      <c r="R22" s="568"/>
      <c r="S22" s="127"/>
      <c r="T22" s="569"/>
      <c r="V22" s="69"/>
      <c r="W22" s="367"/>
      <c r="X22" s="457"/>
    </row>
    <row r="23" spans="1:24" s="126" customFormat="1" x14ac:dyDescent="0.2">
      <c r="B23" s="520">
        <v>92500636</v>
      </c>
      <c r="C23" s="521" t="s">
        <v>89</v>
      </c>
      <c r="D23" s="522" t="s">
        <v>31</v>
      </c>
      <c r="E23" s="566"/>
      <c r="F23" s="539">
        <f>'SAP Download'!B14</f>
        <v>0</v>
      </c>
      <c r="G23" s="539">
        <f>$G$21*F23</f>
        <v>0</v>
      </c>
      <c r="H23" s="567">
        <f>$H$21*F23</f>
        <v>0</v>
      </c>
      <c r="I23" s="562"/>
      <c r="J23" s="531"/>
      <c r="K23" s="532"/>
      <c r="L23" s="533"/>
      <c r="M23" s="529"/>
      <c r="N23" s="570"/>
      <c r="O23" s="571"/>
      <c r="P23" s="572"/>
      <c r="R23" s="568"/>
      <c r="S23" s="127"/>
      <c r="T23" s="569"/>
      <c r="V23" s="570"/>
      <c r="W23" s="571"/>
      <c r="X23" s="572"/>
    </row>
    <row r="24" spans="1:24" s="126" customFormat="1" x14ac:dyDescent="0.2">
      <c r="B24" s="520">
        <v>92500637</v>
      </c>
      <c r="C24" s="521" t="s">
        <v>32</v>
      </c>
      <c r="D24" s="522" t="s">
        <v>31</v>
      </c>
      <c r="E24" s="566"/>
      <c r="F24" s="539">
        <f>'SAP Download'!B15</f>
        <v>4325123.3400000008</v>
      </c>
      <c r="G24" s="539">
        <f>$G$21*F24</f>
        <v>2510734.0988700003</v>
      </c>
      <c r="H24" s="567">
        <f>$H$21*F24</f>
        <v>1814389.2411300002</v>
      </c>
      <c r="I24" s="562"/>
      <c r="J24" s="531"/>
      <c r="K24" s="532"/>
      <c r="L24" s="533"/>
      <c r="M24" s="529"/>
      <c r="N24" s="570"/>
      <c r="O24" s="571"/>
      <c r="P24" s="572"/>
      <c r="R24" s="568"/>
      <c r="S24" s="127"/>
      <c r="T24" s="569"/>
      <c r="V24" s="570"/>
      <c r="W24" s="571"/>
      <c r="X24" s="572"/>
    </row>
    <row r="25" spans="1:24" s="126" customFormat="1" x14ac:dyDescent="0.2">
      <c r="B25" s="520">
        <v>92500638</v>
      </c>
      <c r="C25" s="521" t="s">
        <v>22</v>
      </c>
      <c r="D25" s="522" t="s">
        <v>31</v>
      </c>
      <c r="E25" s="566"/>
      <c r="F25" s="539">
        <f>'SAP Download'!B16</f>
        <v>122500</v>
      </c>
      <c r="G25" s="539">
        <f>$G$21*F25</f>
        <v>71111.25</v>
      </c>
      <c r="H25" s="567">
        <f>$H$21*F25</f>
        <v>51388.75</v>
      </c>
      <c r="I25" s="562"/>
      <c r="J25" s="531"/>
      <c r="K25" s="532"/>
      <c r="L25" s="533"/>
      <c r="M25" s="529"/>
      <c r="N25" s="570"/>
      <c r="O25" s="571"/>
      <c r="P25" s="572"/>
      <c r="R25" s="568"/>
      <c r="S25" s="127"/>
      <c r="T25" s="569"/>
      <c r="V25" s="570"/>
      <c r="W25" s="571"/>
      <c r="X25" s="572"/>
    </row>
    <row r="26" spans="1:24" s="126" customFormat="1" x14ac:dyDescent="0.2">
      <c r="B26" s="520">
        <v>92500702</v>
      </c>
      <c r="C26" s="521" t="s">
        <v>39</v>
      </c>
      <c r="D26" s="522" t="s">
        <v>31</v>
      </c>
      <c r="E26" s="573"/>
      <c r="F26" s="539">
        <f>'SAP Download'!B17</f>
        <v>0</v>
      </c>
      <c r="G26" s="539">
        <f>$G$21*F26</f>
        <v>0</v>
      </c>
      <c r="H26" s="567">
        <f>$H$21*F26</f>
        <v>0</v>
      </c>
      <c r="I26" s="562"/>
      <c r="J26" s="531"/>
      <c r="K26" s="532"/>
      <c r="L26" s="533"/>
      <c r="M26" s="529"/>
      <c r="N26" s="570"/>
      <c r="O26" s="571"/>
      <c r="P26" s="572"/>
      <c r="R26" s="574"/>
      <c r="S26" s="575"/>
      <c r="T26" s="576"/>
      <c r="V26" s="570"/>
      <c r="W26" s="571"/>
      <c r="X26" s="572"/>
    </row>
    <row r="27" spans="1:24" s="126" customFormat="1" x14ac:dyDescent="0.2">
      <c r="B27" s="538"/>
      <c r="C27" s="540" t="s">
        <v>69</v>
      </c>
      <c r="D27" s="522"/>
      <c r="E27" s="577">
        <f>SUM(E22:E26)</f>
        <v>0</v>
      </c>
      <c r="F27" s="578">
        <f>SUM(F22:F26)</f>
        <v>4930621.2600000007</v>
      </c>
      <c r="G27" s="578">
        <f>SUM(G22:G26)</f>
        <v>2862225.6414300003</v>
      </c>
      <c r="H27" s="579">
        <f>SUM(H22:H26)</f>
        <v>2068395.6185700002</v>
      </c>
      <c r="I27" s="580"/>
      <c r="J27" s="581">
        <f>SUM('Liability Ins - RY'!D11:D37)</f>
        <v>5342838.43</v>
      </c>
      <c r="K27" s="582">
        <f>$J27*K$21</f>
        <v>3101517.7086149999</v>
      </c>
      <c r="L27" s="583">
        <f>$J27*L$21</f>
        <v>2241320.7213849998</v>
      </c>
      <c r="M27" s="529"/>
      <c r="N27" s="581">
        <f t="shared" ref="N27" si="6">J27-SUM(E27:F27)</f>
        <v>412217.16999999899</v>
      </c>
      <c r="O27" s="582">
        <f t="shared" ref="O27:P27" si="7">K27-G27</f>
        <v>239292.06718499959</v>
      </c>
      <c r="P27" s="583">
        <f t="shared" si="7"/>
        <v>172925.10281499964</v>
      </c>
      <c r="R27" s="584">
        <f>SUM('Liability Ins - RY (2)'!D11:D37)</f>
        <v>5403147.8200000003</v>
      </c>
      <c r="S27" s="387">
        <f>R27*S21</f>
        <v>3136527.3095100001</v>
      </c>
      <c r="T27" s="525">
        <f>R27*T21</f>
        <v>2266620.5104900002</v>
      </c>
      <c r="V27" s="581">
        <f>R27-J27</f>
        <v>60309.390000000596</v>
      </c>
      <c r="W27" s="582">
        <f>S27-K27</f>
        <v>35009.600895000156</v>
      </c>
      <c r="X27" s="583">
        <f>T27-L27</f>
        <v>25299.78910500044</v>
      </c>
    </row>
    <row r="28" spans="1:24" s="126" customFormat="1" ht="18" x14ac:dyDescent="0.2">
      <c r="B28" s="585" t="s">
        <v>367</v>
      </c>
      <c r="C28" s="509"/>
      <c r="D28" s="586"/>
      <c r="E28" s="587"/>
      <c r="F28" s="588">
        <f>G28</f>
        <v>0.49997132880489842</v>
      </c>
      <c r="G28" s="589">
        <f>[1]Lead!$G$43</f>
        <v>0.49997132880489842</v>
      </c>
      <c r="H28" s="590">
        <f>G28</f>
        <v>0.49997132880489842</v>
      </c>
      <c r="I28" s="591"/>
      <c r="J28" s="592">
        <f>G28</f>
        <v>0.49997132880489842</v>
      </c>
      <c r="K28" s="593">
        <f>J28</f>
        <v>0.49997132880489842</v>
      </c>
      <c r="L28" s="594">
        <f>K28</f>
        <v>0.49997132880489842</v>
      </c>
      <c r="M28" s="595"/>
      <c r="N28" s="592">
        <f>J28</f>
        <v>0.49997132880489842</v>
      </c>
      <c r="O28" s="593">
        <f>K28</f>
        <v>0.49997132880489842</v>
      </c>
      <c r="P28" s="594">
        <f>L28</f>
        <v>0.49997132880489842</v>
      </c>
      <c r="R28" s="596">
        <f>J28</f>
        <v>0.49997132880489842</v>
      </c>
      <c r="S28" s="597">
        <f>O28</f>
        <v>0.49997132880489842</v>
      </c>
      <c r="T28" s="598">
        <f>P28</f>
        <v>0.49997132880489842</v>
      </c>
      <c r="V28" s="592">
        <f>R28</f>
        <v>0.49997132880489842</v>
      </c>
      <c r="W28" s="593">
        <f>S28</f>
        <v>0.49997132880489842</v>
      </c>
      <c r="X28" s="594">
        <f>T28</f>
        <v>0.49997132880489842</v>
      </c>
    </row>
    <row r="29" spans="1:24" s="126" customFormat="1" x14ac:dyDescent="0.2">
      <c r="B29" s="520"/>
      <c r="C29" s="540" t="s">
        <v>70</v>
      </c>
      <c r="D29" s="522"/>
      <c r="E29" s="509"/>
      <c r="F29" s="599">
        <f>F27*F28</f>
        <v>2465169.263195883</v>
      </c>
      <c r="G29" s="577">
        <f>G27*G28</f>
        <v>1431030.7572852101</v>
      </c>
      <c r="H29" s="600">
        <f>H27*H28</f>
        <v>1034138.5059106728</v>
      </c>
      <c r="I29" s="562"/>
      <c r="J29" s="581">
        <f>J27*J28</f>
        <v>2671266.0294369771</v>
      </c>
      <c r="K29" s="582">
        <f>K27*K28</f>
        <v>1550669.9300881652</v>
      </c>
      <c r="L29" s="583">
        <f>L27*L28</f>
        <v>1120596.0993488119</v>
      </c>
      <c r="M29" s="529"/>
      <c r="N29" s="581">
        <f t="shared" ref="N29" si="8">J29-SUM(E29:F29)</f>
        <v>206096.7662410941</v>
      </c>
      <c r="O29" s="582">
        <f t="shared" ref="O29:P29" si="9">K29-G29</f>
        <v>119639.17280295515</v>
      </c>
      <c r="P29" s="583">
        <f t="shared" si="9"/>
        <v>86457.593438139069</v>
      </c>
      <c r="R29" s="601">
        <f>R27*R28</f>
        <v>2701418.9952946901</v>
      </c>
      <c r="S29" s="387">
        <f>S27*S28</f>
        <v>1568173.7267685677</v>
      </c>
      <c r="T29" s="525">
        <f>T27*T28</f>
        <v>1133245.2685261227</v>
      </c>
      <c r="V29" s="581">
        <f>R29-J29</f>
        <v>30152.965857713018</v>
      </c>
      <c r="W29" s="582">
        <f>S29-K29</f>
        <v>17503.796680402476</v>
      </c>
      <c r="X29" s="583">
        <f>T29-L29</f>
        <v>12649.169177310774</v>
      </c>
    </row>
    <row r="30" spans="1:24" s="126" customFormat="1" x14ac:dyDescent="0.2">
      <c r="B30" s="520"/>
      <c r="C30" s="540"/>
      <c r="D30" s="522"/>
      <c r="E30" s="509"/>
      <c r="F30" s="602"/>
      <c r="G30" s="94"/>
      <c r="H30" s="603"/>
      <c r="I30" s="562"/>
      <c r="J30" s="531"/>
      <c r="K30" s="95"/>
      <c r="L30" s="96"/>
      <c r="M30" s="529"/>
      <c r="N30" s="570"/>
      <c r="O30" s="95"/>
      <c r="P30" s="96"/>
      <c r="R30" s="568"/>
      <c r="S30" s="127"/>
      <c r="T30" s="569"/>
      <c r="V30" s="570"/>
      <c r="W30" s="95"/>
      <c r="X30" s="96"/>
    </row>
    <row r="31" spans="1:24" s="126" customFormat="1" x14ac:dyDescent="0.2">
      <c r="B31" s="501" t="s">
        <v>30</v>
      </c>
      <c r="C31" s="502" t="s">
        <v>29</v>
      </c>
      <c r="D31" s="502" t="s">
        <v>28</v>
      </c>
      <c r="E31" s="506"/>
      <c r="F31" s="506" t="s">
        <v>27</v>
      </c>
      <c r="G31" s="502" t="s">
        <v>17</v>
      </c>
      <c r="H31" s="504" t="s">
        <v>18</v>
      </c>
      <c r="I31" s="562"/>
      <c r="J31" s="508" t="s">
        <v>27</v>
      </c>
      <c r="K31" s="509" t="s">
        <v>17</v>
      </c>
      <c r="L31" s="510" t="s">
        <v>18</v>
      </c>
      <c r="M31" s="67"/>
      <c r="N31" s="508" t="s">
        <v>27</v>
      </c>
      <c r="O31" s="509" t="s">
        <v>17</v>
      </c>
      <c r="P31" s="510" t="s">
        <v>18</v>
      </c>
      <c r="R31" s="568" t="s">
        <v>27</v>
      </c>
      <c r="S31" s="127" t="s">
        <v>17</v>
      </c>
      <c r="T31" s="569" t="s">
        <v>18</v>
      </c>
      <c r="V31" s="508" t="s">
        <v>27</v>
      </c>
      <c r="W31" s="509" t="s">
        <v>17</v>
      </c>
      <c r="X31" s="510" t="s">
        <v>18</v>
      </c>
    </row>
    <row r="32" spans="1:24" s="126" customFormat="1" x14ac:dyDescent="0.2">
      <c r="B32" s="512"/>
      <c r="C32" s="513"/>
      <c r="D32" s="513"/>
      <c r="E32" s="513"/>
      <c r="F32" s="513"/>
      <c r="G32" s="514">
        <f>G8</f>
        <v>0.6038</v>
      </c>
      <c r="H32" s="515">
        <f>H8</f>
        <v>0.3962</v>
      </c>
      <c r="I32" s="562"/>
      <c r="J32" s="574"/>
      <c r="K32" s="710">
        <f>G32</f>
        <v>0.6038</v>
      </c>
      <c r="L32" s="711">
        <f>H32</f>
        <v>0.3962</v>
      </c>
      <c r="N32" s="517"/>
      <c r="O32" s="518"/>
      <c r="P32" s="519"/>
      <c r="R32" s="574"/>
      <c r="S32" s="710">
        <f>K32</f>
        <v>0.6038</v>
      </c>
      <c r="T32" s="711">
        <f>L32</f>
        <v>0.3962</v>
      </c>
      <c r="V32" s="517"/>
      <c r="W32" s="518"/>
      <c r="X32" s="519"/>
    </row>
    <row r="33" spans="1:24" s="126" customFormat="1" x14ac:dyDescent="0.2">
      <c r="B33" s="520">
        <v>92400605</v>
      </c>
      <c r="C33" s="521" t="s">
        <v>19</v>
      </c>
      <c r="D33" s="522" t="s">
        <v>31</v>
      </c>
      <c r="E33" s="522"/>
      <c r="F33" s="523">
        <v>0</v>
      </c>
      <c r="G33" s="539">
        <f>$G$32*F33</f>
        <v>0</v>
      </c>
      <c r="H33" s="567">
        <f>$H$32*F33</f>
        <v>0</v>
      </c>
      <c r="I33" s="604"/>
      <c r="J33" s="531"/>
      <c r="K33" s="532"/>
      <c r="L33" s="533"/>
      <c r="M33" s="529"/>
      <c r="N33" s="605"/>
      <c r="O33" s="571"/>
      <c r="P33" s="572"/>
      <c r="R33" s="568"/>
      <c r="S33" s="127"/>
      <c r="T33" s="569"/>
      <c r="V33" s="605"/>
      <c r="W33" s="571"/>
      <c r="X33" s="572"/>
    </row>
    <row r="34" spans="1:24" s="126" customFormat="1" x14ac:dyDescent="0.2">
      <c r="B34" s="520">
        <v>92400631</v>
      </c>
      <c r="C34" s="521" t="s">
        <v>24</v>
      </c>
      <c r="D34" s="522" t="s">
        <v>31</v>
      </c>
      <c r="E34" s="522"/>
      <c r="F34" s="523">
        <f>'SAP Download'!B18</f>
        <v>0</v>
      </c>
      <c r="G34" s="539">
        <f>$G$32*F34</f>
        <v>0</v>
      </c>
      <c r="H34" s="567">
        <f>$H$32*F34</f>
        <v>0</v>
      </c>
      <c r="I34" s="604"/>
      <c r="J34" s="531">
        <f>'Liability Ins - RY'!D41</f>
        <v>13725</v>
      </c>
      <c r="K34" s="532">
        <f>$J34*K$32</f>
        <v>8287.1550000000007</v>
      </c>
      <c r="L34" s="533">
        <f>$J34*L$32</f>
        <v>5437.8450000000003</v>
      </c>
      <c r="M34" s="529"/>
      <c r="N34" s="531">
        <f t="shared" ref="N34:N35" si="10">J34-SUM(E34:F34)</f>
        <v>13725</v>
      </c>
      <c r="O34" s="532">
        <f t="shared" ref="O34:P35" si="11">K34-G34</f>
        <v>8287.1550000000007</v>
      </c>
      <c r="P34" s="533">
        <f t="shared" si="11"/>
        <v>5437.8450000000003</v>
      </c>
      <c r="R34" s="584">
        <f>'Liability Ins - RY (2)'!D41</f>
        <v>15115</v>
      </c>
      <c r="S34" s="536">
        <f>R34*S32</f>
        <v>9126.4369999999999</v>
      </c>
      <c r="T34" s="537">
        <f>R34*T32</f>
        <v>5988.5630000000001</v>
      </c>
      <c r="V34" s="531">
        <f t="shared" ref="V34:X35" si="12">R34-J34</f>
        <v>1390</v>
      </c>
      <c r="W34" s="532">
        <f t="shared" si="12"/>
        <v>839.28199999999924</v>
      </c>
      <c r="X34" s="533">
        <f t="shared" si="12"/>
        <v>550.71799999999985</v>
      </c>
    </row>
    <row r="35" spans="1:24" s="126" customFormat="1" x14ac:dyDescent="0.2">
      <c r="B35" s="520">
        <v>92400632</v>
      </c>
      <c r="C35" s="521" t="s">
        <v>21</v>
      </c>
      <c r="D35" s="522" t="s">
        <v>31</v>
      </c>
      <c r="E35" s="522"/>
      <c r="F35" s="606">
        <f>'SAP Download'!B19</f>
        <v>115750</v>
      </c>
      <c r="G35" s="607">
        <f>$G$32*F35</f>
        <v>69889.850000000006</v>
      </c>
      <c r="H35" s="608">
        <f>$H$32*F35</f>
        <v>45860.15</v>
      </c>
      <c r="I35" s="604"/>
      <c r="J35" s="531">
        <f>'Liability Ins - RY'!D39</f>
        <v>122500</v>
      </c>
      <c r="K35" s="532">
        <f>$J35*K$32</f>
        <v>73965.5</v>
      </c>
      <c r="L35" s="533">
        <f>$J35*L$32</f>
        <v>48534.5</v>
      </c>
      <c r="M35" s="529"/>
      <c r="N35" s="531">
        <f t="shared" si="10"/>
        <v>6750</v>
      </c>
      <c r="O35" s="532">
        <f t="shared" si="11"/>
        <v>4075.6499999999942</v>
      </c>
      <c r="P35" s="533">
        <f t="shared" si="11"/>
        <v>2674.3499999999985</v>
      </c>
      <c r="R35" s="584">
        <f>'Liability Ins - RY (2)'!D39</f>
        <v>122500</v>
      </c>
      <c r="S35" s="609">
        <f>R35*S32</f>
        <v>73965.5</v>
      </c>
      <c r="T35" s="610">
        <f>R35*T32</f>
        <v>48534.5</v>
      </c>
      <c r="V35" s="531">
        <f t="shared" si="12"/>
        <v>0</v>
      </c>
      <c r="W35" s="532">
        <f t="shared" si="12"/>
        <v>0</v>
      </c>
      <c r="X35" s="533">
        <f t="shared" si="12"/>
        <v>0</v>
      </c>
    </row>
    <row r="36" spans="1:24" s="126" customFormat="1" x14ac:dyDescent="0.2">
      <c r="B36" s="520"/>
      <c r="C36" s="540" t="s">
        <v>71</v>
      </c>
      <c r="D36" s="522"/>
      <c r="E36" s="611"/>
      <c r="F36" s="337">
        <f>SUM(F33:F35)</f>
        <v>115750</v>
      </c>
      <c r="G36" s="578">
        <f>SUM(G33:G35)</f>
        <v>69889.850000000006</v>
      </c>
      <c r="H36" s="579">
        <f>SUM(H33:H35)</f>
        <v>45860.15</v>
      </c>
      <c r="I36" s="604"/>
      <c r="J36" s="581">
        <f>SUM(J34:J35)</f>
        <v>136225</v>
      </c>
      <c r="K36" s="582">
        <f>SUM(K34:K35)</f>
        <v>82252.654999999999</v>
      </c>
      <c r="L36" s="583">
        <f>SUM(L34:L35)</f>
        <v>53972.345000000001</v>
      </c>
      <c r="M36" s="529"/>
      <c r="N36" s="581">
        <f>SUM(N34:N35)</f>
        <v>20475</v>
      </c>
      <c r="O36" s="582">
        <f>SUM(O34:O35)</f>
        <v>12362.804999999995</v>
      </c>
      <c r="P36" s="583">
        <f>SUM(P34:P35)</f>
        <v>8112.1949999999988</v>
      </c>
      <c r="R36" s="581">
        <f>SUM(R34:R35)</f>
        <v>137615</v>
      </c>
      <c r="S36" s="582">
        <f t="shared" ref="S36:T36" si="13">SUM(S34:S35)</f>
        <v>83091.937000000005</v>
      </c>
      <c r="T36" s="583">
        <f t="shared" si="13"/>
        <v>54523.063000000002</v>
      </c>
      <c r="V36" s="581">
        <f>SUM(V34:V35)</f>
        <v>1390</v>
      </c>
      <c r="W36" s="582">
        <f>SUM(W34:W35)</f>
        <v>839.28199999999924</v>
      </c>
      <c r="X36" s="583">
        <f>SUM(X34:X35)</f>
        <v>550.71799999999985</v>
      </c>
    </row>
    <row r="37" spans="1:24" s="126" customFormat="1" x14ac:dyDescent="0.2">
      <c r="B37" s="520"/>
      <c r="C37" s="540"/>
      <c r="D37" s="522"/>
      <c r="E37" s="611"/>
      <c r="F37" s="337"/>
      <c r="G37" s="611"/>
      <c r="H37" s="612"/>
      <c r="I37" s="604"/>
      <c r="J37" s="570"/>
      <c r="K37" s="527"/>
      <c r="L37" s="613"/>
      <c r="M37" s="529"/>
      <c r="N37" s="605"/>
      <c r="O37" s="571"/>
      <c r="P37" s="572"/>
      <c r="R37" s="568"/>
      <c r="S37" s="127"/>
      <c r="T37" s="569"/>
      <c r="V37" s="605"/>
      <c r="W37" s="571"/>
      <c r="X37" s="572"/>
    </row>
    <row r="38" spans="1:24" s="126" customFormat="1" ht="15" x14ac:dyDescent="0.25">
      <c r="B38" s="520">
        <v>92400005</v>
      </c>
      <c r="C38" s="614" t="s">
        <v>137</v>
      </c>
      <c r="D38" s="522" t="s">
        <v>127</v>
      </c>
      <c r="E38" s="611"/>
      <c r="F38" s="387">
        <f>'Colstrip 1&amp;2 2018 '!N23+'Colstrip 3&amp;4 2018'!N23</f>
        <v>565566.08000000007</v>
      </c>
      <c r="G38" s="566">
        <f>F38</f>
        <v>565566.08000000007</v>
      </c>
      <c r="H38" s="600">
        <v>0</v>
      </c>
      <c r="I38" s="604"/>
      <c r="J38" s="531">
        <f>SUM('Liability Ins - RY'!D45:D55)</f>
        <v>212393</v>
      </c>
      <c r="K38" s="532">
        <f>J38</f>
        <v>212393</v>
      </c>
      <c r="L38" s="533">
        <v>0</v>
      </c>
      <c r="M38" s="529"/>
      <c r="N38" s="531">
        <f t="shared" ref="N38:N39" si="14">J38-SUM(E38:F38)</f>
        <v>-353173.08000000007</v>
      </c>
      <c r="O38" s="532">
        <f t="shared" ref="O38:P39" si="15">K38-G38</f>
        <v>-353173.08000000007</v>
      </c>
      <c r="P38" s="533">
        <f t="shared" si="15"/>
        <v>0</v>
      </c>
      <c r="R38" s="584">
        <f>SUM('Liability Ins - RY (2)'!D45:D55)</f>
        <v>228590</v>
      </c>
      <c r="S38" s="255">
        <f>R38</f>
        <v>228590</v>
      </c>
      <c r="T38" s="569">
        <v>0</v>
      </c>
      <c r="V38" s="531">
        <f t="shared" ref="V38:X39" si="16">R38-J38</f>
        <v>16197</v>
      </c>
      <c r="W38" s="532">
        <f t="shared" si="16"/>
        <v>16197</v>
      </c>
      <c r="X38" s="533">
        <f t="shared" si="16"/>
        <v>0</v>
      </c>
    </row>
    <row r="39" spans="1:24" s="126" customFormat="1" ht="15" x14ac:dyDescent="0.25">
      <c r="B39" s="520">
        <v>92400005</v>
      </c>
      <c r="C39" s="614" t="s">
        <v>148</v>
      </c>
      <c r="D39" s="522" t="s">
        <v>127</v>
      </c>
      <c r="E39" s="611"/>
      <c r="F39" s="615">
        <f>'Freddy1 Ins 2018'!O14</f>
        <v>48837.123605833338</v>
      </c>
      <c r="G39" s="573">
        <f>F39</f>
        <v>48837.123605833338</v>
      </c>
      <c r="H39" s="616">
        <v>0</v>
      </c>
      <c r="I39" s="604"/>
      <c r="J39" s="531">
        <f>'Liability Ins - RY'!D59</f>
        <v>48837</v>
      </c>
      <c r="K39" s="532">
        <f>J39</f>
        <v>48837</v>
      </c>
      <c r="L39" s="533">
        <v>0</v>
      </c>
      <c r="M39" s="529"/>
      <c r="N39" s="531">
        <f t="shared" si="14"/>
        <v>-0.12360583333793329</v>
      </c>
      <c r="O39" s="532">
        <f t="shared" si="15"/>
        <v>-0.12360583333793329</v>
      </c>
      <c r="P39" s="533">
        <f t="shared" si="15"/>
        <v>0</v>
      </c>
      <c r="R39" s="584">
        <f>'Liability Ins - RY (2)'!D59</f>
        <v>54238</v>
      </c>
      <c r="S39" s="255">
        <f>R39</f>
        <v>54238</v>
      </c>
      <c r="T39" s="569">
        <v>0</v>
      </c>
      <c r="V39" s="531">
        <f t="shared" si="16"/>
        <v>5401</v>
      </c>
      <c r="W39" s="532">
        <f t="shared" si="16"/>
        <v>5401</v>
      </c>
      <c r="X39" s="533">
        <f t="shared" si="16"/>
        <v>0</v>
      </c>
    </row>
    <row r="40" spans="1:24" s="126" customFormat="1" x14ac:dyDescent="0.2">
      <c r="B40" s="520"/>
      <c r="C40" s="540" t="s">
        <v>149</v>
      </c>
      <c r="D40" s="522"/>
      <c r="E40" s="611"/>
      <c r="F40" s="566">
        <f>SUM(F38:F39)</f>
        <v>614403.20360583346</v>
      </c>
      <c r="G40" s="566">
        <f>SUM(G38:G39)</f>
        <v>614403.20360583346</v>
      </c>
      <c r="H40" s="600">
        <f>SUM(H38:H39)</f>
        <v>0</v>
      </c>
      <c r="I40" s="604"/>
      <c r="J40" s="581">
        <f>SUM(J38:J39)</f>
        <v>261230</v>
      </c>
      <c r="K40" s="582">
        <f>SUM(K38:K39)</f>
        <v>261230</v>
      </c>
      <c r="L40" s="583">
        <f>SUM(L38:L39)</f>
        <v>0</v>
      </c>
      <c r="M40" s="529"/>
      <c r="N40" s="581">
        <f>SUM(N38:N39)</f>
        <v>-353173.20360583341</v>
      </c>
      <c r="O40" s="582">
        <f>SUM(O38:O39)</f>
        <v>-353173.20360583341</v>
      </c>
      <c r="P40" s="583">
        <f>SUM(P38:P39)</f>
        <v>0</v>
      </c>
      <c r="R40" s="617">
        <f>SUM(R38:R39)</f>
        <v>282828</v>
      </c>
      <c r="S40" s="618">
        <f>SUM(S38:S39)</f>
        <v>282828</v>
      </c>
      <c r="T40" s="619">
        <f>SUM(T38:T39)</f>
        <v>0</v>
      </c>
      <c r="V40" s="581">
        <f>SUM(V38:V39)</f>
        <v>21598</v>
      </c>
      <c r="W40" s="582">
        <f>SUM(W38:W39)</f>
        <v>21598</v>
      </c>
      <c r="X40" s="583">
        <f>SUM(X38:X39)</f>
        <v>0</v>
      </c>
    </row>
    <row r="41" spans="1:24" s="126" customFormat="1" x14ac:dyDescent="0.2">
      <c r="B41" s="520"/>
      <c r="C41" s="540"/>
      <c r="D41" s="522"/>
      <c r="E41" s="620"/>
      <c r="F41" s="127"/>
      <c r="G41" s="95"/>
      <c r="H41" s="96"/>
      <c r="J41" s="621"/>
      <c r="K41" s="97"/>
      <c r="L41" s="99"/>
      <c r="M41" s="529"/>
      <c r="N41" s="621"/>
      <c r="O41" s="97"/>
      <c r="P41" s="99"/>
      <c r="R41" s="568"/>
      <c r="S41" s="127"/>
      <c r="T41" s="569"/>
      <c r="V41" s="621"/>
      <c r="W41" s="97"/>
      <c r="X41" s="99"/>
    </row>
    <row r="42" spans="1:24" ht="13.5" thickBot="1" x14ac:dyDescent="0.25">
      <c r="A42" s="126"/>
      <c r="B42" s="538"/>
      <c r="C42" s="540" t="s">
        <v>56</v>
      </c>
      <c r="D42" s="522"/>
      <c r="E42" s="522"/>
      <c r="F42" s="546">
        <f>F29+F36+F40</f>
        <v>3195322.4668017165</v>
      </c>
      <c r="G42" s="622">
        <f>G29+G36+G40</f>
        <v>2115323.8108910434</v>
      </c>
      <c r="H42" s="623">
        <f>H29+H36+H40</f>
        <v>1079998.6559106729</v>
      </c>
      <c r="I42" s="624"/>
      <c r="J42" s="545">
        <f>J29+J36+J40</f>
        <v>3068721.0294369771</v>
      </c>
      <c r="K42" s="622">
        <f>K29+K36+K40</f>
        <v>1894152.5850881652</v>
      </c>
      <c r="L42" s="623">
        <f>L29+L36+L40</f>
        <v>1174568.4443488119</v>
      </c>
      <c r="M42" s="529"/>
      <c r="N42" s="625">
        <f t="shared" ref="N42:P42" si="17">N29+N36+N40</f>
        <v>-126601.43736473931</v>
      </c>
      <c r="O42" s="623">
        <f t="shared" si="17"/>
        <v>-221171.22580287827</v>
      </c>
      <c r="P42" s="547">
        <f t="shared" si="17"/>
        <v>94569.788438139061</v>
      </c>
      <c r="R42" s="626">
        <f>R29+R36+R40</f>
        <v>3121861.9952946901</v>
      </c>
      <c r="S42" s="627">
        <f>S29+S36+S40</f>
        <v>1934093.6637685676</v>
      </c>
      <c r="T42" s="628">
        <f>T29+T36+T40</f>
        <v>1187768.3315261228</v>
      </c>
      <c r="V42" s="625">
        <f t="shared" ref="V42:X42" si="18">V29+V36+V40</f>
        <v>53140.965857713018</v>
      </c>
      <c r="W42" s="623">
        <f t="shared" si="18"/>
        <v>39941.078680402476</v>
      </c>
      <c r="X42" s="547">
        <f t="shared" si="18"/>
        <v>13199.887177310775</v>
      </c>
    </row>
    <row r="43" spans="1:24" ht="14.25" thickTop="1" thickBot="1" x14ac:dyDescent="0.25">
      <c r="A43" s="126"/>
      <c r="B43" s="629"/>
      <c r="C43" s="630"/>
      <c r="D43" s="630"/>
      <c r="E43" s="630"/>
      <c r="F43" s="551"/>
      <c r="G43" s="551"/>
      <c r="H43" s="631"/>
      <c r="I43" s="124"/>
      <c r="J43" s="632"/>
      <c r="K43" s="633"/>
      <c r="L43" s="634"/>
      <c r="M43" s="529"/>
      <c r="N43" s="635"/>
      <c r="O43" s="636"/>
      <c r="P43" s="637"/>
      <c r="R43" s="557"/>
      <c r="S43" s="558"/>
      <c r="T43" s="559"/>
      <c r="V43" s="635"/>
      <c r="W43" s="636"/>
      <c r="X43" s="637"/>
    </row>
    <row r="44" spans="1:24" x14ac:dyDescent="0.2">
      <c r="A44" s="126"/>
      <c r="B44" s="124"/>
      <c r="C44" s="124"/>
      <c r="D44" s="124"/>
      <c r="E44" s="124"/>
      <c r="F44" s="491"/>
      <c r="G44" s="491"/>
      <c r="H44" s="124"/>
      <c r="I44" s="124"/>
      <c r="J44" s="529"/>
      <c r="K44" s="529"/>
      <c r="L44" s="529"/>
      <c r="M44" s="529"/>
      <c r="N44" s="529"/>
      <c r="O44" s="638"/>
      <c r="P44" s="638"/>
    </row>
    <row r="45" spans="1:24" x14ac:dyDescent="0.2">
      <c r="A45" s="126"/>
      <c r="B45" s="124"/>
      <c r="C45" s="124"/>
      <c r="D45" s="124"/>
      <c r="E45" s="124"/>
      <c r="F45" s="491"/>
      <c r="G45" s="491"/>
      <c r="H45" s="124"/>
      <c r="I45" s="124"/>
      <c r="J45" s="529"/>
      <c r="K45" s="529"/>
      <c r="L45" s="529"/>
      <c r="M45" s="529"/>
      <c r="N45" s="529"/>
      <c r="O45" s="638"/>
      <c r="P45" s="638"/>
    </row>
    <row r="46" spans="1:24" x14ac:dyDescent="0.2">
      <c r="A46" s="126"/>
      <c r="B46" s="124"/>
      <c r="C46" s="124"/>
      <c r="D46" s="124"/>
      <c r="E46" s="124"/>
      <c r="F46" s="491"/>
      <c r="G46" s="491"/>
      <c r="H46" s="124"/>
      <c r="I46" s="124"/>
      <c r="J46" s="529"/>
      <c r="K46" s="529"/>
      <c r="L46" s="529"/>
      <c r="M46" s="529"/>
      <c r="N46" s="529"/>
      <c r="O46" s="638"/>
      <c r="P46" s="638"/>
    </row>
    <row r="47" spans="1:24" x14ac:dyDescent="0.2">
      <c r="A47" s="126"/>
      <c r="B47" s="124"/>
      <c r="C47" s="124"/>
      <c r="D47" s="124"/>
      <c r="E47" s="124"/>
      <c r="F47" s="491"/>
      <c r="G47" s="491"/>
      <c r="H47" s="124"/>
      <c r="I47" s="492"/>
      <c r="J47" s="492"/>
      <c r="K47" s="492"/>
      <c r="L47" s="492"/>
      <c r="M47" s="492"/>
      <c r="N47" s="492"/>
    </row>
    <row r="48" spans="1:24" x14ac:dyDescent="0.2">
      <c r="A48" s="126"/>
      <c r="B48" s="124"/>
      <c r="C48" s="124"/>
      <c r="D48" s="124"/>
      <c r="E48" s="124"/>
      <c r="F48" s="491"/>
      <c r="G48" s="491"/>
      <c r="H48" s="124"/>
      <c r="I48" s="492"/>
      <c r="J48" s="492"/>
      <c r="K48" s="492"/>
      <c r="L48" s="492"/>
      <c r="M48" s="492"/>
      <c r="N48" s="492"/>
    </row>
    <row r="49" spans="1:14" x14ac:dyDescent="0.2">
      <c r="A49" s="126"/>
      <c r="B49" s="124"/>
      <c r="C49" s="124"/>
      <c r="D49" s="124"/>
      <c r="E49" s="124"/>
      <c r="F49" s="491"/>
      <c r="G49" s="491"/>
      <c r="H49" s="124"/>
      <c r="I49" s="492"/>
      <c r="J49" s="492"/>
      <c r="K49" s="492"/>
      <c r="L49" s="492"/>
      <c r="M49" s="492"/>
      <c r="N49" s="492"/>
    </row>
    <row r="50" spans="1:14" x14ac:dyDescent="0.2">
      <c r="A50" s="126"/>
      <c r="B50" s="124"/>
      <c r="C50" s="124"/>
      <c r="D50" s="124"/>
      <c r="E50" s="124"/>
      <c r="F50" s="491"/>
      <c r="G50" s="491"/>
      <c r="H50" s="124"/>
      <c r="I50" s="492"/>
      <c r="J50" s="492"/>
      <c r="K50" s="492"/>
      <c r="L50" s="492"/>
      <c r="M50" s="492"/>
      <c r="N50" s="492"/>
    </row>
    <row r="51" spans="1:14" x14ac:dyDescent="0.2">
      <c r="A51" s="126"/>
      <c r="B51" s="124"/>
      <c r="C51" s="124"/>
      <c r="D51" s="124"/>
      <c r="E51" s="124"/>
      <c r="F51" s="491"/>
      <c r="G51" s="491"/>
      <c r="H51" s="124"/>
      <c r="I51" s="492"/>
      <c r="J51" s="492"/>
      <c r="K51" s="492"/>
      <c r="L51" s="492"/>
      <c r="M51" s="492"/>
      <c r="N51" s="492"/>
    </row>
    <row r="52" spans="1:14" x14ac:dyDescent="0.2">
      <c r="A52" s="126"/>
      <c r="B52" s="124"/>
      <c r="C52" s="124"/>
      <c r="D52" s="124"/>
      <c r="E52" s="124"/>
      <c r="F52" s="491"/>
      <c r="G52" s="491"/>
      <c r="H52" s="124"/>
      <c r="I52" s="492"/>
      <c r="J52" s="492"/>
      <c r="K52" s="492"/>
      <c r="L52" s="492"/>
      <c r="M52" s="492"/>
      <c r="N52" s="492"/>
    </row>
    <row r="53" spans="1:14" x14ac:dyDescent="0.2">
      <c r="A53" s="126"/>
      <c r="B53" s="124"/>
      <c r="C53" s="124"/>
      <c r="D53" s="124"/>
      <c r="E53" s="124"/>
      <c r="F53" s="491"/>
      <c r="G53" s="491"/>
      <c r="H53" s="124"/>
      <c r="I53" s="492"/>
      <c r="J53" s="492"/>
      <c r="K53" s="492"/>
      <c r="L53" s="492"/>
      <c r="M53" s="492"/>
      <c r="N53" s="492"/>
    </row>
    <row r="54" spans="1:14" x14ac:dyDescent="0.2">
      <c r="B54" s="492"/>
      <c r="C54" s="492"/>
      <c r="D54" s="492"/>
      <c r="E54" s="492"/>
      <c r="F54" s="639"/>
      <c r="G54" s="639"/>
      <c r="H54" s="492"/>
      <c r="I54" s="492"/>
      <c r="J54" s="492"/>
      <c r="K54" s="492"/>
      <c r="L54" s="492"/>
      <c r="M54" s="492"/>
      <c r="N54" s="492"/>
    </row>
    <row r="55" spans="1:14" x14ac:dyDescent="0.2">
      <c r="B55" s="492"/>
      <c r="C55" s="492"/>
      <c r="D55" s="492"/>
      <c r="E55" s="492"/>
      <c r="F55" s="639"/>
      <c r="G55" s="639"/>
      <c r="H55" s="492"/>
      <c r="I55" s="492"/>
      <c r="J55" s="492"/>
      <c r="K55" s="492"/>
      <c r="L55" s="492"/>
      <c r="M55" s="492"/>
      <c r="N55" s="492"/>
    </row>
    <row r="56" spans="1:14" x14ac:dyDescent="0.2">
      <c r="B56" s="492"/>
      <c r="C56" s="492"/>
      <c r="D56" s="492"/>
      <c r="E56" s="492"/>
      <c r="F56" s="639"/>
      <c r="G56" s="639"/>
      <c r="H56" s="492"/>
      <c r="I56" s="492"/>
      <c r="J56" s="492"/>
      <c r="K56" s="492"/>
      <c r="L56" s="492"/>
      <c r="M56" s="492"/>
      <c r="N56" s="492"/>
    </row>
    <row r="57" spans="1:14" x14ac:dyDescent="0.2">
      <c r="B57" s="492"/>
      <c r="C57" s="492"/>
      <c r="D57" s="492"/>
      <c r="E57" s="492"/>
      <c r="F57" s="639"/>
      <c r="G57" s="639"/>
      <c r="H57" s="492"/>
      <c r="I57" s="492"/>
      <c r="J57" s="492"/>
      <c r="K57" s="492"/>
      <c r="L57" s="492"/>
      <c r="M57" s="492"/>
      <c r="N57" s="492"/>
    </row>
  </sheetData>
  <mergeCells count="2">
    <mergeCell ref="B6:H6"/>
    <mergeCell ref="B19:H19"/>
  </mergeCells>
  <printOptions horizontalCentered="1"/>
  <pageMargins left="0.2" right="0.21" top="0.52" bottom="0.42" header="0.39" footer="0.41"/>
  <pageSetup scale="1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7"/>
  <sheetViews>
    <sheetView zoomScale="82" zoomScaleNormal="82" workbookViewId="0">
      <selection activeCell="D31" sqref="D31"/>
    </sheetView>
  </sheetViews>
  <sheetFormatPr defaultRowHeight="12.75" x14ac:dyDescent="0.2"/>
  <cols>
    <col min="1" max="1" width="60.7109375" customWidth="1"/>
    <col min="2" max="2" width="13.5703125" customWidth="1"/>
    <col min="3" max="3" width="17.7109375" customWidth="1"/>
    <col min="4" max="6" width="13.5703125" customWidth="1"/>
    <col min="7" max="7" width="16" customWidth="1"/>
    <col min="8" max="8" width="13.5703125" customWidth="1"/>
    <col min="9" max="10" width="16.7109375" customWidth="1"/>
    <col min="11" max="11" width="14.85546875" bestFit="1" customWidth="1"/>
    <col min="12" max="12" width="13.5703125" customWidth="1"/>
    <col min="13" max="13" width="18.42578125" customWidth="1"/>
    <col min="14" max="14" width="13.5703125" customWidth="1"/>
    <col min="15" max="15" width="7.7109375" customWidth="1"/>
    <col min="16" max="16" width="2.85546875" customWidth="1"/>
    <col min="17" max="17" width="10.7109375" bestFit="1" customWidth="1"/>
    <col min="18" max="18" width="11.42578125" bestFit="1" customWidth="1"/>
    <col min="19" max="19" width="13.140625" bestFit="1" customWidth="1"/>
    <col min="20" max="20" width="10.42578125" bestFit="1" customWidth="1"/>
    <col min="21" max="21" width="13.140625" bestFit="1" customWidth="1"/>
  </cols>
  <sheetData>
    <row r="1" spans="1:26" ht="15" x14ac:dyDescent="0.25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26" ht="18.75" x14ac:dyDescent="0.3">
      <c r="A2" s="46" t="s">
        <v>185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269"/>
      <c r="M2" s="269"/>
      <c r="N2" s="269"/>
    </row>
    <row r="3" spans="1:26" ht="13.5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26" s="8" customFormat="1" ht="15" x14ac:dyDescent="0.25">
      <c r="A4" s="48" t="s">
        <v>99</v>
      </c>
      <c r="B4" s="49" t="s">
        <v>79</v>
      </c>
      <c r="C4" s="50">
        <v>43435</v>
      </c>
      <c r="D4" s="50">
        <v>43405</v>
      </c>
      <c r="E4" s="50">
        <v>43374</v>
      </c>
      <c r="F4" s="50">
        <v>43344</v>
      </c>
      <c r="G4" s="50">
        <v>43313</v>
      </c>
      <c r="H4" s="50">
        <v>43282</v>
      </c>
      <c r="I4" s="50">
        <v>43252</v>
      </c>
      <c r="J4" s="50">
        <v>43221</v>
      </c>
      <c r="K4" s="50">
        <v>43191</v>
      </c>
      <c r="L4" s="50">
        <v>43160</v>
      </c>
      <c r="M4" s="50">
        <v>43132</v>
      </c>
      <c r="N4" s="51">
        <v>43118</v>
      </c>
      <c r="W4"/>
      <c r="X4"/>
      <c r="Y4"/>
      <c r="Z4"/>
    </row>
    <row r="5" spans="1:26" s="9" customFormat="1" ht="13.15" customHeight="1" x14ac:dyDescent="0.25">
      <c r="A5" s="184" t="s">
        <v>184</v>
      </c>
      <c r="B5" s="52">
        <f>SUM(C5:N5)</f>
        <v>11387.11</v>
      </c>
      <c r="C5" s="185">
        <v>0</v>
      </c>
      <c r="D5" s="185">
        <v>0</v>
      </c>
      <c r="E5" s="185">
        <v>0</v>
      </c>
      <c r="F5" s="185">
        <v>0</v>
      </c>
      <c r="G5" s="185">
        <v>0</v>
      </c>
      <c r="H5" s="185">
        <v>0</v>
      </c>
      <c r="I5" s="185">
        <v>0</v>
      </c>
      <c r="J5" s="185">
        <v>0</v>
      </c>
      <c r="K5" s="185">
        <v>11387.11</v>
      </c>
      <c r="L5" s="185">
        <v>0</v>
      </c>
      <c r="M5" s="185">
        <v>0</v>
      </c>
      <c r="N5" s="185">
        <v>0</v>
      </c>
      <c r="O5" s="39"/>
      <c r="P5" s="39"/>
      <c r="Q5" s="39"/>
      <c r="R5" s="39"/>
      <c r="S5" s="39"/>
      <c r="T5" s="39"/>
      <c r="U5" s="39"/>
    </row>
    <row r="6" spans="1:26" s="9" customFormat="1" ht="13.15" customHeight="1" x14ac:dyDescent="0.25">
      <c r="A6" s="184" t="s">
        <v>324</v>
      </c>
      <c r="B6" s="52">
        <f>SUM(C6:N6)</f>
        <v>48670.469999999987</v>
      </c>
      <c r="C6" s="185">
        <v>3711.74</v>
      </c>
      <c r="D6" s="185">
        <v>3711.74</v>
      </c>
      <c r="E6" s="185">
        <v>3711.74</v>
      </c>
      <c r="F6" s="185">
        <v>3711.74</v>
      </c>
      <c r="G6" s="185">
        <v>3711.74</v>
      </c>
      <c r="H6" s="185">
        <v>3711.74</v>
      </c>
      <c r="I6" s="185">
        <v>3711.74</v>
      </c>
      <c r="J6" s="185">
        <v>4419.74</v>
      </c>
      <c r="K6" s="185">
        <v>3711.74</v>
      </c>
      <c r="L6" s="185">
        <v>4852.25</v>
      </c>
      <c r="M6" s="185">
        <v>4852.28</v>
      </c>
      <c r="N6" s="185">
        <v>4852.28</v>
      </c>
      <c r="O6" s="39"/>
      <c r="P6" s="39"/>
      <c r="Q6" s="39"/>
      <c r="R6" s="39"/>
      <c r="S6" s="39"/>
      <c r="T6" s="39"/>
      <c r="U6" s="39"/>
    </row>
    <row r="7" spans="1:26" s="9" customFormat="1" ht="13.15" customHeight="1" x14ac:dyDescent="0.25">
      <c r="A7" s="184" t="s">
        <v>325</v>
      </c>
      <c r="B7" s="52">
        <f t="shared" ref="B7:B9" si="0">SUM(C7:N7)</f>
        <v>2606398.02</v>
      </c>
      <c r="C7" s="185">
        <v>206945.76</v>
      </c>
      <c r="D7" s="185">
        <v>206945.76</v>
      </c>
      <c r="E7" s="185">
        <v>206945.76</v>
      </c>
      <c r="F7" s="185">
        <v>206945.76</v>
      </c>
      <c r="G7" s="185">
        <v>206945.76</v>
      </c>
      <c r="H7" s="185">
        <v>206945.76</v>
      </c>
      <c r="I7" s="185">
        <v>206945.76</v>
      </c>
      <c r="J7" s="185">
        <v>206945.76</v>
      </c>
      <c r="K7" s="185">
        <v>207354.42</v>
      </c>
      <c r="L7" s="185">
        <v>247825.82</v>
      </c>
      <c r="M7" s="185">
        <v>247825.85</v>
      </c>
      <c r="N7" s="185">
        <v>247825.85</v>
      </c>
      <c r="O7" s="39"/>
      <c r="P7" s="39"/>
      <c r="Q7" s="39"/>
      <c r="R7" s="39"/>
      <c r="S7" s="39"/>
      <c r="T7" s="39"/>
      <c r="U7" s="39"/>
    </row>
    <row r="8" spans="1:26" s="9" customFormat="1" ht="13.15" customHeight="1" x14ac:dyDescent="0.25">
      <c r="A8" s="184" t="s">
        <v>326</v>
      </c>
      <c r="B8" s="52">
        <f t="shared" si="0"/>
        <v>197881.39</v>
      </c>
      <c r="C8" s="185">
        <v>11548.98</v>
      </c>
      <c r="D8" s="185">
        <v>11548.98</v>
      </c>
      <c r="E8" s="185">
        <v>11548.98</v>
      </c>
      <c r="F8" s="185">
        <v>11548.98</v>
      </c>
      <c r="G8" s="185">
        <v>53900.959999999999</v>
      </c>
      <c r="H8" s="185">
        <v>11548.98</v>
      </c>
      <c r="I8" s="185">
        <v>11548.98</v>
      </c>
      <c r="J8" s="185">
        <v>11548.98</v>
      </c>
      <c r="K8" s="185">
        <v>11548.98</v>
      </c>
      <c r="L8" s="185">
        <v>17196.21</v>
      </c>
      <c r="M8" s="268">
        <v>17196.189999999999</v>
      </c>
      <c r="N8" s="185">
        <v>17196.189999999999</v>
      </c>
      <c r="O8" s="39"/>
      <c r="P8" s="39"/>
      <c r="Q8" s="39"/>
      <c r="R8" s="39"/>
      <c r="S8" s="39"/>
      <c r="T8" s="39"/>
      <c r="U8" s="39"/>
    </row>
    <row r="9" spans="1:26" s="9" customFormat="1" ht="13.15" customHeight="1" x14ac:dyDescent="0.25">
      <c r="A9" s="184" t="s">
        <v>327</v>
      </c>
      <c r="B9" s="274">
        <f t="shared" si="0"/>
        <v>28757.719999999998</v>
      </c>
      <c r="C9" s="275">
        <v>2332.3000000000002</v>
      </c>
      <c r="D9" s="275">
        <v>2332.3000000000002</v>
      </c>
      <c r="E9" s="275">
        <v>2332.3000000000002</v>
      </c>
      <c r="F9" s="275">
        <v>2332.3000000000002</v>
      </c>
      <c r="G9" s="275">
        <v>2332.3000000000002</v>
      </c>
      <c r="H9" s="275">
        <v>2332.3000000000002</v>
      </c>
      <c r="I9" s="275">
        <v>2332.3000000000002</v>
      </c>
      <c r="J9" s="275">
        <v>2332.3000000000002</v>
      </c>
      <c r="K9" s="275">
        <v>2332.3000000000002</v>
      </c>
      <c r="L9" s="275">
        <v>2588.98</v>
      </c>
      <c r="M9" s="275">
        <v>2589.02</v>
      </c>
      <c r="N9" s="275">
        <v>2589.02</v>
      </c>
      <c r="O9" s="39"/>
      <c r="P9" s="39"/>
      <c r="Q9" s="39"/>
      <c r="R9" s="39"/>
      <c r="S9" s="39"/>
      <c r="T9" s="39"/>
      <c r="U9" s="39"/>
    </row>
    <row r="10" spans="1:26" s="9" customFormat="1" ht="15.75" thickBot="1" x14ac:dyDescent="0.3">
      <c r="A10" s="55" t="s">
        <v>96</v>
      </c>
      <c r="B10" s="56">
        <f>SUM(B5:B9)</f>
        <v>2893094.7100000004</v>
      </c>
      <c r="C10" s="57">
        <f>SUM(C5:C9)</f>
        <v>224538.78</v>
      </c>
      <c r="D10" s="57">
        <f t="shared" ref="D10:N10" si="1">SUM(D5:D9)</f>
        <v>224538.78</v>
      </c>
      <c r="E10" s="57">
        <f t="shared" si="1"/>
        <v>224538.78</v>
      </c>
      <c r="F10" s="57">
        <f>SUM(F5:F9)</f>
        <v>224538.78</v>
      </c>
      <c r="G10" s="57">
        <f>SUM(G5:G9)</f>
        <v>266890.76</v>
      </c>
      <c r="H10" s="57">
        <f t="shared" si="1"/>
        <v>224538.78</v>
      </c>
      <c r="I10" s="57">
        <f t="shared" si="1"/>
        <v>224538.78</v>
      </c>
      <c r="J10" s="57">
        <f t="shared" si="1"/>
        <v>225246.78</v>
      </c>
      <c r="K10" s="57">
        <f t="shared" si="1"/>
        <v>236334.55000000002</v>
      </c>
      <c r="L10" s="57">
        <f t="shared" si="1"/>
        <v>272463.26</v>
      </c>
      <c r="M10" s="57">
        <f>SUM(M5:M9)</f>
        <v>272463.34000000003</v>
      </c>
      <c r="N10" s="58">
        <f t="shared" si="1"/>
        <v>272463.34000000003</v>
      </c>
      <c r="O10" s="39"/>
      <c r="P10" s="39"/>
      <c r="Q10" s="39"/>
      <c r="R10" s="39"/>
      <c r="S10" s="39"/>
      <c r="T10" s="39"/>
      <c r="U10" s="39"/>
    </row>
    <row r="11" spans="1:26" s="9" customFormat="1" ht="8.4499999999999993" customHeight="1" thickBot="1" x14ac:dyDescent="0.3">
      <c r="A11" s="77"/>
      <c r="B11" s="280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9"/>
      <c r="O11" s="39"/>
      <c r="P11" s="39"/>
      <c r="Q11" s="39"/>
      <c r="R11" s="39"/>
      <c r="S11" s="39"/>
      <c r="T11" s="39"/>
      <c r="U11" s="39"/>
    </row>
    <row r="12" spans="1:26" s="9" customFormat="1" ht="13.15" customHeight="1" x14ac:dyDescent="0.25">
      <c r="A12" s="48" t="s">
        <v>100</v>
      </c>
      <c r="B12" s="279" t="s">
        <v>79</v>
      </c>
      <c r="C12" s="50">
        <v>43435</v>
      </c>
      <c r="D12" s="50">
        <v>43405</v>
      </c>
      <c r="E12" s="50">
        <v>43374</v>
      </c>
      <c r="F12" s="50">
        <v>43344</v>
      </c>
      <c r="G12" s="50">
        <v>43313</v>
      </c>
      <c r="H12" s="50">
        <v>43282</v>
      </c>
      <c r="I12" s="50">
        <v>43252</v>
      </c>
      <c r="J12" s="50">
        <v>43221</v>
      </c>
      <c r="K12" s="50">
        <v>43191</v>
      </c>
      <c r="L12" s="50">
        <v>43160</v>
      </c>
      <c r="M12" s="50">
        <v>43132</v>
      </c>
      <c r="N12" s="51">
        <v>43118</v>
      </c>
      <c r="O12" s="39"/>
      <c r="P12" s="39"/>
      <c r="Q12" s="39"/>
      <c r="R12" s="39"/>
      <c r="S12" s="39"/>
      <c r="T12" s="39"/>
      <c r="U12" s="39"/>
    </row>
    <row r="13" spans="1:26" s="9" customFormat="1" ht="15.6" customHeight="1" x14ac:dyDescent="0.25">
      <c r="A13" s="276" t="s">
        <v>186</v>
      </c>
      <c r="B13" s="277">
        <f t="shared" ref="B13:B18" si="2">SUM(C13:N13)</f>
        <v>482997.92</v>
      </c>
      <c r="C13" s="277">
        <v>48369.61</v>
      </c>
      <c r="D13" s="277">
        <v>89094.61</v>
      </c>
      <c r="E13" s="277">
        <v>33254.61</v>
      </c>
      <c r="F13" s="277">
        <v>33254.61</v>
      </c>
      <c r="G13" s="277">
        <v>33254.61</v>
      </c>
      <c r="H13" s="277">
        <v>33254.61</v>
      </c>
      <c r="I13" s="277">
        <v>33254.61</v>
      </c>
      <c r="J13" s="277">
        <v>65926.61</v>
      </c>
      <c r="K13" s="277">
        <v>24902.26</v>
      </c>
      <c r="L13" s="277">
        <v>24902.26</v>
      </c>
      <c r="M13" s="277">
        <v>24902.26</v>
      </c>
      <c r="N13" s="277">
        <v>38627.26</v>
      </c>
      <c r="O13" s="39"/>
      <c r="P13" s="39"/>
      <c r="Q13" s="39"/>
      <c r="R13" s="39"/>
      <c r="S13" s="39"/>
      <c r="T13" s="39"/>
      <c r="U13" s="39"/>
    </row>
    <row r="14" spans="1:26" s="9" customFormat="1" ht="15.6" customHeight="1" x14ac:dyDescent="0.25">
      <c r="A14" s="90" t="s">
        <v>311</v>
      </c>
      <c r="B14" s="277">
        <f t="shared" si="2"/>
        <v>0</v>
      </c>
      <c r="C14" s="277"/>
      <c r="D14" s="277"/>
      <c r="E14" s="277"/>
      <c r="F14" s="277"/>
      <c r="G14" s="277"/>
      <c r="H14" s="277"/>
      <c r="I14" s="277"/>
      <c r="J14" s="277"/>
      <c r="K14" s="277"/>
      <c r="L14" s="277"/>
      <c r="M14" s="277"/>
      <c r="N14" s="277"/>
      <c r="O14" s="39"/>
      <c r="P14" s="39"/>
      <c r="Q14" s="39"/>
      <c r="R14" s="39"/>
      <c r="S14" s="39"/>
      <c r="T14" s="39"/>
      <c r="U14" s="39"/>
    </row>
    <row r="15" spans="1:26" s="9" customFormat="1" ht="15.6" customHeight="1" x14ac:dyDescent="0.25">
      <c r="A15" s="276" t="s">
        <v>312</v>
      </c>
      <c r="B15" s="277">
        <f>SUM(C15:N15)</f>
        <v>4325123.3400000008</v>
      </c>
      <c r="C15" s="277">
        <v>278283.8</v>
      </c>
      <c r="D15" s="277">
        <v>383374.14</v>
      </c>
      <c r="E15" s="277">
        <v>383374.14</v>
      </c>
      <c r="F15" s="277">
        <v>383374.14</v>
      </c>
      <c r="G15" s="277">
        <v>383374.14</v>
      </c>
      <c r="H15" s="277">
        <v>383374.14</v>
      </c>
      <c r="I15" s="277">
        <v>383374.14</v>
      </c>
      <c r="J15" s="277">
        <v>383374.14</v>
      </c>
      <c r="K15" s="277">
        <v>213098.14</v>
      </c>
      <c r="L15" s="277">
        <v>383374.14</v>
      </c>
      <c r="M15" s="277">
        <v>383374.14</v>
      </c>
      <c r="N15" s="277">
        <v>383374.14</v>
      </c>
      <c r="O15" s="39"/>
      <c r="P15" s="39"/>
      <c r="Q15" s="39"/>
      <c r="R15" s="39"/>
      <c r="S15" s="39"/>
      <c r="T15" s="39"/>
      <c r="U15" s="39"/>
    </row>
    <row r="16" spans="1:26" s="9" customFormat="1" ht="15.6" customHeight="1" x14ac:dyDescent="0.25">
      <c r="A16" s="276" t="s">
        <v>313</v>
      </c>
      <c r="B16" s="277">
        <f t="shared" si="2"/>
        <v>122500</v>
      </c>
      <c r="C16" s="277">
        <v>10208.33</v>
      </c>
      <c r="D16" s="277">
        <v>10208.33</v>
      </c>
      <c r="E16" s="277">
        <v>10208.33</v>
      </c>
      <c r="F16" s="277">
        <v>10208.33</v>
      </c>
      <c r="G16" s="277">
        <v>10208.34</v>
      </c>
      <c r="H16" s="277">
        <v>10208.34</v>
      </c>
      <c r="I16" s="277">
        <v>10208.34</v>
      </c>
      <c r="J16" s="277">
        <v>10208.33</v>
      </c>
      <c r="K16" s="277">
        <v>10208.33</v>
      </c>
      <c r="L16" s="277">
        <v>10208.34</v>
      </c>
      <c r="M16" s="277">
        <v>10208.33</v>
      </c>
      <c r="N16" s="277">
        <v>10208.33</v>
      </c>
      <c r="O16" s="39"/>
      <c r="P16" s="39"/>
      <c r="Q16" s="39"/>
      <c r="R16" s="39"/>
      <c r="S16" s="39"/>
      <c r="T16" s="39"/>
      <c r="U16" s="39"/>
    </row>
    <row r="17" spans="1:25" s="9" customFormat="1" ht="15.6" customHeight="1" x14ac:dyDescent="0.25">
      <c r="A17" s="273" t="s">
        <v>80</v>
      </c>
      <c r="B17" s="277">
        <f>SUM(C17:N17)</f>
        <v>0</v>
      </c>
      <c r="C17" s="277"/>
      <c r="D17" s="277"/>
      <c r="E17" s="277"/>
      <c r="F17" s="277"/>
      <c r="G17" s="277"/>
      <c r="H17" s="277"/>
      <c r="I17" s="277"/>
      <c r="J17" s="277"/>
      <c r="K17" s="277"/>
      <c r="L17" s="277"/>
      <c r="M17" s="277"/>
      <c r="N17" s="277"/>
      <c r="O17" s="39"/>
      <c r="P17" s="39"/>
      <c r="Q17" s="39"/>
      <c r="R17" s="39"/>
      <c r="S17" s="39"/>
      <c r="T17" s="39"/>
      <c r="U17" s="39"/>
    </row>
    <row r="18" spans="1:25" s="9" customFormat="1" ht="15.6" customHeight="1" x14ac:dyDescent="0.25">
      <c r="A18" s="273" t="s">
        <v>314</v>
      </c>
      <c r="B18" s="277">
        <f t="shared" si="2"/>
        <v>0</v>
      </c>
      <c r="C18" s="277"/>
      <c r="D18" s="277"/>
      <c r="E18" s="277"/>
      <c r="F18" s="277"/>
      <c r="G18" s="277"/>
      <c r="H18" s="277"/>
      <c r="I18" s="277"/>
      <c r="J18" s="277"/>
      <c r="K18" s="277"/>
      <c r="L18" s="277"/>
      <c r="M18" s="277"/>
      <c r="N18" s="277"/>
      <c r="O18" s="39"/>
      <c r="P18" s="39"/>
      <c r="Q18" s="39"/>
      <c r="R18" s="39"/>
      <c r="S18" s="39"/>
      <c r="T18" s="39"/>
      <c r="U18" s="39"/>
      <c r="Y18" s="180"/>
    </row>
    <row r="19" spans="1:25" s="9" customFormat="1" ht="15.6" customHeight="1" x14ac:dyDescent="0.25">
      <c r="A19" s="276" t="s">
        <v>315</v>
      </c>
      <c r="B19" s="278">
        <f>SUM(C19:N19)</f>
        <v>115750</v>
      </c>
      <c r="C19" s="278">
        <v>10208.33</v>
      </c>
      <c r="D19" s="278">
        <v>10208.33</v>
      </c>
      <c r="E19" s="278">
        <v>10208.33</v>
      </c>
      <c r="F19" s="278">
        <v>3458.33</v>
      </c>
      <c r="G19" s="278">
        <v>10208.34</v>
      </c>
      <c r="H19" s="278">
        <v>10208.34</v>
      </c>
      <c r="I19" s="278">
        <v>10208.34</v>
      </c>
      <c r="J19" s="278">
        <v>10208.33</v>
      </c>
      <c r="K19" s="278">
        <v>10208.33</v>
      </c>
      <c r="L19" s="278">
        <v>10208.34</v>
      </c>
      <c r="M19" s="278">
        <v>10208.33</v>
      </c>
      <c r="N19" s="278">
        <v>10208.33</v>
      </c>
      <c r="O19" s="39"/>
      <c r="P19" s="39"/>
      <c r="Q19" s="39"/>
      <c r="R19" s="39"/>
      <c r="S19" s="39"/>
      <c r="T19" s="39"/>
      <c r="U19" s="39"/>
      <c r="Y19" s="180"/>
    </row>
    <row r="20" spans="1:25" ht="15" x14ac:dyDescent="0.25">
      <c r="A20" s="59" t="s">
        <v>97</v>
      </c>
      <c r="B20" s="52">
        <f t="shared" ref="B20:N20" si="3">SUM(B13:B19)</f>
        <v>5046371.2600000007</v>
      </c>
      <c r="C20" s="53">
        <f t="shared" si="3"/>
        <v>347070.07</v>
      </c>
      <c r="D20" s="53">
        <f t="shared" si="3"/>
        <v>492885.41000000003</v>
      </c>
      <c r="E20" s="53">
        <f>SUM(E13:E19)</f>
        <v>437045.41000000003</v>
      </c>
      <c r="F20" s="53">
        <f t="shared" si="3"/>
        <v>430295.41000000003</v>
      </c>
      <c r="G20" s="53">
        <f t="shared" si="3"/>
        <v>437045.43000000005</v>
      </c>
      <c r="H20" s="53">
        <f t="shared" si="3"/>
        <v>437045.43000000005</v>
      </c>
      <c r="I20" s="53">
        <f t="shared" si="3"/>
        <v>437045.43000000005</v>
      </c>
      <c r="J20" s="53">
        <f t="shared" si="3"/>
        <v>469717.41000000003</v>
      </c>
      <c r="K20" s="53">
        <f t="shared" si="3"/>
        <v>258417.06</v>
      </c>
      <c r="L20" s="53">
        <f t="shared" si="3"/>
        <v>428693.08000000007</v>
      </c>
      <c r="M20" s="53">
        <f t="shared" si="3"/>
        <v>428693.06000000006</v>
      </c>
      <c r="N20" s="54">
        <f t="shared" si="3"/>
        <v>442418.06000000006</v>
      </c>
      <c r="O20" s="39"/>
      <c r="P20" s="39"/>
      <c r="Q20" s="16"/>
      <c r="R20" s="16"/>
      <c r="S20" s="16"/>
      <c r="T20" s="16"/>
      <c r="U20" s="16"/>
      <c r="Y20" s="20"/>
    </row>
    <row r="21" spans="1:25" s="8" customFormat="1" ht="15.75" thickBot="1" x14ac:dyDescent="0.3">
      <c r="A21" s="60" t="s">
        <v>98</v>
      </c>
      <c r="B21" s="61">
        <f t="shared" ref="B21:N21" si="4">B10+B20</f>
        <v>7939465.9700000007</v>
      </c>
      <c r="C21" s="61">
        <f t="shared" si="4"/>
        <v>571608.85</v>
      </c>
      <c r="D21" s="61">
        <f t="shared" si="4"/>
        <v>717424.19000000006</v>
      </c>
      <c r="E21" s="61">
        <f t="shared" si="4"/>
        <v>661584.19000000006</v>
      </c>
      <c r="F21" s="61">
        <f t="shared" si="4"/>
        <v>654834.19000000006</v>
      </c>
      <c r="G21" s="61">
        <f t="shared" si="4"/>
        <v>703936.19000000006</v>
      </c>
      <c r="H21" s="61">
        <f t="shared" si="4"/>
        <v>661584.21000000008</v>
      </c>
      <c r="I21" s="61">
        <f t="shared" si="4"/>
        <v>661584.21000000008</v>
      </c>
      <c r="J21" s="61">
        <f t="shared" si="4"/>
        <v>694964.19000000006</v>
      </c>
      <c r="K21" s="61">
        <f t="shared" si="4"/>
        <v>494751.61</v>
      </c>
      <c r="L21" s="61">
        <f t="shared" si="4"/>
        <v>701156.34000000008</v>
      </c>
      <c r="M21" s="61">
        <f t="shared" si="4"/>
        <v>701156.40000000014</v>
      </c>
      <c r="N21" s="62">
        <f t="shared" si="4"/>
        <v>714881.40000000014</v>
      </c>
      <c r="O21" s="63"/>
      <c r="P21" s="63"/>
      <c r="Q21" s="15"/>
      <c r="R21" s="15"/>
      <c r="S21" s="15"/>
      <c r="T21" s="15"/>
      <c r="U21" s="15"/>
    </row>
    <row r="22" spans="1:25" ht="14.25" thickTop="1" thickBot="1" x14ac:dyDescent="0.25">
      <c r="A22" s="14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2"/>
      <c r="O22" s="39"/>
      <c r="P22" s="39"/>
      <c r="Q22" s="16"/>
      <c r="R22" s="16"/>
      <c r="S22" s="16"/>
      <c r="T22" s="16"/>
      <c r="U22" s="16"/>
    </row>
    <row r="23" spans="1:25" ht="4.9000000000000004" customHeight="1" x14ac:dyDescent="0.2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1:25" s="9" customFormat="1" ht="14.45" customHeight="1" thickBot="1" x14ac:dyDescent="0.25">
      <c r="A24" s="873"/>
      <c r="B24" s="873"/>
      <c r="C24" s="873"/>
      <c r="D24" s="873"/>
      <c r="E24" s="873"/>
      <c r="F24" s="873"/>
      <c r="G24" s="873"/>
      <c r="H24" s="873"/>
      <c r="I24" s="873"/>
      <c r="J24" s="873"/>
      <c r="K24" s="873"/>
      <c r="L24" s="873"/>
      <c r="M24" s="873"/>
      <c r="N24" s="873"/>
      <c r="O24" s="120"/>
    </row>
    <row r="25" spans="1:25" x14ac:dyDescent="0.2">
      <c r="A25" s="38"/>
      <c r="B25" s="43" t="s">
        <v>95</v>
      </c>
      <c r="D25" s="41" t="s">
        <v>228</v>
      </c>
    </row>
    <row r="26" spans="1:25" ht="14.25" x14ac:dyDescent="0.2">
      <c r="A26" s="44" t="s">
        <v>206</v>
      </c>
      <c r="B26" s="323">
        <f>'Prop Ins - RYupdated'!D12-'Prop Ins - RYupdated'!D8</f>
        <v>3633573</v>
      </c>
    </row>
    <row r="27" spans="1:25" ht="15" thickBot="1" x14ac:dyDescent="0.25">
      <c r="A27" s="44" t="s">
        <v>109</v>
      </c>
      <c r="B27" s="323">
        <f>-M55</f>
        <v>-2694465.38</v>
      </c>
      <c r="C27" s="301"/>
      <c r="D27" s="314"/>
    </row>
    <row r="28" spans="1:25" ht="15" thickBot="1" x14ac:dyDescent="0.25">
      <c r="A28" s="44" t="s">
        <v>114</v>
      </c>
      <c r="B28" s="323">
        <f>-'.Rates - Updated'!M32</f>
        <v>-34154.493408000002</v>
      </c>
      <c r="C28" s="854">
        <v>0.33333333333333331</v>
      </c>
      <c r="D28" s="855">
        <f>B28*C28</f>
        <v>-11384.831136000001</v>
      </c>
      <c r="F28" s="344"/>
    </row>
    <row r="29" spans="1:25" ht="14.25" x14ac:dyDescent="0.2">
      <c r="A29" s="44" t="s">
        <v>115</v>
      </c>
      <c r="B29" s="323">
        <f>-'.Rates - Updated'!M21</f>
        <v>-454.07339999999999</v>
      </c>
      <c r="C29" s="328"/>
      <c r="D29" s="310"/>
      <c r="F29" s="344"/>
      <c r="M29" s="136"/>
    </row>
    <row r="30" spans="1:25" ht="14.25" x14ac:dyDescent="0.2">
      <c r="A30" s="44" t="s">
        <v>150</v>
      </c>
      <c r="B30" s="323">
        <f>-'Prop Ins - RYupdated'!D40</f>
        <v>-147552</v>
      </c>
      <c r="C30" s="20"/>
      <c r="F30" s="344"/>
    </row>
    <row r="31" spans="1:25" ht="14.25" x14ac:dyDescent="0.2">
      <c r="A31" s="44" t="s">
        <v>125</v>
      </c>
      <c r="B31" s="323">
        <f>-'Colstrip Ins '!O7</f>
        <v>-756947.90999999992</v>
      </c>
      <c r="C31" s="20"/>
    </row>
    <row r="32" spans="1:25" ht="13.5" thickBot="1" x14ac:dyDescent="0.25">
      <c r="A32" s="45" t="s">
        <v>116</v>
      </c>
      <c r="B32" s="80">
        <f>SUM(B26:B31)</f>
        <v>-0.85680799977853894</v>
      </c>
    </row>
    <row r="33" spans="1:21" x14ac:dyDescent="0.2">
      <c r="A33" s="37"/>
    </row>
    <row r="35" spans="1:21" x14ac:dyDescent="0.2">
      <c r="B35" s="12"/>
    </row>
    <row r="39" spans="1:21" x14ac:dyDescent="0.2">
      <c r="Q39" s="256"/>
      <c r="R39" s="256"/>
      <c r="S39" s="256"/>
      <c r="T39" s="256"/>
      <c r="U39" s="256"/>
    </row>
    <row r="40" spans="1:21" x14ac:dyDescent="0.2">
      <c r="Q40" s="40"/>
      <c r="R40" s="40"/>
      <c r="S40" s="40"/>
      <c r="T40" s="40"/>
      <c r="U40" s="40"/>
    </row>
    <row r="41" spans="1:21" x14ac:dyDescent="0.2">
      <c r="Q41" s="105"/>
      <c r="R41" s="105"/>
      <c r="S41" s="105"/>
      <c r="T41" s="105"/>
      <c r="U41" s="105"/>
    </row>
    <row r="42" spans="1:21" x14ac:dyDescent="0.2">
      <c r="Q42" s="40"/>
      <c r="R42" s="40"/>
      <c r="S42" s="40"/>
      <c r="T42" s="40"/>
      <c r="U42" s="40"/>
    </row>
    <row r="54" spans="4:14" x14ac:dyDescent="0.2">
      <c r="D54" s="41"/>
    </row>
    <row r="55" spans="4:14" x14ac:dyDescent="0.2">
      <c r="D55" s="41"/>
      <c r="I55" s="856">
        <v>27987.61</v>
      </c>
      <c r="J55" s="856">
        <v>138587.79</v>
      </c>
      <c r="K55" s="856">
        <v>2483349.12</v>
      </c>
      <c r="L55" s="856">
        <v>44540.86</v>
      </c>
      <c r="M55" s="856">
        <v>2694465.38</v>
      </c>
      <c r="N55" s="103"/>
    </row>
    <row r="56" spans="4:14" x14ac:dyDescent="0.2">
      <c r="D56" s="41"/>
      <c r="I56" s="103"/>
      <c r="J56" s="103"/>
      <c r="K56" s="103"/>
      <c r="L56" s="103"/>
      <c r="M56" s="103"/>
      <c r="N56" s="103"/>
    </row>
    <row r="57" spans="4:14" x14ac:dyDescent="0.2">
      <c r="D57" s="41"/>
      <c r="I57" s="857"/>
      <c r="J57" s="103"/>
      <c r="K57" s="103"/>
      <c r="L57" s="103"/>
      <c r="M57" s="103"/>
      <c r="N57" s="103"/>
    </row>
    <row r="58" spans="4:14" x14ac:dyDescent="0.2">
      <c r="D58" s="41"/>
    </row>
    <row r="59" spans="4:14" x14ac:dyDescent="0.2">
      <c r="J59" s="311"/>
    </row>
    <row r="60" spans="4:14" x14ac:dyDescent="0.2">
      <c r="J60" s="311"/>
    </row>
    <row r="61" spans="4:14" x14ac:dyDescent="0.2">
      <c r="J61" s="311"/>
    </row>
    <row r="62" spans="4:14" x14ac:dyDescent="0.2">
      <c r="J62" s="311"/>
    </row>
    <row r="63" spans="4:14" x14ac:dyDescent="0.2">
      <c r="J63" s="311"/>
    </row>
    <row r="64" spans="4:14" s="272" customFormat="1" x14ac:dyDescent="0.2">
      <c r="J64" s="306"/>
    </row>
    <row r="65" spans="10:10" x14ac:dyDescent="0.2">
      <c r="J65" s="311"/>
    </row>
    <row r="66" spans="10:10" x14ac:dyDescent="0.2">
      <c r="J66" s="311"/>
    </row>
    <row r="67" spans="10:10" x14ac:dyDescent="0.2">
      <c r="J67" s="311"/>
    </row>
  </sheetData>
  <mergeCells count="1">
    <mergeCell ref="A24:N24"/>
  </mergeCells>
  <pageMargins left="0.7" right="0.7" top="0.75" bottom="0.75" header="0.3" footer="0.3"/>
  <pageSetup scale="4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8"/>
  <sheetViews>
    <sheetView zoomScale="80" zoomScaleNormal="80" workbookViewId="0">
      <pane xSplit="1" ySplit="8" topLeftCell="B43" activePane="bottomRight" state="frozen"/>
      <selection activeCell="J38" sqref="J38"/>
      <selection pane="topRight" activeCell="J38" sqref="J38"/>
      <selection pane="bottomLeft" activeCell="J38" sqref="J38"/>
      <selection pane="bottomRight" activeCell="G67" sqref="G67"/>
    </sheetView>
  </sheetViews>
  <sheetFormatPr defaultRowHeight="12.75" x14ac:dyDescent="0.2"/>
  <cols>
    <col min="1" max="1" width="27" style="9" customWidth="1"/>
    <col min="2" max="2" width="17.28515625" style="9" bestFit="1" customWidth="1"/>
    <col min="3" max="3" width="6.5703125" style="9" bestFit="1" customWidth="1"/>
    <col min="4" max="4" width="14.85546875" style="9" customWidth="1"/>
    <col min="5" max="5" width="10.7109375" style="9" bestFit="1" customWidth="1"/>
    <col min="6" max="6" width="13.140625" style="9" bestFit="1" customWidth="1"/>
    <col min="7" max="7" width="16.140625" style="9" bestFit="1" customWidth="1"/>
    <col min="8" max="8" width="15.7109375" style="9" customWidth="1"/>
    <col min="9" max="9" width="6.5703125" bestFit="1" customWidth="1"/>
    <col min="10" max="10" width="8.28515625" bestFit="1" customWidth="1"/>
    <col min="11" max="13" width="10.28515625" bestFit="1" customWidth="1"/>
    <col min="14" max="14" width="6.7109375" bestFit="1" customWidth="1"/>
    <col min="15" max="16" width="8" bestFit="1" customWidth="1"/>
    <col min="17" max="17" width="6.7109375" bestFit="1" customWidth="1"/>
  </cols>
  <sheetData>
    <row r="1" spans="1:21" ht="4.9000000000000004" customHeight="1" x14ac:dyDescent="0.25">
      <c r="A1" s="19"/>
    </row>
    <row r="2" spans="1:21" ht="18" x14ac:dyDescent="0.25">
      <c r="A2" s="23" t="s">
        <v>16</v>
      </c>
    </row>
    <row r="3" spans="1:21" ht="18" x14ac:dyDescent="0.25">
      <c r="A3" s="23" t="s">
        <v>36</v>
      </c>
      <c r="B3" s="10"/>
      <c r="C3" s="10"/>
      <c r="D3" s="11"/>
      <c r="E3" s="874"/>
      <c r="F3" s="874"/>
    </row>
    <row r="4" spans="1:21" s="9" customFormat="1" ht="18" x14ac:dyDescent="0.25">
      <c r="A4" s="23" t="s">
        <v>113</v>
      </c>
      <c r="B4" s="10"/>
      <c r="C4" s="10"/>
      <c r="D4" s="11"/>
      <c r="I4"/>
      <c r="J4"/>
      <c r="K4"/>
      <c r="L4"/>
      <c r="M4"/>
      <c r="N4"/>
      <c r="O4"/>
      <c r="P4"/>
      <c r="Q4"/>
      <c r="R4"/>
    </row>
    <row r="5" spans="1:21" ht="4.9000000000000004" customHeight="1" thickBot="1" x14ac:dyDescent="0.25">
      <c r="A5" s="24"/>
    </row>
    <row r="6" spans="1:21" x14ac:dyDescent="0.2">
      <c r="A6" s="25" t="s">
        <v>12</v>
      </c>
      <c r="B6" s="26" t="s">
        <v>13</v>
      </c>
      <c r="C6" s="28" t="s">
        <v>68</v>
      </c>
      <c r="D6" s="26" t="s">
        <v>10</v>
      </c>
      <c r="E6" s="27" t="s">
        <v>60</v>
      </c>
      <c r="F6" s="27" t="s">
        <v>61</v>
      </c>
      <c r="G6" s="27" t="s">
        <v>65</v>
      </c>
      <c r="H6" s="27" t="s">
        <v>67</v>
      </c>
      <c r="U6" s="281"/>
    </row>
    <row r="7" spans="1:21" x14ac:dyDescent="0.2">
      <c r="A7" s="29"/>
      <c r="B7" s="30"/>
      <c r="C7" s="31" t="s">
        <v>26</v>
      </c>
      <c r="D7" s="30"/>
      <c r="E7" s="30" t="s">
        <v>59</v>
      </c>
      <c r="F7" s="30" t="s">
        <v>59</v>
      </c>
      <c r="G7" s="30" t="s">
        <v>66</v>
      </c>
      <c r="H7" s="30" t="s">
        <v>66</v>
      </c>
    </row>
    <row r="8" spans="1:21" ht="13.5" thickBot="1" x14ac:dyDescent="0.25">
      <c r="A8" s="32"/>
      <c r="B8" s="33"/>
      <c r="C8" s="35" t="s">
        <v>57</v>
      </c>
      <c r="D8" s="33" t="s">
        <v>62</v>
      </c>
      <c r="E8" s="33" t="s">
        <v>63</v>
      </c>
      <c r="F8" s="33" t="s">
        <v>64</v>
      </c>
      <c r="G8" s="34"/>
      <c r="H8" s="34"/>
    </row>
    <row r="10" spans="1:21" x14ac:dyDescent="0.2">
      <c r="A10" s="123" t="s">
        <v>11</v>
      </c>
      <c r="B10" s="124"/>
      <c r="C10" s="124"/>
      <c r="D10" s="124"/>
    </row>
    <row r="11" spans="1:21" s="9" customFormat="1" x14ac:dyDescent="0.2">
      <c r="A11" s="122" t="s">
        <v>110</v>
      </c>
      <c r="B11" s="486" t="s">
        <v>187</v>
      </c>
      <c r="C11" s="826">
        <v>925</v>
      </c>
      <c r="D11" s="827">
        <v>3590968</v>
      </c>
      <c r="E11" s="848">
        <f>[1]Lead!$G$43</f>
        <v>0.49997132880489842</v>
      </c>
      <c r="F11" s="36">
        <f>D11*E11</f>
        <v>1795381.0426558685</v>
      </c>
      <c r="G11" s="36">
        <f>F11*$F$66</f>
        <v>1042218.6952617316</v>
      </c>
      <c r="H11" s="36">
        <f>F11*$G$66</f>
        <v>753162.34739413683</v>
      </c>
      <c r="I11"/>
      <c r="J11"/>
      <c r="K11"/>
      <c r="L11"/>
      <c r="M11"/>
      <c r="N11"/>
      <c r="O11"/>
      <c r="P11"/>
      <c r="Q11"/>
      <c r="R11"/>
    </row>
    <row r="12" spans="1:21" s="9" customFormat="1" x14ac:dyDescent="0.2">
      <c r="A12" s="122"/>
      <c r="B12" s="486"/>
      <c r="C12" s="826"/>
      <c r="D12" s="827"/>
      <c r="E12" s="848"/>
      <c r="F12" s="36"/>
      <c r="G12" s="36"/>
      <c r="H12" s="36"/>
      <c r="I12"/>
      <c r="J12"/>
      <c r="K12"/>
      <c r="L12"/>
      <c r="M12"/>
      <c r="N12"/>
      <c r="O12"/>
      <c r="P12"/>
      <c r="Q12"/>
      <c r="R12"/>
    </row>
    <row r="13" spans="1:21" s="9" customFormat="1" x14ac:dyDescent="0.2">
      <c r="A13" s="122" t="s">
        <v>111</v>
      </c>
      <c r="B13" s="486" t="s">
        <v>187</v>
      </c>
      <c r="C13" s="826">
        <v>925</v>
      </c>
      <c r="D13" s="827">
        <v>671660</v>
      </c>
      <c r="E13" s="848">
        <v>0.5</v>
      </c>
      <c r="F13" s="36">
        <f t="shared" ref="F13:F59" si="0">D13*E13</f>
        <v>335830</v>
      </c>
      <c r="G13" s="36">
        <f>F13*$F$66</f>
        <v>194949.315</v>
      </c>
      <c r="H13" s="36">
        <f>F13*$G$66</f>
        <v>140880.685</v>
      </c>
      <c r="I13"/>
      <c r="J13"/>
      <c r="K13"/>
      <c r="L13"/>
      <c r="M13"/>
      <c r="N13"/>
      <c r="O13"/>
      <c r="P13"/>
      <c r="Q13"/>
      <c r="R13"/>
    </row>
    <row r="14" spans="1:21" s="9" customFormat="1" x14ac:dyDescent="0.2">
      <c r="A14" s="122"/>
      <c r="B14" s="486"/>
      <c r="C14" s="826"/>
      <c r="D14" s="827"/>
      <c r="E14" s="848"/>
      <c r="F14" s="36"/>
      <c r="G14" s="36"/>
      <c r="H14" s="36"/>
      <c r="I14"/>
      <c r="J14"/>
      <c r="K14"/>
      <c r="L14"/>
      <c r="M14"/>
      <c r="N14"/>
      <c r="O14"/>
      <c r="P14"/>
      <c r="Q14"/>
      <c r="R14"/>
    </row>
    <row r="15" spans="1:21" s="9" customFormat="1" x14ac:dyDescent="0.2">
      <c r="A15" s="122" t="s">
        <v>188</v>
      </c>
      <c r="B15" s="486" t="s">
        <v>187</v>
      </c>
      <c r="C15" s="826">
        <v>925</v>
      </c>
      <c r="D15" s="827">
        <v>295000</v>
      </c>
      <c r="E15" s="848">
        <v>0.5</v>
      </c>
      <c r="F15" s="36">
        <f t="shared" si="0"/>
        <v>147500</v>
      </c>
      <c r="G15" s="36">
        <f>F15*$F$66</f>
        <v>85623.75</v>
      </c>
      <c r="H15" s="36">
        <f>F15*$G$66</f>
        <v>61876.25</v>
      </c>
      <c r="I15"/>
      <c r="J15"/>
      <c r="K15"/>
      <c r="L15"/>
      <c r="M15"/>
      <c r="N15"/>
      <c r="O15"/>
      <c r="P15"/>
      <c r="Q15"/>
      <c r="R15"/>
    </row>
    <row r="16" spans="1:21" s="9" customFormat="1" x14ac:dyDescent="0.2">
      <c r="A16" s="122"/>
      <c r="B16" s="486"/>
      <c r="C16" s="826"/>
      <c r="D16" s="827"/>
      <c r="E16" s="848"/>
      <c r="F16" s="36"/>
      <c r="G16" s="36"/>
      <c r="H16" s="36"/>
      <c r="I16"/>
      <c r="J16"/>
      <c r="K16"/>
      <c r="L16"/>
      <c r="M16"/>
      <c r="N16"/>
      <c r="O16"/>
      <c r="P16"/>
      <c r="Q16"/>
      <c r="R16"/>
    </row>
    <row r="17" spans="1:18" s="9" customFormat="1" x14ac:dyDescent="0.2">
      <c r="A17" s="122" t="s">
        <v>25</v>
      </c>
      <c r="B17" s="486" t="s">
        <v>187</v>
      </c>
      <c r="C17" s="826">
        <v>925</v>
      </c>
      <c r="D17" s="827">
        <v>42862</v>
      </c>
      <c r="E17" s="848">
        <v>0.5</v>
      </c>
      <c r="F17" s="36">
        <f t="shared" si="0"/>
        <v>21431</v>
      </c>
      <c r="G17" s="36">
        <f>F17*$F$66</f>
        <v>12440.6955</v>
      </c>
      <c r="H17" s="36">
        <f>F17*$G$66</f>
        <v>8990.3045000000002</v>
      </c>
      <c r="I17"/>
      <c r="J17"/>
      <c r="K17"/>
      <c r="L17"/>
      <c r="M17"/>
      <c r="N17"/>
      <c r="O17"/>
      <c r="P17"/>
      <c r="Q17"/>
      <c r="R17"/>
    </row>
    <row r="18" spans="1:18" s="9" customFormat="1" x14ac:dyDescent="0.2">
      <c r="A18" s="122"/>
      <c r="B18" s="486"/>
      <c r="C18" s="486"/>
      <c r="D18" s="827"/>
      <c r="E18" s="848"/>
      <c r="F18" s="36"/>
      <c r="G18" s="36"/>
      <c r="H18" s="36"/>
      <c r="I18"/>
      <c r="J18"/>
      <c r="K18"/>
      <c r="L18"/>
      <c r="M18"/>
      <c r="N18"/>
      <c r="O18"/>
      <c r="P18"/>
      <c r="Q18"/>
      <c r="R18"/>
    </row>
    <row r="19" spans="1:18" s="9" customFormat="1" x14ac:dyDescent="0.2">
      <c r="A19" s="122" t="s">
        <v>189</v>
      </c>
      <c r="B19" s="486" t="s">
        <v>190</v>
      </c>
      <c r="C19" s="826">
        <v>925</v>
      </c>
      <c r="D19" s="827">
        <v>32000</v>
      </c>
      <c r="E19" s="848">
        <v>1</v>
      </c>
      <c r="F19" s="36">
        <f>D19*E19</f>
        <v>32000</v>
      </c>
      <c r="G19" s="36">
        <f>F19*$F$66</f>
        <v>18576</v>
      </c>
      <c r="H19" s="36">
        <f>F19*$G$66</f>
        <v>13424</v>
      </c>
      <c r="I19"/>
      <c r="J19"/>
      <c r="K19"/>
      <c r="L19"/>
      <c r="M19"/>
      <c r="N19"/>
      <c r="O19"/>
      <c r="P19"/>
      <c r="Q19"/>
      <c r="R19"/>
    </row>
    <row r="20" spans="1:18" s="9" customFormat="1" x14ac:dyDescent="0.2">
      <c r="A20" s="122"/>
      <c r="B20" s="486"/>
      <c r="C20" s="826"/>
      <c r="D20" s="827"/>
      <c r="E20" s="848"/>
      <c r="F20" s="36"/>
      <c r="G20" s="36"/>
      <c r="H20" s="36"/>
      <c r="I20"/>
      <c r="J20"/>
      <c r="K20"/>
      <c r="L20"/>
      <c r="M20"/>
      <c r="N20"/>
      <c r="O20"/>
      <c r="P20"/>
      <c r="Q20"/>
      <c r="R20"/>
    </row>
    <row r="21" spans="1:18" s="9" customFormat="1" x14ac:dyDescent="0.2">
      <c r="A21" s="122" t="s">
        <v>191</v>
      </c>
      <c r="B21" s="826" t="s">
        <v>190</v>
      </c>
      <c r="C21" s="826">
        <v>925</v>
      </c>
      <c r="D21" s="827">
        <v>43608</v>
      </c>
      <c r="E21" s="848">
        <v>0.5</v>
      </c>
      <c r="F21" s="36">
        <f>D21*E21</f>
        <v>21804</v>
      </c>
      <c r="G21" s="36">
        <f>F21*$F$66</f>
        <v>12657.222</v>
      </c>
      <c r="H21" s="36">
        <f>F21*$G$66</f>
        <v>9146.7780000000002</v>
      </c>
      <c r="I21"/>
      <c r="J21"/>
      <c r="K21"/>
      <c r="L21"/>
      <c r="M21"/>
      <c r="N21"/>
      <c r="O21"/>
      <c r="P21"/>
      <c r="Q21"/>
      <c r="R21"/>
    </row>
    <row r="22" spans="1:18" s="9" customFormat="1" x14ac:dyDescent="0.2">
      <c r="A22" s="122"/>
      <c r="B22" s="486"/>
      <c r="C22" s="826"/>
      <c r="D22" s="827"/>
      <c r="E22" s="848"/>
      <c r="F22" s="36"/>
      <c r="G22" s="36"/>
      <c r="H22" s="36"/>
      <c r="I22"/>
      <c r="J22"/>
      <c r="K22"/>
      <c r="L22"/>
      <c r="M22"/>
      <c r="N22"/>
      <c r="O22"/>
      <c r="P22"/>
      <c r="Q22"/>
      <c r="R22"/>
    </row>
    <row r="23" spans="1:18" s="9" customFormat="1" x14ac:dyDescent="0.2">
      <c r="A23" s="126" t="s">
        <v>192</v>
      </c>
      <c r="B23" s="826" t="s">
        <v>190</v>
      </c>
      <c r="C23" s="826">
        <v>925</v>
      </c>
      <c r="D23" s="827">
        <v>14439</v>
      </c>
      <c r="E23" s="848">
        <v>0.5</v>
      </c>
      <c r="F23" s="36">
        <f>D23*E23</f>
        <v>7219.5</v>
      </c>
      <c r="G23" s="36">
        <f>F23*$F$66</f>
        <v>4190.91975</v>
      </c>
      <c r="H23" s="36">
        <f>F23*$G$66</f>
        <v>3028.58025</v>
      </c>
      <c r="I23"/>
      <c r="J23"/>
      <c r="K23"/>
      <c r="L23"/>
      <c r="M23"/>
      <c r="N23"/>
      <c r="O23"/>
      <c r="P23"/>
      <c r="Q23"/>
      <c r="R23"/>
    </row>
    <row r="24" spans="1:18" s="9" customFormat="1" x14ac:dyDescent="0.2">
      <c r="A24" s="122"/>
      <c r="B24" s="486"/>
      <c r="C24" s="826"/>
      <c r="D24" s="827"/>
      <c r="E24" s="848"/>
      <c r="F24" s="36"/>
      <c r="G24" s="36"/>
      <c r="H24" s="36"/>
      <c r="I24"/>
      <c r="J24"/>
      <c r="K24"/>
      <c r="L24"/>
      <c r="M24"/>
      <c r="N24"/>
      <c r="O24"/>
      <c r="P24"/>
      <c r="Q24"/>
      <c r="R24"/>
    </row>
    <row r="25" spans="1:18" s="9" customFormat="1" x14ac:dyDescent="0.2">
      <c r="A25" s="122" t="s">
        <v>193</v>
      </c>
      <c r="B25" s="826" t="s">
        <v>112</v>
      </c>
      <c r="C25" s="826">
        <v>925</v>
      </c>
      <c r="D25" s="827">
        <v>0</v>
      </c>
      <c r="E25" s="848">
        <v>0.5</v>
      </c>
      <c r="F25" s="36">
        <f>D25*E25</f>
        <v>0</v>
      </c>
      <c r="G25" s="36">
        <f>F25*$F$66</f>
        <v>0</v>
      </c>
      <c r="H25" s="36">
        <f>F25*$G$66</f>
        <v>0</v>
      </c>
      <c r="I25"/>
      <c r="J25"/>
      <c r="K25"/>
      <c r="L25"/>
      <c r="M25"/>
      <c r="N25"/>
      <c r="O25"/>
      <c r="P25"/>
      <c r="Q25"/>
      <c r="R25"/>
    </row>
    <row r="26" spans="1:18" s="9" customFormat="1" x14ac:dyDescent="0.2">
      <c r="A26" s="122"/>
      <c r="B26" s="486"/>
      <c r="C26" s="826"/>
      <c r="D26" s="827"/>
      <c r="E26" s="848"/>
      <c r="F26" s="36"/>
      <c r="G26" s="36"/>
      <c r="H26" s="36"/>
      <c r="I26"/>
      <c r="J26"/>
      <c r="K26"/>
      <c r="L26"/>
      <c r="M26"/>
      <c r="N26"/>
      <c r="O26"/>
      <c r="P26"/>
      <c r="Q26"/>
      <c r="R26"/>
    </row>
    <row r="27" spans="1:18" s="9" customFormat="1" x14ac:dyDescent="0.2">
      <c r="A27" s="126" t="s">
        <v>194</v>
      </c>
      <c r="B27" s="486" t="s">
        <v>195</v>
      </c>
      <c r="C27" s="826">
        <v>925</v>
      </c>
      <c r="D27" s="827">
        <v>215157</v>
      </c>
      <c r="E27" s="848">
        <v>0.5</v>
      </c>
      <c r="F27" s="36">
        <f>D27*E27</f>
        <v>107578.5</v>
      </c>
      <c r="G27" s="36">
        <f>F27*$F$66</f>
        <v>62449.31925</v>
      </c>
      <c r="H27" s="36">
        <f>F27*$G$66</f>
        <v>45129.18075</v>
      </c>
      <c r="I27"/>
      <c r="J27"/>
      <c r="K27"/>
      <c r="L27"/>
      <c r="M27"/>
      <c r="N27"/>
      <c r="O27"/>
      <c r="P27"/>
      <c r="Q27"/>
      <c r="R27"/>
    </row>
    <row r="28" spans="1:18" s="9" customFormat="1" x14ac:dyDescent="0.2">
      <c r="A28" s="126"/>
      <c r="B28" s="486"/>
      <c r="C28" s="826"/>
      <c r="D28" s="827"/>
      <c r="E28" s="848"/>
      <c r="F28" s="36"/>
      <c r="G28" s="36"/>
      <c r="H28" s="36"/>
      <c r="I28"/>
      <c r="J28"/>
      <c r="K28"/>
      <c r="L28"/>
      <c r="M28"/>
      <c r="N28"/>
      <c r="O28"/>
      <c r="P28"/>
      <c r="Q28"/>
      <c r="R28"/>
    </row>
    <row r="29" spans="1:18" s="9" customFormat="1" x14ac:dyDescent="0.2">
      <c r="A29" s="126" t="s">
        <v>196</v>
      </c>
      <c r="B29" s="486" t="s">
        <v>195</v>
      </c>
      <c r="C29" s="826">
        <v>925</v>
      </c>
      <c r="D29" s="827">
        <v>137000</v>
      </c>
      <c r="E29" s="848">
        <v>0.5</v>
      </c>
      <c r="F29" s="36">
        <f>D29*E29</f>
        <v>68500</v>
      </c>
      <c r="G29" s="36">
        <f>F29*$F$66</f>
        <v>39764.25</v>
      </c>
      <c r="H29" s="36">
        <f>F29*$G$66</f>
        <v>28735.75</v>
      </c>
      <c r="I29"/>
      <c r="J29"/>
      <c r="K29"/>
      <c r="L29"/>
      <c r="M29"/>
      <c r="N29"/>
      <c r="O29"/>
      <c r="P29"/>
      <c r="Q29"/>
      <c r="R29"/>
    </row>
    <row r="30" spans="1:18" s="9" customFormat="1" x14ac:dyDescent="0.2">
      <c r="A30" s="122"/>
      <c r="B30" s="486"/>
      <c r="C30" s="826"/>
      <c r="D30" s="827"/>
      <c r="E30" s="848"/>
      <c r="F30" s="36"/>
      <c r="G30" s="36"/>
      <c r="H30" s="36"/>
      <c r="I30"/>
      <c r="J30"/>
      <c r="K30"/>
      <c r="L30"/>
      <c r="M30"/>
      <c r="N30"/>
      <c r="O30"/>
      <c r="P30"/>
      <c r="Q30"/>
      <c r="R30"/>
    </row>
    <row r="31" spans="1:18" s="9" customFormat="1" x14ac:dyDescent="0.2">
      <c r="A31" s="122" t="s">
        <v>35</v>
      </c>
      <c r="B31" s="486" t="s">
        <v>195</v>
      </c>
      <c r="C31" s="826">
        <v>925</v>
      </c>
      <c r="D31" s="827">
        <v>510.43</v>
      </c>
      <c r="E31" s="848">
        <v>0.5</v>
      </c>
      <c r="F31" s="36">
        <f>D31*E31</f>
        <v>255.215</v>
      </c>
      <c r="G31" s="36">
        <f>F31*$F$66</f>
        <v>148.15230750000001</v>
      </c>
      <c r="H31" s="36">
        <f>F31*$G$66</f>
        <v>107.0626925</v>
      </c>
      <c r="I31"/>
      <c r="J31"/>
      <c r="K31"/>
      <c r="L31"/>
      <c r="M31"/>
      <c r="N31"/>
      <c r="O31"/>
      <c r="P31"/>
      <c r="Q31"/>
      <c r="R31"/>
    </row>
    <row r="32" spans="1:18" s="9" customFormat="1" x14ac:dyDescent="0.2">
      <c r="A32" s="122"/>
      <c r="B32" s="486"/>
      <c r="C32" s="826"/>
      <c r="D32" s="827"/>
      <c r="E32" s="848"/>
      <c r="F32" s="36"/>
      <c r="G32" s="36"/>
      <c r="H32" s="36"/>
      <c r="I32"/>
      <c r="J32"/>
      <c r="K32"/>
      <c r="L32"/>
      <c r="M32"/>
      <c r="N32"/>
      <c r="O32"/>
      <c r="P32"/>
      <c r="Q32"/>
      <c r="R32"/>
    </row>
    <row r="33" spans="1:18" s="9" customFormat="1" x14ac:dyDescent="0.2">
      <c r="A33" s="126" t="s">
        <v>197</v>
      </c>
      <c r="B33" s="486" t="s">
        <v>190</v>
      </c>
      <c r="C33" s="826">
        <v>925</v>
      </c>
      <c r="D33" s="827">
        <v>110709</v>
      </c>
      <c r="E33" s="848">
        <v>0.5</v>
      </c>
      <c r="F33" s="36">
        <f t="shared" si="0"/>
        <v>55354.5</v>
      </c>
      <c r="G33" s="36">
        <f>F33*$F$66</f>
        <v>32133.287250000001</v>
      </c>
      <c r="H33" s="36">
        <f>F33*$G$66</f>
        <v>23221.212749999999</v>
      </c>
      <c r="I33"/>
      <c r="J33"/>
      <c r="K33"/>
      <c r="L33"/>
      <c r="M33"/>
      <c r="N33"/>
      <c r="O33"/>
      <c r="P33"/>
      <c r="Q33"/>
      <c r="R33"/>
    </row>
    <row r="34" spans="1:18" s="9" customFormat="1" x14ac:dyDescent="0.2">
      <c r="A34" s="125"/>
      <c r="B34" s="486"/>
      <c r="C34" s="826"/>
      <c r="D34" s="827"/>
      <c r="E34" s="848"/>
      <c r="F34" s="36"/>
      <c r="G34" s="36"/>
      <c r="H34" s="36"/>
      <c r="I34"/>
      <c r="J34"/>
      <c r="K34"/>
      <c r="L34"/>
      <c r="M34"/>
      <c r="N34"/>
      <c r="O34"/>
      <c r="P34"/>
      <c r="Q34"/>
      <c r="R34"/>
    </row>
    <row r="35" spans="1:18" x14ac:dyDescent="0.2">
      <c r="A35" s="126" t="s">
        <v>198</v>
      </c>
      <c r="B35" s="486" t="s">
        <v>190</v>
      </c>
      <c r="C35" s="826">
        <v>925</v>
      </c>
      <c r="D35" s="827">
        <v>66425</v>
      </c>
      <c r="E35" s="848">
        <v>0.5</v>
      </c>
      <c r="F35" s="36">
        <f t="shared" si="0"/>
        <v>33212.5</v>
      </c>
      <c r="G35" s="36">
        <f>F35*$F$66</f>
        <v>19279.856250000001</v>
      </c>
      <c r="H35" s="36">
        <f>F35*$G$66</f>
        <v>13932.643749999999</v>
      </c>
    </row>
    <row r="36" spans="1:18" x14ac:dyDescent="0.2">
      <c r="A36" s="122"/>
      <c r="B36" s="486"/>
      <c r="C36" s="826"/>
      <c r="D36" s="827"/>
      <c r="E36" s="848"/>
      <c r="F36" s="36"/>
      <c r="G36" s="36"/>
      <c r="H36" s="36"/>
    </row>
    <row r="37" spans="1:18" s="9" customFormat="1" x14ac:dyDescent="0.2">
      <c r="A37" s="126" t="s">
        <v>14</v>
      </c>
      <c r="B37" s="486" t="s">
        <v>199</v>
      </c>
      <c r="C37" s="826">
        <v>925</v>
      </c>
      <c r="D37" s="827">
        <v>122500</v>
      </c>
      <c r="E37" s="848">
        <v>0.5</v>
      </c>
      <c r="F37" s="36">
        <f t="shared" si="0"/>
        <v>61250</v>
      </c>
      <c r="G37" s="36">
        <f>F37*$F$66</f>
        <v>35555.625</v>
      </c>
      <c r="H37" s="36">
        <f>F37*$G$66</f>
        <v>25694.375</v>
      </c>
      <c r="I37"/>
      <c r="J37"/>
      <c r="K37"/>
      <c r="L37"/>
      <c r="M37"/>
      <c r="N37"/>
      <c r="O37"/>
      <c r="P37"/>
      <c r="Q37"/>
      <c r="R37"/>
    </row>
    <row r="38" spans="1:18" s="9" customFormat="1" x14ac:dyDescent="0.2">
      <c r="A38" s="126"/>
      <c r="B38" s="486"/>
      <c r="C38" s="826"/>
      <c r="D38" s="827"/>
      <c r="E38" s="848"/>
      <c r="F38" s="36"/>
      <c r="G38" s="36"/>
      <c r="H38" s="36"/>
      <c r="I38"/>
      <c r="J38"/>
      <c r="K38"/>
      <c r="L38"/>
      <c r="M38"/>
      <c r="N38"/>
      <c r="O38"/>
      <c r="P38"/>
      <c r="Q38"/>
      <c r="R38"/>
    </row>
    <row r="39" spans="1:18" s="9" customFormat="1" x14ac:dyDescent="0.2">
      <c r="A39" s="126" t="s">
        <v>14</v>
      </c>
      <c r="B39" s="486" t="s">
        <v>199</v>
      </c>
      <c r="C39" s="826">
        <v>924</v>
      </c>
      <c r="D39" s="827">
        <v>122500</v>
      </c>
      <c r="E39" s="848">
        <v>1</v>
      </c>
      <c r="F39" s="36">
        <f t="shared" si="0"/>
        <v>122500</v>
      </c>
      <c r="G39" s="36">
        <f>F39*$F$65</f>
        <v>73965.5</v>
      </c>
      <c r="H39" s="36">
        <f>F39*$G$65</f>
        <v>48534.5</v>
      </c>
      <c r="I39"/>
      <c r="J39"/>
      <c r="K39"/>
      <c r="L39"/>
      <c r="M39"/>
      <c r="N39"/>
      <c r="O39"/>
      <c r="P39"/>
      <c r="Q39"/>
      <c r="R39"/>
    </row>
    <row r="40" spans="1:18" s="9" customFormat="1" x14ac:dyDescent="0.2">
      <c r="A40" s="122"/>
      <c r="B40" s="486"/>
      <c r="C40" s="826"/>
      <c r="D40" s="827"/>
      <c r="E40" s="848"/>
      <c r="F40" s="36"/>
      <c r="G40" s="36"/>
      <c r="H40" s="36"/>
      <c r="I40"/>
      <c r="J40"/>
      <c r="K40"/>
      <c r="L40"/>
      <c r="M40"/>
      <c r="N40"/>
      <c r="O40"/>
      <c r="P40"/>
      <c r="Q40"/>
      <c r="R40"/>
    </row>
    <row r="41" spans="1:18" s="9" customFormat="1" x14ac:dyDescent="0.2">
      <c r="A41" s="127" t="s">
        <v>15</v>
      </c>
      <c r="B41" s="486" t="s">
        <v>195</v>
      </c>
      <c r="C41" s="826">
        <v>924</v>
      </c>
      <c r="D41" s="827">
        <v>13725</v>
      </c>
      <c r="E41" s="848">
        <v>0.5</v>
      </c>
      <c r="F41" s="36">
        <f t="shared" si="0"/>
        <v>6862.5</v>
      </c>
      <c r="G41" s="36">
        <f>F41*$F$65</f>
        <v>4143.5775000000003</v>
      </c>
      <c r="H41" s="36">
        <f>F41*$G$65</f>
        <v>2718.9225000000001</v>
      </c>
      <c r="I41"/>
      <c r="J41"/>
      <c r="K41"/>
      <c r="L41"/>
      <c r="M41"/>
      <c r="N41"/>
      <c r="O41"/>
      <c r="P41"/>
      <c r="Q41"/>
      <c r="R41"/>
    </row>
    <row r="42" spans="1:18" s="9" customFormat="1" x14ac:dyDescent="0.2">
      <c r="A42" s="128"/>
      <c r="B42" s="128"/>
      <c r="C42" s="486"/>
      <c r="D42" s="336"/>
      <c r="E42" s="848"/>
      <c r="F42" s="36"/>
      <c r="G42" s="36"/>
      <c r="H42" s="36"/>
      <c r="I42"/>
      <c r="J42"/>
      <c r="K42"/>
      <c r="L42"/>
      <c r="M42"/>
      <c r="N42"/>
      <c r="O42"/>
      <c r="P42"/>
      <c r="Q42"/>
      <c r="R42"/>
    </row>
    <row r="43" spans="1:18" s="9" customFormat="1" x14ac:dyDescent="0.2">
      <c r="A43" s="123" t="s">
        <v>58</v>
      </c>
      <c r="B43" s="124"/>
      <c r="C43" s="124"/>
      <c r="D43" s="124"/>
      <c r="E43" s="848"/>
      <c r="F43" s="36"/>
      <c r="G43" s="36"/>
      <c r="H43" s="36"/>
      <c r="I43"/>
      <c r="J43"/>
      <c r="K43"/>
      <c r="L43"/>
      <c r="M43"/>
      <c r="N43"/>
      <c r="O43"/>
      <c r="P43"/>
      <c r="Q43"/>
      <c r="R43"/>
    </row>
    <row r="44" spans="1:18" s="9" customFormat="1" x14ac:dyDescent="0.2">
      <c r="A44" s="128"/>
      <c r="B44" s="128"/>
      <c r="C44" s="486"/>
      <c r="D44" s="831"/>
      <c r="E44" s="848"/>
      <c r="F44" s="36"/>
      <c r="G44" s="36"/>
      <c r="H44" s="36"/>
      <c r="I44"/>
      <c r="J44"/>
      <c r="K44"/>
      <c r="L44"/>
      <c r="M44"/>
      <c r="N44"/>
      <c r="O44"/>
      <c r="P44"/>
      <c r="Q44"/>
      <c r="R44"/>
    </row>
    <row r="45" spans="1:18" s="9" customFormat="1" x14ac:dyDescent="0.2">
      <c r="A45" s="127" t="s">
        <v>158</v>
      </c>
      <c r="B45" s="486" t="s">
        <v>200</v>
      </c>
      <c r="C45" s="826">
        <v>924</v>
      </c>
      <c r="D45" s="827">
        <v>130350</v>
      </c>
      <c r="E45" s="848">
        <v>1</v>
      </c>
      <c r="F45" s="36">
        <f t="shared" si="0"/>
        <v>130350</v>
      </c>
      <c r="G45" s="36">
        <f>F45</f>
        <v>130350</v>
      </c>
      <c r="H45" s="36">
        <v>0</v>
      </c>
      <c r="I45"/>
      <c r="J45"/>
      <c r="K45"/>
      <c r="L45"/>
      <c r="M45"/>
      <c r="N45"/>
      <c r="O45"/>
      <c r="P45"/>
      <c r="Q45"/>
      <c r="R45"/>
    </row>
    <row r="46" spans="1:18" s="9" customFormat="1" x14ac:dyDescent="0.2">
      <c r="A46" s="122"/>
      <c r="B46" s="486"/>
      <c r="C46" s="826"/>
      <c r="D46" s="255"/>
      <c r="E46" s="848"/>
      <c r="F46" s="36"/>
      <c r="G46" s="36"/>
      <c r="H46" s="36"/>
      <c r="I46"/>
      <c r="J46"/>
      <c r="K46"/>
      <c r="L46"/>
      <c r="M46"/>
      <c r="N46"/>
      <c r="O46"/>
      <c r="P46"/>
      <c r="Q46"/>
      <c r="R46"/>
    </row>
    <row r="47" spans="1:18" s="9" customFormat="1" x14ac:dyDescent="0.2">
      <c r="A47" s="126" t="s">
        <v>159</v>
      </c>
      <c r="B47" s="486" t="s">
        <v>200</v>
      </c>
      <c r="C47" s="826">
        <v>924</v>
      </c>
      <c r="D47" s="255">
        <v>5650</v>
      </c>
      <c r="E47" s="848">
        <v>1</v>
      </c>
      <c r="F47" s="36">
        <f t="shared" si="0"/>
        <v>5650</v>
      </c>
      <c r="G47" s="36">
        <f>F47</f>
        <v>5650</v>
      </c>
      <c r="H47" s="36">
        <v>0</v>
      </c>
      <c r="I47"/>
      <c r="J47"/>
      <c r="K47"/>
      <c r="L47"/>
      <c r="M47"/>
      <c r="N47"/>
      <c r="O47"/>
      <c r="P47"/>
      <c r="Q47"/>
      <c r="R47"/>
    </row>
    <row r="48" spans="1:18" s="9" customFormat="1" x14ac:dyDescent="0.2">
      <c r="A48" s="122"/>
      <c r="B48" s="486"/>
      <c r="C48" s="826"/>
      <c r="D48" s="255"/>
      <c r="E48" s="848"/>
      <c r="F48" s="36"/>
      <c r="G48" s="36"/>
      <c r="H48" s="36"/>
      <c r="I48"/>
      <c r="J48"/>
      <c r="K48"/>
      <c r="L48"/>
      <c r="M48"/>
      <c r="N48"/>
      <c r="O48"/>
      <c r="P48"/>
      <c r="Q48"/>
      <c r="R48"/>
    </row>
    <row r="49" spans="1:18" s="9" customFormat="1" x14ac:dyDescent="0.2">
      <c r="A49" s="126" t="s">
        <v>160</v>
      </c>
      <c r="B49" s="486" t="s">
        <v>200</v>
      </c>
      <c r="C49" s="832">
        <v>924</v>
      </c>
      <c r="D49" s="255">
        <v>8330</v>
      </c>
      <c r="E49" s="848">
        <v>1</v>
      </c>
      <c r="F49" s="36">
        <f t="shared" si="0"/>
        <v>8330</v>
      </c>
      <c r="G49" s="36">
        <f>F49</f>
        <v>8330</v>
      </c>
      <c r="H49" s="36">
        <v>0</v>
      </c>
      <c r="I49"/>
      <c r="J49"/>
      <c r="K49"/>
      <c r="L49"/>
      <c r="M49"/>
      <c r="N49"/>
      <c r="O49"/>
      <c r="P49"/>
      <c r="Q49"/>
      <c r="R49"/>
    </row>
    <row r="50" spans="1:18" s="9" customFormat="1" x14ac:dyDescent="0.2">
      <c r="A50" s="122"/>
      <c r="B50" s="486"/>
      <c r="C50" s="832"/>
      <c r="D50" s="255"/>
      <c r="E50" s="848"/>
      <c r="F50" s="36"/>
      <c r="G50" s="36"/>
      <c r="H50" s="36"/>
      <c r="I50"/>
      <c r="J50"/>
      <c r="K50"/>
      <c r="L50"/>
      <c r="M50"/>
      <c r="N50"/>
      <c r="O50"/>
      <c r="P50"/>
      <c r="Q50"/>
      <c r="R50"/>
    </row>
    <row r="51" spans="1:18" s="9" customFormat="1" x14ac:dyDescent="0.2">
      <c r="A51" s="126" t="s">
        <v>161</v>
      </c>
      <c r="B51" s="486" t="s">
        <v>200</v>
      </c>
      <c r="C51" s="832">
        <v>924</v>
      </c>
      <c r="D51" s="255">
        <v>60303</v>
      </c>
      <c r="E51" s="848">
        <v>1</v>
      </c>
      <c r="F51" s="36">
        <f t="shared" si="0"/>
        <v>60303</v>
      </c>
      <c r="G51" s="36">
        <f>F51</f>
        <v>60303</v>
      </c>
      <c r="H51" s="36">
        <v>0</v>
      </c>
      <c r="I51"/>
      <c r="J51"/>
      <c r="K51"/>
      <c r="L51"/>
      <c r="M51"/>
      <c r="N51"/>
      <c r="O51"/>
      <c r="P51"/>
      <c r="Q51"/>
      <c r="R51"/>
    </row>
    <row r="52" spans="1:18" s="9" customFormat="1" x14ac:dyDescent="0.2">
      <c r="A52" s="122"/>
      <c r="B52" s="486"/>
      <c r="C52" s="832"/>
      <c r="D52" s="255"/>
      <c r="E52" s="848"/>
      <c r="F52" s="36"/>
      <c r="G52" s="36"/>
      <c r="H52" s="36"/>
      <c r="I52"/>
      <c r="J52"/>
      <c r="K52"/>
      <c r="L52"/>
      <c r="M52"/>
      <c r="N52"/>
      <c r="O52"/>
      <c r="P52"/>
      <c r="Q52"/>
      <c r="R52"/>
    </row>
    <row r="53" spans="1:18" s="9" customFormat="1" x14ac:dyDescent="0.2">
      <c r="A53" s="126" t="s">
        <v>201</v>
      </c>
      <c r="B53" s="486" t="s">
        <v>200</v>
      </c>
      <c r="C53" s="832">
        <v>924</v>
      </c>
      <c r="D53" s="255">
        <v>3595</v>
      </c>
      <c r="E53" s="848">
        <v>1</v>
      </c>
      <c r="F53" s="36">
        <f t="shared" si="0"/>
        <v>3595</v>
      </c>
      <c r="G53" s="36">
        <f>F53</f>
        <v>3595</v>
      </c>
      <c r="H53" s="36">
        <v>0</v>
      </c>
      <c r="I53"/>
      <c r="J53"/>
      <c r="K53"/>
      <c r="L53"/>
      <c r="M53"/>
      <c r="N53"/>
      <c r="O53"/>
      <c r="P53"/>
      <c r="Q53"/>
      <c r="R53"/>
    </row>
    <row r="54" spans="1:18" s="9" customFormat="1" x14ac:dyDescent="0.2">
      <c r="A54" s="122"/>
      <c r="B54" s="486"/>
      <c r="C54" s="832"/>
      <c r="D54" s="255"/>
      <c r="E54" s="848"/>
      <c r="F54" s="36"/>
      <c r="H54" s="36"/>
      <c r="I54"/>
      <c r="J54"/>
      <c r="K54"/>
      <c r="L54"/>
      <c r="M54"/>
      <c r="N54"/>
      <c r="O54"/>
      <c r="P54"/>
      <c r="Q54"/>
      <c r="R54"/>
    </row>
    <row r="55" spans="1:18" x14ac:dyDescent="0.2">
      <c r="A55" s="126" t="s">
        <v>162</v>
      </c>
      <c r="B55" s="486" t="s">
        <v>200</v>
      </c>
      <c r="C55" s="832">
        <v>924</v>
      </c>
      <c r="D55" s="255">
        <v>4165</v>
      </c>
      <c r="E55" s="848">
        <v>1</v>
      </c>
      <c r="F55" s="36">
        <f t="shared" si="0"/>
        <v>4165</v>
      </c>
      <c r="G55" s="36">
        <f>F55</f>
        <v>4165</v>
      </c>
      <c r="H55" s="36">
        <v>0</v>
      </c>
    </row>
    <row r="56" spans="1:18" x14ac:dyDescent="0.2">
      <c r="A56" s="122"/>
      <c r="B56" s="486"/>
      <c r="C56" s="832"/>
      <c r="D56" s="255"/>
      <c r="E56" s="848"/>
      <c r="F56" s="36"/>
      <c r="G56" s="36"/>
      <c r="H56" s="36"/>
    </row>
    <row r="57" spans="1:18" x14ac:dyDescent="0.2">
      <c r="A57" s="126"/>
      <c r="B57" s="486"/>
      <c r="C57" s="832"/>
      <c r="D57" s="834"/>
      <c r="E57" s="848"/>
      <c r="F57" s="36"/>
      <c r="G57" s="36"/>
      <c r="H57" s="36"/>
    </row>
    <row r="58" spans="1:18" x14ac:dyDescent="0.2">
      <c r="A58" s="126"/>
      <c r="B58" s="486"/>
      <c r="C58" s="832"/>
      <c r="D58" s="834"/>
      <c r="E58" s="848"/>
      <c r="F58" s="36"/>
      <c r="G58" s="36"/>
      <c r="H58" s="36"/>
    </row>
    <row r="59" spans="1:18" x14ac:dyDescent="0.2">
      <c r="A59" s="126" t="s">
        <v>156</v>
      </c>
      <c r="B59" s="486" t="s">
        <v>155</v>
      </c>
      <c r="C59" s="832">
        <v>924</v>
      </c>
      <c r="D59" s="834">
        <v>48837</v>
      </c>
      <c r="E59" s="848">
        <v>1</v>
      </c>
      <c r="F59" s="36">
        <f t="shared" si="0"/>
        <v>48837</v>
      </c>
      <c r="G59" s="36">
        <f t="shared" ref="G59" si="1">F59</f>
        <v>48837</v>
      </c>
      <c r="H59" s="36">
        <v>0</v>
      </c>
    </row>
    <row r="60" spans="1:18" x14ac:dyDescent="0.2">
      <c r="A60" s="126"/>
      <c r="B60" s="486"/>
      <c r="C60" s="832"/>
      <c r="D60" s="834"/>
      <c r="E60" s="848"/>
    </row>
    <row r="61" spans="1:18" x14ac:dyDescent="0.2">
      <c r="A61" s="122"/>
      <c r="B61" s="486"/>
      <c r="C61" s="486"/>
      <c r="D61" s="827"/>
    </row>
    <row r="62" spans="1:18" ht="13.5" thickBot="1" x14ac:dyDescent="0.25">
      <c r="A62" s="122"/>
      <c r="B62" s="486"/>
      <c r="C62" s="486"/>
      <c r="D62" s="42">
        <f>SUM(D11:D59)</f>
        <v>5740293.4299999997</v>
      </c>
      <c r="F62" s="42">
        <f>SUM(F11:F59)</f>
        <v>3077908.7576558683</v>
      </c>
      <c r="G62" s="42">
        <f t="shared" ref="G62" si="2">SUM(G11:G59)</f>
        <v>1899326.1650692313</v>
      </c>
      <c r="H62" s="42">
        <f>SUM(H11:H59)</f>
        <v>1178582.5925866368</v>
      </c>
    </row>
    <row r="63" spans="1:18" ht="14.25" thickTop="1" thickBot="1" x14ac:dyDescent="0.25">
      <c r="A63" s="122"/>
      <c r="B63" s="122"/>
      <c r="C63" s="122"/>
      <c r="D63" s="254"/>
    </row>
    <row r="64" spans="1:18" x14ac:dyDescent="0.2">
      <c r="A64" s="122"/>
      <c r="B64" s="735"/>
      <c r="C64" s="485"/>
      <c r="D64" s="835"/>
      <c r="E64" s="485"/>
      <c r="F64" s="129" t="s">
        <v>17</v>
      </c>
      <c r="G64" s="129" t="s">
        <v>18</v>
      </c>
      <c r="H64" s="130" t="s">
        <v>40</v>
      </c>
    </row>
    <row r="65" spans="1:8" x14ac:dyDescent="0.2">
      <c r="A65" s="122"/>
      <c r="B65" s="739" t="s">
        <v>72</v>
      </c>
      <c r="C65" s="128"/>
      <c r="D65" s="836">
        <v>924</v>
      </c>
      <c r="E65" s="486">
        <v>1</v>
      </c>
      <c r="F65" s="131">
        <f>[1]Lead!$E$19</f>
        <v>0.6038</v>
      </c>
      <c r="G65" s="131">
        <f>[1]Lead!$F$19</f>
        <v>0.3962</v>
      </c>
      <c r="H65" s="132">
        <f>SUM(F65:G65)</f>
        <v>1</v>
      </c>
    </row>
    <row r="66" spans="1:8" ht="13.5" thickBot="1" x14ac:dyDescent="0.25">
      <c r="A66" s="122"/>
      <c r="B66" s="837" t="s">
        <v>72</v>
      </c>
      <c r="C66" s="838"/>
      <c r="D66" s="839">
        <v>925</v>
      </c>
      <c r="E66" s="487">
        <v>2</v>
      </c>
      <c r="F66" s="133">
        <f>[1]Lead!$E$9</f>
        <v>0.58050000000000002</v>
      </c>
      <c r="G66" s="133">
        <f>[1]Lead!$F$9</f>
        <v>0.41949999999999998</v>
      </c>
      <c r="H66" s="134">
        <f>SUM(F66:G66)</f>
        <v>1</v>
      </c>
    </row>
    <row r="67" spans="1:8" x14ac:dyDescent="0.2">
      <c r="A67" s="122"/>
      <c r="B67" s="122"/>
      <c r="C67" s="122"/>
      <c r="D67" s="254"/>
    </row>
    <row r="68" spans="1:8" x14ac:dyDescent="0.2">
      <c r="A68" s="135"/>
      <c r="B68" s="122"/>
      <c r="C68" s="122"/>
      <c r="D68" s="254"/>
    </row>
    <row r="69" spans="1:8" x14ac:dyDescent="0.2">
      <c r="A69" s="135" t="s">
        <v>163</v>
      </c>
      <c r="B69" s="122"/>
      <c r="C69" s="122"/>
      <c r="D69" s="254"/>
    </row>
    <row r="70" spans="1:8" x14ac:dyDescent="0.2">
      <c r="D70" s="254"/>
    </row>
    <row r="71" spans="1:8" x14ac:dyDescent="0.2">
      <c r="D71" s="254"/>
    </row>
    <row r="72" spans="1:8" x14ac:dyDescent="0.2">
      <c r="D72" s="254"/>
    </row>
    <row r="73" spans="1:8" x14ac:dyDescent="0.2">
      <c r="D73" s="254"/>
    </row>
    <row r="74" spans="1:8" x14ac:dyDescent="0.2">
      <c r="D74" s="254"/>
    </row>
    <row r="75" spans="1:8" x14ac:dyDescent="0.2">
      <c r="D75" s="254"/>
    </row>
    <row r="76" spans="1:8" x14ac:dyDescent="0.2">
      <c r="D76" s="254"/>
    </row>
    <row r="77" spans="1:8" x14ac:dyDescent="0.2">
      <c r="D77" s="254"/>
    </row>
    <row r="78" spans="1:8" x14ac:dyDescent="0.2">
      <c r="D78" s="254"/>
    </row>
  </sheetData>
  <mergeCells count="1">
    <mergeCell ref="E3:F3"/>
  </mergeCells>
  <phoneticPr fontId="12" type="noConversion"/>
  <pageMargins left="0.56999999999999995" right="0.37" top="0.3" bottom="0.39" header="0.17" footer="0.17"/>
  <pageSetup scale="3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3"/>
  <sheetViews>
    <sheetView zoomScale="83" zoomScaleNormal="83" workbookViewId="0">
      <selection activeCell="J14" sqref="J14"/>
    </sheetView>
  </sheetViews>
  <sheetFormatPr defaultRowHeight="12.75" x14ac:dyDescent="0.2"/>
  <cols>
    <col min="1" max="1" width="16.7109375" customWidth="1"/>
    <col min="2" max="2" width="24.5703125" customWidth="1"/>
    <col min="3" max="3" width="19.85546875" customWidth="1"/>
    <col min="4" max="4" width="13.85546875" customWidth="1"/>
    <col min="5" max="5" width="17" customWidth="1"/>
    <col min="7" max="7" width="13.42578125" customWidth="1"/>
    <col min="8" max="8" width="12.28515625" bestFit="1" customWidth="1"/>
    <col min="9" max="9" width="13.140625" bestFit="1" customWidth="1"/>
    <col min="10" max="10" width="25.42578125" bestFit="1" customWidth="1"/>
    <col min="11" max="11" width="13.28515625" bestFit="1" customWidth="1"/>
    <col min="12" max="12" width="13.140625" bestFit="1" customWidth="1"/>
    <col min="13" max="13" width="12.28515625" customWidth="1"/>
    <col min="14" max="14" width="13.7109375" customWidth="1"/>
    <col min="15" max="15" width="15" customWidth="1"/>
    <col min="16" max="16" width="11.28515625" bestFit="1" customWidth="1"/>
  </cols>
  <sheetData>
    <row r="2" spans="1:18" ht="13.5" thickBot="1" x14ac:dyDescent="0.25">
      <c r="I2" s="9"/>
      <c r="J2" s="9"/>
    </row>
    <row r="3" spans="1:18" ht="40.5" customHeight="1" x14ac:dyDescent="0.2">
      <c r="A3" s="107"/>
      <c r="B3" s="108" t="s">
        <v>227</v>
      </c>
      <c r="C3" s="109" t="s">
        <v>173</v>
      </c>
      <c r="D3" s="109" t="s">
        <v>174</v>
      </c>
      <c r="E3" s="110" t="s">
        <v>40</v>
      </c>
      <c r="F3" s="111"/>
      <c r="G3" s="314"/>
      <c r="H3" s="314"/>
      <c r="I3" s="194"/>
      <c r="J3" s="194"/>
      <c r="K3" s="194"/>
      <c r="L3" s="194"/>
      <c r="M3" s="194"/>
    </row>
    <row r="4" spans="1:18" x14ac:dyDescent="0.2">
      <c r="A4" s="112">
        <v>92400013</v>
      </c>
      <c r="B4" s="255">
        <f>'SAP Download'!K55</f>
        <v>2483349.12</v>
      </c>
      <c r="C4" s="251">
        <f>'Prop Ins - RYupdated'!D41-C5-C6-C7-C8</f>
        <v>1783603</v>
      </c>
      <c r="D4" s="114">
        <f>B4-C4</f>
        <v>699746.12000000011</v>
      </c>
      <c r="E4" s="324">
        <f>SUM(C4:D4)</f>
        <v>2483349.12</v>
      </c>
      <c r="F4" s="106"/>
      <c r="G4" s="317"/>
      <c r="H4" s="307"/>
      <c r="I4" s="194"/>
      <c r="J4" s="250"/>
      <c r="K4" s="250"/>
      <c r="L4" s="250"/>
      <c r="M4" s="250"/>
      <c r="N4" s="311"/>
    </row>
    <row r="5" spans="1:18" x14ac:dyDescent="0.2">
      <c r="A5" s="104" t="s">
        <v>167</v>
      </c>
      <c r="B5" s="250">
        <f>'Colstrip Ins '!M7</f>
        <v>367005.06</v>
      </c>
      <c r="C5" s="251">
        <f>'Prop Ins - RYupdated'!D38</f>
        <v>367006</v>
      </c>
      <c r="D5" s="317">
        <f t="shared" ref="D5:D8" si="0">B5-C5</f>
        <v>-0.94000000000232831</v>
      </c>
      <c r="E5" s="324">
        <f t="shared" ref="E5:E8" si="1">SUM(C5:D5)</f>
        <v>367005.06</v>
      </c>
      <c r="F5" s="106"/>
      <c r="G5" s="314"/>
      <c r="H5" s="301"/>
      <c r="I5" s="194"/>
      <c r="J5" s="250"/>
      <c r="K5" s="250"/>
      <c r="L5" s="250"/>
      <c r="M5" s="250"/>
      <c r="N5" s="311"/>
    </row>
    <row r="6" spans="1:18" x14ac:dyDescent="0.2">
      <c r="A6" s="104" t="s">
        <v>168</v>
      </c>
      <c r="B6" s="250">
        <f>'Colstrip Ins '!N7</f>
        <v>389942.85</v>
      </c>
      <c r="C6" s="251">
        <f>'Prop Ins - RYupdated'!D39</f>
        <v>389943</v>
      </c>
      <c r="D6" s="317">
        <f t="shared" si="0"/>
        <v>-0.15000000002328306</v>
      </c>
      <c r="E6" s="324">
        <f t="shared" si="1"/>
        <v>389942.85</v>
      </c>
      <c r="F6" s="106"/>
      <c r="G6" s="314"/>
      <c r="H6" s="314"/>
      <c r="I6" s="194"/>
      <c r="J6" s="250"/>
      <c r="K6" s="250"/>
      <c r="L6" s="250"/>
      <c r="M6" s="250"/>
      <c r="N6" s="311"/>
    </row>
    <row r="7" spans="1:18" x14ac:dyDescent="0.2">
      <c r="A7" s="104" t="s">
        <v>150</v>
      </c>
      <c r="B7" s="250">
        <f>'Freddy1 Ins 2018'!T6</f>
        <v>147552.0660041667</v>
      </c>
      <c r="C7" s="251">
        <f>'Prop Ins - RYupdated'!D40</f>
        <v>147552</v>
      </c>
      <c r="D7" s="317">
        <f t="shared" si="0"/>
        <v>6.6004166699713096E-2</v>
      </c>
      <c r="E7" s="324">
        <f t="shared" si="1"/>
        <v>147552.0660041667</v>
      </c>
      <c r="F7" s="106"/>
      <c r="G7" s="301"/>
      <c r="H7" s="314"/>
      <c r="I7" s="194"/>
      <c r="J7" s="250"/>
      <c r="K7" s="250"/>
      <c r="L7" s="250"/>
      <c r="M7" s="250"/>
      <c r="N7" s="311"/>
    </row>
    <row r="8" spans="1:18" x14ac:dyDescent="0.2">
      <c r="A8" s="104" t="s">
        <v>169</v>
      </c>
      <c r="B8" s="252">
        <f>'.Rates - Updated'!M21</f>
        <v>454.07339999999999</v>
      </c>
      <c r="C8" s="253">
        <f>'Prop Ins - RYupdated'!D35</f>
        <v>454</v>
      </c>
      <c r="D8" s="308">
        <f t="shared" si="0"/>
        <v>7.339999999999236E-2</v>
      </c>
      <c r="E8" s="302">
        <f t="shared" si="1"/>
        <v>454.07339999999999</v>
      </c>
      <c r="F8" s="106"/>
      <c r="G8" s="317"/>
      <c r="H8" s="314"/>
      <c r="I8" s="194"/>
      <c r="J8" s="250"/>
      <c r="K8" s="250"/>
      <c r="L8" s="250"/>
      <c r="M8" s="250"/>
      <c r="N8" s="311"/>
    </row>
    <row r="9" spans="1:18" x14ac:dyDescent="0.2">
      <c r="A9" s="115" t="s">
        <v>17</v>
      </c>
      <c r="B9" s="286">
        <f>SUM(B4:B8)</f>
        <v>3388303.1694041672</v>
      </c>
      <c r="C9" s="286">
        <f>SUM(C4:C8)</f>
        <v>2688558</v>
      </c>
      <c r="D9" s="286">
        <f>SUM(D4:D8)</f>
        <v>699745.16940416687</v>
      </c>
      <c r="E9" s="305">
        <f>SUM(E4:E8)</f>
        <v>3388303.1694041672</v>
      </c>
      <c r="F9" s="287"/>
      <c r="G9" s="331"/>
      <c r="H9" s="314"/>
      <c r="I9" s="361"/>
      <c r="J9" s="339"/>
      <c r="K9" s="339"/>
      <c r="L9" s="339"/>
      <c r="M9" s="339"/>
      <c r="N9" s="311"/>
    </row>
    <row r="10" spans="1:18" ht="15" x14ac:dyDescent="0.35">
      <c r="A10" s="104"/>
      <c r="B10" s="340">
        <f>'Prop Ins - RYupdated'!D44</f>
        <v>3388303</v>
      </c>
      <c r="C10" s="341">
        <f>'Prop Ins - RYupdated'!D41</f>
        <v>2688558</v>
      </c>
      <c r="D10" s="341">
        <f>'Prop Ins - RYupdated'!D43</f>
        <v>699745</v>
      </c>
      <c r="E10" s="342">
        <f>'Prop Ins - RYupdated'!D44</f>
        <v>3388303</v>
      </c>
      <c r="F10" s="106"/>
      <c r="G10" s="314"/>
      <c r="H10" s="314"/>
      <c r="I10" s="194"/>
      <c r="J10" s="362"/>
      <c r="K10" s="304"/>
      <c r="L10" s="304"/>
      <c r="M10" s="304"/>
      <c r="N10" s="311"/>
    </row>
    <row r="11" spans="1:18" x14ac:dyDescent="0.2">
      <c r="A11" s="319" t="s">
        <v>124</v>
      </c>
      <c r="B11" s="303">
        <f>B9-B10</f>
        <v>0.16940416721627116</v>
      </c>
      <c r="C11" s="303">
        <f t="shared" ref="C11:E11" si="2">C9-C10</f>
        <v>0</v>
      </c>
      <c r="D11" s="303">
        <f t="shared" si="2"/>
        <v>0.1694041668670252</v>
      </c>
      <c r="E11" s="303">
        <f t="shared" si="2"/>
        <v>0.16940416721627116</v>
      </c>
      <c r="F11" s="106"/>
      <c r="G11" s="314"/>
      <c r="H11" s="314"/>
      <c r="I11" s="194"/>
      <c r="J11" s="250"/>
      <c r="K11" s="250"/>
      <c r="L11" s="250"/>
      <c r="M11" s="250"/>
      <c r="N11" s="311"/>
    </row>
    <row r="12" spans="1:18" x14ac:dyDescent="0.2">
      <c r="A12" s="112">
        <v>92400308</v>
      </c>
      <c r="B12" s="40">
        <f>'SAP Download'!L55</f>
        <v>44540.86</v>
      </c>
      <c r="C12" s="251">
        <f>'Prop Ins - RYupdated'!D48</f>
        <v>0</v>
      </c>
      <c r="D12" s="114">
        <f>B12-C12</f>
        <v>44540.86</v>
      </c>
      <c r="E12" s="327">
        <f>SUM(C12:D12)</f>
        <v>44540.86</v>
      </c>
      <c r="F12" s="106"/>
      <c r="G12" s="314"/>
      <c r="H12" s="314"/>
      <c r="I12" s="194"/>
      <c r="J12" s="250"/>
      <c r="K12" s="250"/>
      <c r="L12" s="250"/>
      <c r="M12" s="250"/>
      <c r="N12" s="311"/>
    </row>
    <row r="13" spans="1:18" x14ac:dyDescent="0.2">
      <c r="A13" s="112" t="s">
        <v>175</v>
      </c>
      <c r="B13" s="252">
        <f>-'SAP Download'!D28</f>
        <v>11384.831136000001</v>
      </c>
      <c r="C13" s="253">
        <f>'Prop Ins - RYupdated'!D47+'Prop Ins - RYupdated'!D49</f>
        <v>11385</v>
      </c>
      <c r="D13" s="366">
        <f>B13-C13</f>
        <v>-0.16886399999930291</v>
      </c>
      <c r="E13" s="325">
        <f t="shared" ref="E13" si="3">SUM(C13:D13)</f>
        <v>11384.831136000001</v>
      </c>
      <c r="F13" s="106"/>
      <c r="G13" s="314"/>
      <c r="H13" s="314"/>
      <c r="I13" s="194"/>
      <c r="J13" s="250"/>
      <c r="K13" s="250"/>
      <c r="L13" s="250"/>
      <c r="M13" s="250"/>
      <c r="N13" s="311"/>
      <c r="Q13" s="8"/>
      <c r="R13" s="8"/>
    </row>
    <row r="14" spans="1:18" x14ac:dyDescent="0.2">
      <c r="A14" s="115" t="s">
        <v>18</v>
      </c>
      <c r="B14" s="288">
        <f>SUM(B12:B13)</f>
        <v>55925.691136000001</v>
      </c>
      <c r="C14" s="286">
        <f>SUM(C12:C13)</f>
        <v>11385</v>
      </c>
      <c r="D14" s="286">
        <f>SUM(D12:D13)</f>
        <v>44540.691136000001</v>
      </c>
      <c r="E14" s="312">
        <f>SUM(E12:E13)</f>
        <v>55925.691136000001</v>
      </c>
      <c r="F14" s="106"/>
      <c r="G14" s="317"/>
      <c r="H14" s="314"/>
      <c r="I14" s="361"/>
      <c r="J14" s="339"/>
      <c r="K14" s="339"/>
      <c r="L14" s="339"/>
      <c r="M14" s="339"/>
      <c r="N14" s="311"/>
    </row>
    <row r="15" spans="1:18" ht="15" x14ac:dyDescent="0.35">
      <c r="A15" s="318"/>
      <c r="B15" s="340">
        <f>'Prop Ins - RYupdated'!D51</f>
        <v>55926</v>
      </c>
      <c r="C15" s="341">
        <f>'Prop Ins - RYupdated'!D47</f>
        <v>11385</v>
      </c>
      <c r="D15" s="341">
        <f>'Prop Ins - RYupdated'!D50</f>
        <v>44541</v>
      </c>
      <c r="E15" s="342">
        <f>'Prop Ins - RYupdated'!D51</f>
        <v>55926</v>
      </c>
      <c r="F15" s="315"/>
      <c r="G15" s="314"/>
      <c r="H15" s="314"/>
      <c r="I15" s="361"/>
      <c r="J15" s="362"/>
      <c r="K15" s="304"/>
      <c r="L15" s="304"/>
      <c r="M15" s="304"/>
      <c r="N15" s="311"/>
    </row>
    <row r="16" spans="1:18" x14ac:dyDescent="0.2">
      <c r="A16" s="319" t="s">
        <v>124</v>
      </c>
      <c r="B16" s="303">
        <f>B14-B15</f>
        <v>-0.30886399999872083</v>
      </c>
      <c r="C16" s="303">
        <f>C14-C15</f>
        <v>0</v>
      </c>
      <c r="D16" s="303">
        <f>D14-D15</f>
        <v>-0.30886399999872083</v>
      </c>
      <c r="E16" s="303">
        <f>E14-E15</f>
        <v>-0.30886399999872083</v>
      </c>
      <c r="F16" s="106"/>
      <c r="G16" s="314"/>
      <c r="H16" s="314"/>
      <c r="I16" s="194"/>
      <c r="J16" s="250"/>
      <c r="K16" s="250"/>
      <c r="L16" s="250"/>
      <c r="M16" s="250"/>
      <c r="N16" s="311"/>
    </row>
    <row r="17" spans="1:17" x14ac:dyDescent="0.2">
      <c r="A17" s="104"/>
      <c r="B17" s="105"/>
      <c r="C17" s="316"/>
      <c r="D17" s="105"/>
      <c r="E17" s="324"/>
      <c r="F17" s="106"/>
      <c r="G17" s="314"/>
      <c r="H17" s="314"/>
      <c r="I17" s="194"/>
      <c r="J17" s="250"/>
      <c r="K17" s="250"/>
      <c r="L17" s="250"/>
      <c r="M17" s="250"/>
      <c r="N17" s="311"/>
    </row>
    <row r="18" spans="1:17" x14ac:dyDescent="0.2">
      <c r="A18" s="112">
        <v>92400634</v>
      </c>
      <c r="B18" s="40">
        <f>'SAP Download'!J55</f>
        <v>138587.79</v>
      </c>
      <c r="C18" s="251">
        <f>'Prop Ins - RYupdated'!D53</f>
        <v>166574.33772799978</v>
      </c>
      <c r="D18" s="114">
        <f>B18-C18</f>
        <v>-27986.547727999772</v>
      </c>
      <c r="E18" s="327">
        <f>SUM(C18:D18)</f>
        <v>138587.79</v>
      </c>
      <c r="F18" s="106"/>
      <c r="G18" s="363"/>
      <c r="H18" s="307"/>
      <c r="I18" s="194"/>
      <c r="J18" s="250"/>
      <c r="K18" s="250"/>
      <c r="L18" s="250"/>
      <c r="M18" s="250"/>
      <c r="N18" s="311"/>
    </row>
    <row r="19" spans="1:17" x14ac:dyDescent="0.2">
      <c r="A19" s="112">
        <v>92400635</v>
      </c>
      <c r="B19" s="252">
        <f>'SAP Download'!I55</f>
        <v>27987.61</v>
      </c>
      <c r="C19" s="183">
        <v>0</v>
      </c>
      <c r="D19" s="308">
        <f>B19-C19</f>
        <v>27987.61</v>
      </c>
      <c r="E19" s="325">
        <f t="shared" ref="E19" si="4">SUM(C19:D19)</f>
        <v>27987.61</v>
      </c>
      <c r="F19" s="106"/>
      <c r="G19" s="363"/>
      <c r="H19" s="307"/>
      <c r="I19" s="361"/>
      <c r="J19" s="339"/>
      <c r="K19" s="339"/>
      <c r="L19" s="339"/>
      <c r="M19" s="339"/>
      <c r="N19" s="311"/>
      <c r="Q19" s="103"/>
    </row>
    <row r="20" spans="1:17" ht="15" x14ac:dyDescent="0.35">
      <c r="A20" s="115" t="s">
        <v>31</v>
      </c>
      <c r="B20" s="288">
        <f>SUM(B18:B19)</f>
        <v>166575.40000000002</v>
      </c>
      <c r="C20" s="286">
        <f>SUM(C18:C19)</f>
        <v>166574.33772799978</v>
      </c>
      <c r="D20" s="286">
        <f>SUM(D18:D19)</f>
        <v>1.0622720002284041</v>
      </c>
      <c r="E20" s="286">
        <f>SUM(E18:E19)</f>
        <v>166575.40000000002</v>
      </c>
      <c r="F20" s="106"/>
      <c r="G20" s="314"/>
      <c r="H20" s="314"/>
      <c r="I20" s="194"/>
      <c r="J20" s="362"/>
      <c r="K20" s="304"/>
      <c r="L20" s="304"/>
      <c r="M20" s="304"/>
      <c r="N20" s="311"/>
    </row>
    <row r="21" spans="1:17" ht="15" x14ac:dyDescent="0.35">
      <c r="A21" s="318"/>
      <c r="B21" s="340">
        <f>'Prop Ins - RYupdated'!D53</f>
        <v>166574.33772799978</v>
      </c>
      <c r="C21" s="340">
        <f>'Prop Ins - RYupdated'!D53</f>
        <v>166574.33772799978</v>
      </c>
      <c r="D21" s="340"/>
      <c r="E21" s="340">
        <f>'Prop Ins - RYupdated'!D53</f>
        <v>166574.33772799978</v>
      </c>
      <c r="F21" s="106"/>
      <c r="G21" s="314"/>
      <c r="H21" s="314"/>
      <c r="I21" s="194"/>
      <c r="J21" s="250"/>
      <c r="K21" s="250"/>
      <c r="L21" s="250"/>
      <c r="M21" s="250"/>
      <c r="N21" s="311"/>
    </row>
    <row r="22" spans="1:17" x14ac:dyDescent="0.2">
      <c r="A22" s="319" t="s">
        <v>124</v>
      </c>
      <c r="B22" s="303">
        <f>B20-B21</f>
        <v>1.062272000242956</v>
      </c>
      <c r="C22" s="303">
        <f t="shared" ref="C22:E22" si="5">C20-C21</f>
        <v>0</v>
      </c>
      <c r="D22" s="303">
        <f t="shared" si="5"/>
        <v>1.0622720002284041</v>
      </c>
      <c r="E22" s="303">
        <f t="shared" si="5"/>
        <v>1.062272000242956</v>
      </c>
      <c r="F22" s="119"/>
      <c r="G22" s="314"/>
      <c r="H22" s="314"/>
      <c r="I22" s="194"/>
      <c r="J22" s="339"/>
      <c r="K22" s="339"/>
      <c r="L22" s="339"/>
      <c r="M22" s="339"/>
      <c r="N22" s="311"/>
    </row>
    <row r="23" spans="1:17" ht="15.75" thickBot="1" x14ac:dyDescent="0.4">
      <c r="A23" s="115" t="s">
        <v>40</v>
      </c>
      <c r="B23" s="98">
        <f>B9+B14+B20</f>
        <v>3610804.2605401673</v>
      </c>
      <c r="C23" s="98">
        <f>C9+C14+C20</f>
        <v>2866517.3377279998</v>
      </c>
      <c r="D23" s="98">
        <f>D9+D14+D20</f>
        <v>744286.92281216709</v>
      </c>
      <c r="E23" s="98">
        <f>E9+E14+E20</f>
        <v>3610804.2605401673</v>
      </c>
      <c r="F23" s="118"/>
      <c r="G23" s="314"/>
      <c r="H23" s="314"/>
      <c r="I23" s="194"/>
      <c r="J23" s="362"/>
      <c r="K23" s="304"/>
      <c r="L23" s="304"/>
      <c r="M23" s="304"/>
      <c r="N23" s="311"/>
    </row>
    <row r="24" spans="1:17" ht="15.75" thickTop="1" x14ac:dyDescent="0.35">
      <c r="B24" s="299">
        <f>'Prop Ins - RYupdated'!D12</f>
        <v>3610803.3377279998</v>
      </c>
      <c r="C24" s="300"/>
      <c r="D24" s="300"/>
      <c r="E24" s="304">
        <f>'Prop Ins - RYupdated'!D12</f>
        <v>3610803.3377279998</v>
      </c>
      <c r="G24" s="314"/>
      <c r="H24" s="313"/>
      <c r="I24" s="194"/>
      <c r="J24" s="194"/>
      <c r="K24" s="250"/>
      <c r="L24" s="250"/>
      <c r="M24" s="250"/>
      <c r="N24" s="311"/>
    </row>
    <row r="25" spans="1:17" x14ac:dyDescent="0.2">
      <c r="A25" s="116" t="s">
        <v>124</v>
      </c>
      <c r="B25" s="117">
        <f>B23-B24</f>
        <v>0.92281216755509377</v>
      </c>
      <c r="C25" s="117"/>
      <c r="D25" s="113"/>
      <c r="E25" s="117">
        <f>E23-E24</f>
        <v>0.92281216755509377</v>
      </c>
      <c r="H25" s="311"/>
      <c r="I25" s="9"/>
      <c r="K25" s="311"/>
      <c r="L25" s="311"/>
      <c r="M25" s="311"/>
      <c r="N25" s="311"/>
    </row>
    <row r="26" spans="1:17" x14ac:dyDescent="0.2">
      <c r="H26" s="311"/>
    </row>
    <row r="27" spans="1:17" x14ac:dyDescent="0.2">
      <c r="H27" s="311"/>
    </row>
    <row r="28" spans="1:17" x14ac:dyDescent="0.2">
      <c r="A28" s="8"/>
      <c r="B28" s="360"/>
    </row>
    <row r="29" spans="1:17" x14ac:dyDescent="0.2">
      <c r="P29" s="100"/>
    </row>
    <row r="30" spans="1:17" x14ac:dyDescent="0.2">
      <c r="P30" s="100"/>
    </row>
    <row r="31" spans="1:17" x14ac:dyDescent="0.2">
      <c r="K31" s="101"/>
      <c r="L31" s="102"/>
      <c r="P31" s="100"/>
    </row>
    <row r="32" spans="1:17" x14ac:dyDescent="0.2">
      <c r="K32" s="101"/>
      <c r="L32" s="101"/>
      <c r="P32" s="100"/>
    </row>
    <row r="33" spans="16:16" x14ac:dyDescent="0.2">
      <c r="P33" s="100"/>
    </row>
  </sheetData>
  <pageMargins left="0.7" right="0.7" top="0.75" bottom="0.75" header="0.3" footer="0.3"/>
  <pageSetup scale="8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8"/>
  <sheetViews>
    <sheetView zoomScale="78" zoomScaleNormal="78" workbookViewId="0">
      <selection activeCell="B59" sqref="B59"/>
    </sheetView>
  </sheetViews>
  <sheetFormatPr defaultColWidth="9.140625" defaultRowHeight="15" x14ac:dyDescent="0.2"/>
  <cols>
    <col min="1" max="1" width="2.7109375" style="346" customWidth="1"/>
    <col min="2" max="2" width="67.5703125" style="345" customWidth="1"/>
    <col min="3" max="3" width="28.140625" style="345" customWidth="1"/>
    <col min="4" max="4" width="26.28515625" style="345" bestFit="1" customWidth="1"/>
    <col min="5" max="5" width="12.42578125" style="346" bestFit="1" customWidth="1"/>
    <col min="6" max="6" width="12.28515625" style="346" bestFit="1" customWidth="1"/>
    <col min="7" max="7" width="9.140625" style="346"/>
    <col min="8" max="8" width="11.140625" style="346" bestFit="1" customWidth="1"/>
    <col min="9" max="16384" width="9.140625" style="346"/>
  </cols>
  <sheetData>
    <row r="1" spans="2:4" ht="23.25" x14ac:dyDescent="0.2">
      <c r="D1" s="775"/>
    </row>
    <row r="2" spans="2:4" ht="24" thickBot="1" x14ac:dyDescent="0.3">
      <c r="B2" s="347" t="s">
        <v>34</v>
      </c>
      <c r="C2" s="347"/>
      <c r="D2" s="776"/>
    </row>
    <row r="3" spans="2:4" ht="45.75" thickBot="1" x14ac:dyDescent="0.25">
      <c r="B3" s="372"/>
      <c r="C3" s="862" t="s">
        <v>202</v>
      </c>
      <c r="D3" s="777" t="s">
        <v>203</v>
      </c>
    </row>
    <row r="4" spans="2:4" x14ac:dyDescent="0.2">
      <c r="B4" s="373" t="s">
        <v>73</v>
      </c>
      <c r="C4" s="778"/>
      <c r="D4" s="779"/>
    </row>
    <row r="5" spans="2:4" x14ac:dyDescent="0.2">
      <c r="B5" s="374" t="s">
        <v>93</v>
      </c>
      <c r="C5" s="780">
        <v>3700000</v>
      </c>
      <c r="D5" s="781">
        <v>3100000</v>
      </c>
    </row>
    <row r="6" spans="2:4" x14ac:dyDescent="0.2">
      <c r="B6" s="374" t="s">
        <v>94</v>
      </c>
      <c r="C6" s="782">
        <v>-395824</v>
      </c>
      <c r="D6" s="783">
        <v>-370928</v>
      </c>
    </row>
    <row r="7" spans="2:4" x14ac:dyDescent="0.2">
      <c r="B7" s="374" t="s">
        <v>154</v>
      </c>
      <c r="C7" s="784">
        <f>SUM(C5:C6)</f>
        <v>3304176</v>
      </c>
      <c r="D7" s="864">
        <f>SUM(D5:D6)</f>
        <v>2729072</v>
      </c>
    </row>
    <row r="8" spans="2:4" x14ac:dyDescent="0.2">
      <c r="B8" s="374" t="s">
        <v>338</v>
      </c>
      <c r="C8" s="356"/>
      <c r="D8" s="785">
        <f>'SAP Download'!B28/3*2</f>
        <v>-22769.662272000001</v>
      </c>
    </row>
    <row r="9" spans="2:4" x14ac:dyDescent="0.2">
      <c r="B9" s="374" t="s">
        <v>122</v>
      </c>
      <c r="C9" s="780">
        <v>418984</v>
      </c>
      <c r="D9" s="785">
        <v>367006</v>
      </c>
    </row>
    <row r="10" spans="2:4" x14ac:dyDescent="0.2">
      <c r="B10" s="374" t="s">
        <v>121</v>
      </c>
      <c r="C10" s="780">
        <v>445170</v>
      </c>
      <c r="D10" s="785">
        <v>389943</v>
      </c>
    </row>
    <row r="11" spans="2:4" x14ac:dyDescent="0.2">
      <c r="B11" s="374" t="s">
        <v>152</v>
      </c>
      <c r="C11" s="780">
        <v>185961</v>
      </c>
      <c r="D11" s="785">
        <v>147552</v>
      </c>
    </row>
    <row r="12" spans="2:4" ht="15.75" thickBot="1" x14ac:dyDescent="0.25">
      <c r="B12" s="374" t="s">
        <v>74</v>
      </c>
      <c r="C12" s="863">
        <f>SUM(C7:C11)</f>
        <v>4354291</v>
      </c>
      <c r="D12" s="365">
        <f>SUM(D7:D11)</f>
        <v>3610803.3377279998</v>
      </c>
    </row>
    <row r="13" spans="2:4" x14ac:dyDescent="0.2">
      <c r="B13" s="374"/>
      <c r="C13" s="778"/>
      <c r="D13" s="348"/>
    </row>
    <row r="14" spans="2:4" x14ac:dyDescent="0.2">
      <c r="B14" s="375" t="s">
        <v>54</v>
      </c>
      <c r="C14" s="778"/>
      <c r="D14" s="348"/>
    </row>
    <row r="15" spans="2:4" x14ac:dyDescent="0.2">
      <c r="B15" s="348"/>
      <c r="C15" s="778"/>
      <c r="D15" s="348"/>
    </row>
    <row r="16" spans="2:4" x14ac:dyDescent="0.2">
      <c r="B16" s="376" t="s">
        <v>41</v>
      </c>
      <c r="C16" s="778"/>
      <c r="D16" s="348"/>
    </row>
    <row r="17" spans="2:5" x14ac:dyDescent="0.2">
      <c r="B17" s="374" t="s">
        <v>83</v>
      </c>
      <c r="C17" s="780">
        <v>184483</v>
      </c>
      <c r="D17" s="785">
        <v>147447</v>
      </c>
    </row>
    <row r="18" spans="2:5" x14ac:dyDescent="0.2">
      <c r="B18" s="374" t="s">
        <v>42</v>
      </c>
      <c r="C18" s="780">
        <v>136912</v>
      </c>
      <c r="D18" s="785">
        <v>139843</v>
      </c>
    </row>
    <row r="19" spans="2:5" x14ac:dyDescent="0.2">
      <c r="B19" s="374" t="s">
        <v>87</v>
      </c>
      <c r="C19" s="778">
        <v>204077</v>
      </c>
      <c r="D19" s="785">
        <v>185611</v>
      </c>
    </row>
    <row r="20" spans="2:5" x14ac:dyDescent="0.2">
      <c r="B20" s="374"/>
      <c r="C20" s="778"/>
      <c r="D20" s="785"/>
    </row>
    <row r="21" spans="2:5" x14ac:dyDescent="0.2">
      <c r="B21" s="376" t="s">
        <v>43</v>
      </c>
      <c r="C21" s="778"/>
      <c r="D21" s="785"/>
    </row>
    <row r="22" spans="2:5" x14ac:dyDescent="0.2">
      <c r="B22" s="348" t="s">
        <v>44</v>
      </c>
      <c r="C22" s="778">
        <v>210225</v>
      </c>
      <c r="D22" s="785">
        <v>212621</v>
      </c>
    </row>
    <row r="23" spans="2:5" x14ac:dyDescent="0.2">
      <c r="B23" s="374" t="s">
        <v>84</v>
      </c>
      <c r="C23" s="778"/>
      <c r="D23" s="785"/>
    </row>
    <row r="24" spans="2:5" x14ac:dyDescent="0.2">
      <c r="B24" s="348" t="s">
        <v>45</v>
      </c>
      <c r="C24" s="778">
        <v>157032</v>
      </c>
      <c r="D24" s="785">
        <v>130528</v>
      </c>
    </row>
    <row r="25" spans="2:5" x14ac:dyDescent="0.2">
      <c r="B25" s="348" t="s">
        <v>46</v>
      </c>
      <c r="C25" s="778">
        <v>215515</v>
      </c>
      <c r="D25" s="785">
        <v>198514</v>
      </c>
    </row>
    <row r="26" spans="2:5" x14ac:dyDescent="0.2">
      <c r="B26" s="348"/>
      <c r="C26" s="778"/>
      <c r="D26" s="785"/>
      <c r="E26" s="349"/>
    </row>
    <row r="27" spans="2:5" x14ac:dyDescent="0.2">
      <c r="B27" s="376" t="s">
        <v>47</v>
      </c>
      <c r="C27" s="778"/>
      <c r="D27" s="785"/>
    </row>
    <row r="28" spans="2:5" x14ac:dyDescent="0.2">
      <c r="B28" s="348" t="s">
        <v>48</v>
      </c>
      <c r="C28" s="778">
        <v>1483</v>
      </c>
      <c r="D28" s="785">
        <v>1936</v>
      </c>
    </row>
    <row r="29" spans="2:5" x14ac:dyDescent="0.2">
      <c r="B29" s="348" t="s">
        <v>49</v>
      </c>
      <c r="C29" s="778">
        <v>96171</v>
      </c>
      <c r="D29" s="785">
        <v>102247</v>
      </c>
    </row>
    <row r="30" spans="2:5" x14ac:dyDescent="0.2">
      <c r="B30" s="348" t="s">
        <v>50</v>
      </c>
      <c r="C30" s="778">
        <v>94434</v>
      </c>
      <c r="D30" s="785">
        <v>78283</v>
      </c>
    </row>
    <row r="31" spans="2:5" x14ac:dyDescent="0.2">
      <c r="B31" s="348" t="s">
        <v>51</v>
      </c>
      <c r="C31" s="778">
        <v>47984</v>
      </c>
      <c r="D31" s="785">
        <v>59589</v>
      </c>
    </row>
    <row r="32" spans="2:5" x14ac:dyDescent="0.2">
      <c r="B32" s="348" t="s">
        <v>52</v>
      </c>
      <c r="C32" s="778">
        <v>199572</v>
      </c>
      <c r="D32" s="785">
        <v>171152</v>
      </c>
    </row>
    <row r="33" spans="1:8" x14ac:dyDescent="0.2">
      <c r="B33" s="348" t="s">
        <v>53</v>
      </c>
      <c r="C33" s="778">
        <v>79239</v>
      </c>
      <c r="D33" s="785">
        <v>80045</v>
      </c>
    </row>
    <row r="34" spans="1:8" x14ac:dyDescent="0.2">
      <c r="B34" s="374" t="s">
        <v>75</v>
      </c>
      <c r="C34" s="778">
        <v>45050</v>
      </c>
      <c r="D34" s="785">
        <v>67604</v>
      </c>
    </row>
    <row r="35" spans="1:8" x14ac:dyDescent="0.2">
      <c r="B35" s="374" t="s">
        <v>92</v>
      </c>
      <c r="C35" s="778">
        <v>454</v>
      </c>
      <c r="D35" s="785">
        <v>454</v>
      </c>
    </row>
    <row r="36" spans="1:8" x14ac:dyDescent="0.2">
      <c r="B36" s="374" t="s">
        <v>76</v>
      </c>
      <c r="C36" s="778">
        <v>78402</v>
      </c>
      <c r="D36" s="785">
        <v>88349</v>
      </c>
    </row>
    <row r="37" spans="1:8" x14ac:dyDescent="0.2">
      <c r="B37" s="374" t="s">
        <v>88</v>
      </c>
      <c r="C37" s="778">
        <v>137389</v>
      </c>
      <c r="D37" s="785">
        <v>119834</v>
      </c>
    </row>
    <row r="38" spans="1:8" x14ac:dyDescent="0.2">
      <c r="B38" s="374" t="s">
        <v>119</v>
      </c>
      <c r="C38" s="780">
        <v>418984</v>
      </c>
      <c r="D38" s="785">
        <v>367006</v>
      </c>
    </row>
    <row r="39" spans="1:8" x14ac:dyDescent="0.2">
      <c r="B39" s="374" t="s">
        <v>120</v>
      </c>
      <c r="C39" s="780">
        <v>445170</v>
      </c>
      <c r="D39" s="785">
        <v>389943</v>
      </c>
    </row>
    <row r="40" spans="1:8" x14ac:dyDescent="0.2">
      <c r="B40" s="374" t="s">
        <v>153</v>
      </c>
      <c r="C40" s="782">
        <v>185961</v>
      </c>
      <c r="D40" s="786">
        <v>147552</v>
      </c>
      <c r="F40" s="65"/>
      <c r="G40" s="65"/>
    </row>
    <row r="41" spans="1:8" x14ac:dyDescent="0.2">
      <c r="B41" s="374" t="s">
        <v>166</v>
      </c>
      <c r="C41" s="787">
        <f>SUM(C17:C40)</f>
        <v>2938537</v>
      </c>
      <c r="D41" s="785">
        <f>SUM(D17:D40)</f>
        <v>2688558</v>
      </c>
      <c r="F41" s="65"/>
      <c r="G41" s="65"/>
    </row>
    <row r="42" spans="1:8" x14ac:dyDescent="0.2">
      <c r="B42" s="374"/>
      <c r="C42" s="787"/>
      <c r="D42" s="348"/>
      <c r="F42" s="65"/>
      <c r="G42" s="65"/>
    </row>
    <row r="43" spans="1:8" x14ac:dyDescent="0.2">
      <c r="B43" s="374" t="s">
        <v>164</v>
      </c>
      <c r="C43" s="788">
        <v>1085941</v>
      </c>
      <c r="D43" s="786">
        <v>699745</v>
      </c>
      <c r="F43" s="65"/>
      <c r="G43" s="65"/>
    </row>
    <row r="44" spans="1:8" x14ac:dyDescent="0.2">
      <c r="B44" s="374" t="s">
        <v>165</v>
      </c>
      <c r="C44" s="369">
        <f>SUM(C41:C43)</f>
        <v>4024478</v>
      </c>
      <c r="D44" s="350">
        <f t="shared" ref="D44" si="0">SUM(D41:D43)</f>
        <v>3388303</v>
      </c>
      <c r="F44" s="357"/>
      <c r="G44" s="65"/>
    </row>
    <row r="45" spans="1:8" x14ac:dyDescent="0.2">
      <c r="B45" s="348"/>
      <c r="C45" s="789"/>
      <c r="D45" s="348"/>
      <c r="F45" s="65"/>
      <c r="G45" s="65"/>
    </row>
    <row r="46" spans="1:8" x14ac:dyDescent="0.2">
      <c r="A46" s="345"/>
      <c r="B46" s="375" t="s">
        <v>126</v>
      </c>
      <c r="C46" s="789"/>
      <c r="D46" s="348"/>
      <c r="F46" s="65"/>
      <c r="G46" s="65"/>
    </row>
    <row r="47" spans="1:8" x14ac:dyDescent="0.2">
      <c r="A47" s="345"/>
      <c r="B47" s="374" t="s">
        <v>85</v>
      </c>
      <c r="C47" s="780">
        <v>11387</v>
      </c>
      <c r="D47" s="785">
        <v>11385</v>
      </c>
      <c r="E47" s="364"/>
      <c r="F47" s="65"/>
      <c r="G47" s="65"/>
      <c r="H47" s="358"/>
    </row>
    <row r="48" spans="1:8" x14ac:dyDescent="0.25">
      <c r="A48" s="345"/>
      <c r="B48" s="377" t="s">
        <v>90</v>
      </c>
      <c r="C48" s="780"/>
      <c r="D48" s="785"/>
      <c r="E48" s="351" t="s">
        <v>204</v>
      </c>
      <c r="F48" s="65"/>
      <c r="G48" s="65"/>
    </row>
    <row r="49" spans="1:8" x14ac:dyDescent="0.2">
      <c r="A49" s="345"/>
      <c r="B49" s="378" t="s">
        <v>205</v>
      </c>
      <c r="C49" s="778"/>
      <c r="D49" s="785"/>
      <c r="E49" s="351" t="s">
        <v>204</v>
      </c>
      <c r="F49" s="65"/>
      <c r="G49" s="65"/>
    </row>
    <row r="50" spans="1:8" x14ac:dyDescent="0.2">
      <c r="A50" s="345"/>
      <c r="B50" s="348" t="s">
        <v>176</v>
      </c>
      <c r="C50" s="778">
        <v>58227</v>
      </c>
      <c r="D50" s="785">
        <v>44541</v>
      </c>
      <c r="F50" s="65"/>
      <c r="G50" s="65"/>
    </row>
    <row r="51" spans="1:8" x14ac:dyDescent="0.2">
      <c r="A51" s="345"/>
      <c r="B51" s="379" t="s">
        <v>77</v>
      </c>
      <c r="C51" s="370">
        <v>69614</v>
      </c>
      <c r="D51" s="352">
        <f t="shared" ref="D51" si="1">SUM(D47:D50)</f>
        <v>55926</v>
      </c>
      <c r="F51" s="65"/>
      <c r="G51" s="65"/>
      <c r="H51" s="359"/>
    </row>
    <row r="52" spans="1:8" x14ac:dyDescent="0.2">
      <c r="A52" s="345"/>
      <c r="B52" s="348"/>
      <c r="C52" s="789"/>
      <c r="D52" s="348"/>
      <c r="F52" s="65"/>
      <c r="G52" s="65"/>
    </row>
    <row r="53" spans="1:8" x14ac:dyDescent="0.2">
      <c r="B53" s="380" t="s">
        <v>78</v>
      </c>
      <c r="C53" s="371">
        <v>260199</v>
      </c>
      <c r="D53" s="353">
        <f t="shared" ref="D53" si="2">D12-D44-D51</f>
        <v>166574.33772799978</v>
      </c>
      <c r="F53" s="357"/>
      <c r="G53" s="65"/>
      <c r="H53" s="349"/>
    </row>
    <row r="54" spans="1:8" ht="15.75" thickBot="1" x14ac:dyDescent="0.25">
      <c r="B54" s="381"/>
      <c r="C54" s="790"/>
      <c r="D54" s="791"/>
      <c r="F54" s="65"/>
      <c r="G54" s="65"/>
    </row>
    <row r="56" spans="1:8" x14ac:dyDescent="0.2">
      <c r="B56" s="354" t="s">
        <v>91</v>
      </c>
      <c r="C56" s="354"/>
    </row>
    <row r="57" spans="1:8" x14ac:dyDescent="0.2">
      <c r="B57" s="354" t="s">
        <v>117</v>
      </c>
      <c r="C57" s="354"/>
    </row>
    <row r="58" spans="1:8" x14ac:dyDescent="0.2">
      <c r="B58" s="354" t="s">
        <v>118</v>
      </c>
      <c r="C58" s="354"/>
    </row>
    <row r="59" spans="1:8" x14ac:dyDescent="0.2">
      <c r="B59" s="354" t="s">
        <v>123</v>
      </c>
      <c r="C59" s="354"/>
    </row>
    <row r="60" spans="1:8" x14ac:dyDescent="0.2">
      <c r="B60" s="354" t="s">
        <v>151</v>
      </c>
      <c r="C60" s="354"/>
    </row>
    <row r="61" spans="1:8" x14ac:dyDescent="0.2">
      <c r="B61" s="355"/>
      <c r="C61" s="355"/>
    </row>
    <row r="62" spans="1:8" x14ac:dyDescent="0.2">
      <c r="B62" s="355"/>
      <c r="C62" s="355"/>
    </row>
    <row r="63" spans="1:8" x14ac:dyDescent="0.2">
      <c r="B63" s="355"/>
      <c r="C63" s="355"/>
    </row>
    <row r="64" spans="1:8" x14ac:dyDescent="0.2">
      <c r="B64" s="355"/>
      <c r="C64" s="355"/>
    </row>
    <row r="65" spans="2:3" x14ac:dyDescent="0.2">
      <c r="B65" s="355"/>
      <c r="C65" s="355"/>
    </row>
    <row r="67" spans="2:3" x14ac:dyDescent="0.2">
      <c r="B67" s="356"/>
      <c r="C67" s="356"/>
    </row>
    <row r="68" spans="2:3" x14ac:dyDescent="0.2">
      <c r="B68" s="356"/>
      <c r="C68" s="356"/>
    </row>
  </sheetData>
  <printOptions gridLines="1"/>
  <pageMargins left="0.81" right="0.25" top="1.42" bottom="0.52" header="0.3" footer="0.45"/>
  <pageSetup scale="1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5"/>
  <sheetViews>
    <sheetView zoomScale="90" zoomScaleNormal="90" workbookViewId="0">
      <selection activeCell="L19" sqref="L19"/>
    </sheetView>
  </sheetViews>
  <sheetFormatPr defaultColWidth="9.140625" defaultRowHeight="12.75" outlineLevelCol="1" x14ac:dyDescent="0.2"/>
  <cols>
    <col min="1" max="1" width="33.140625" style="201" customWidth="1"/>
    <col min="2" max="2" width="34.28515625" style="201" hidden="1" customWidth="1" outlineLevel="1"/>
    <col min="3" max="3" width="14.5703125" style="201" hidden="1" customWidth="1" outlineLevel="1"/>
    <col min="4" max="4" width="12.85546875" style="200" hidden="1" customWidth="1" outlineLevel="1"/>
    <col min="5" max="5" width="9.140625" style="200" hidden="1" customWidth="1" outlineLevel="1"/>
    <col min="6" max="6" width="10.7109375" style="200" hidden="1" customWidth="1" outlineLevel="1"/>
    <col min="7" max="7" width="15.7109375" style="201" hidden="1" customWidth="1" outlineLevel="1"/>
    <col min="8" max="8" width="9.28515625" style="201" customWidth="1" collapsed="1"/>
    <col min="9" max="9" width="20.7109375" style="201" bestFit="1" customWidth="1"/>
    <col min="10" max="10" width="20.7109375" style="201" customWidth="1"/>
    <col min="11" max="11" width="11.5703125" style="201" customWidth="1"/>
    <col min="12" max="12" width="20.7109375" style="201" customWidth="1"/>
    <col min="13" max="13" width="23.5703125" style="201" bestFit="1" customWidth="1"/>
    <col min="14" max="14" width="20.140625" style="201" customWidth="1"/>
    <col min="15" max="15" width="2.140625" style="201" customWidth="1"/>
    <col min="16" max="16" width="20.7109375" style="201" bestFit="1" customWidth="1"/>
    <col min="17" max="17" width="16.85546875" style="202" bestFit="1" customWidth="1"/>
    <col min="18" max="18" width="13.140625" style="202" bestFit="1" customWidth="1"/>
    <col min="19" max="16384" width="9.140625" style="201"/>
  </cols>
  <sheetData>
    <row r="1" spans="1:17" x14ac:dyDescent="0.2">
      <c r="A1" s="199"/>
      <c r="B1" s="199"/>
      <c r="C1" s="199"/>
    </row>
    <row r="3" spans="1:17" ht="25.5" x14ac:dyDescent="0.2">
      <c r="A3" s="849" t="s">
        <v>230</v>
      </c>
      <c r="B3" s="850" t="s">
        <v>231</v>
      </c>
      <c r="C3" s="851" t="s">
        <v>232</v>
      </c>
      <c r="D3" s="852" t="s">
        <v>233</v>
      </c>
      <c r="E3" s="852" t="s">
        <v>234</v>
      </c>
      <c r="F3" s="852" t="s">
        <v>235</v>
      </c>
      <c r="G3" s="852" t="s">
        <v>236</v>
      </c>
      <c r="H3" s="852" t="s">
        <v>237</v>
      </c>
      <c r="I3" s="849" t="s">
        <v>238</v>
      </c>
      <c r="J3" s="853" t="s">
        <v>239</v>
      </c>
      <c r="K3" s="853" t="s">
        <v>240</v>
      </c>
      <c r="L3" s="849" t="s">
        <v>241</v>
      </c>
      <c r="M3" s="849" t="s">
        <v>242</v>
      </c>
      <c r="N3" s="853" t="s">
        <v>243</v>
      </c>
    </row>
    <row r="4" spans="1:17" x14ac:dyDescent="0.2">
      <c r="A4" s="750" t="s">
        <v>244</v>
      </c>
      <c r="B4" s="750"/>
      <c r="C4" s="750"/>
      <c r="D4" s="751">
        <v>16896380</v>
      </c>
      <c r="E4" s="752">
        <v>6.2300000000000001E-2</v>
      </c>
      <c r="F4" s="751">
        <v>10526.444739999999</v>
      </c>
      <c r="G4" s="214">
        <v>17578994</v>
      </c>
      <c r="H4" s="753">
        <v>5.4138699999999998E-2</v>
      </c>
      <c r="I4" s="217">
        <v>17547899</v>
      </c>
      <c r="J4" s="217">
        <v>9500.2043959130006</v>
      </c>
      <c r="K4" s="218">
        <v>2.5000000000000001E-2</v>
      </c>
      <c r="L4" s="217">
        <v>33586180</v>
      </c>
      <c r="M4" s="217">
        <v>8396.5450000000001</v>
      </c>
      <c r="N4" s="233" t="s">
        <v>31</v>
      </c>
      <c r="O4" s="199"/>
      <c r="P4" s="199"/>
    </row>
    <row r="5" spans="1:17" x14ac:dyDescent="0.2">
      <c r="A5" s="750" t="s">
        <v>245</v>
      </c>
      <c r="B5" s="750"/>
      <c r="C5" s="750"/>
      <c r="D5" s="751">
        <v>38346246</v>
      </c>
      <c r="E5" s="752">
        <v>6.2300000000000001E-2</v>
      </c>
      <c r="F5" s="751">
        <v>23889.711258000003</v>
      </c>
      <c r="G5" s="214">
        <v>39895435</v>
      </c>
      <c r="H5" s="753">
        <v>5.4138699999999998E-2</v>
      </c>
      <c r="I5" s="217">
        <v>39840094</v>
      </c>
      <c r="J5" s="217">
        <v>21568</v>
      </c>
      <c r="K5" s="218">
        <v>3.2000000000000001E-2</v>
      </c>
      <c r="L5" s="217">
        <v>61222064</v>
      </c>
      <c r="M5" s="217">
        <v>19591.06048</v>
      </c>
      <c r="N5" s="233" t="s">
        <v>31</v>
      </c>
      <c r="O5" s="199"/>
      <c r="P5" s="199"/>
    </row>
    <row r="6" spans="1:17" x14ac:dyDescent="0.2">
      <c r="A6" s="750" t="s">
        <v>246</v>
      </c>
      <c r="B6" s="754" t="s">
        <v>55</v>
      </c>
      <c r="C6" s="754"/>
      <c r="D6" s="755" t="s">
        <v>247</v>
      </c>
      <c r="E6" s="755"/>
      <c r="F6" s="755"/>
      <c r="G6" s="756"/>
      <c r="H6" s="233">
        <v>5.4100000000000002E-2</v>
      </c>
      <c r="I6" s="217">
        <v>28440166</v>
      </c>
      <c r="J6" s="217">
        <v>15386.129806000001</v>
      </c>
      <c r="K6" s="218">
        <v>0.02</v>
      </c>
      <c r="L6" s="217">
        <v>5728350</v>
      </c>
      <c r="M6" s="217">
        <v>1145.67</v>
      </c>
      <c r="N6" s="233" t="s">
        <v>31</v>
      </c>
      <c r="O6" s="199"/>
      <c r="P6" s="199"/>
    </row>
    <row r="7" spans="1:17" x14ac:dyDescent="0.2">
      <c r="A7" s="750" t="s">
        <v>248</v>
      </c>
      <c r="B7" s="233"/>
      <c r="C7" s="233"/>
      <c r="D7" s="757"/>
      <c r="E7" s="757"/>
      <c r="F7" s="757"/>
      <c r="G7" s="214"/>
      <c r="H7" s="233">
        <v>5.4100000000000002E-2</v>
      </c>
      <c r="I7" s="217">
        <v>352991041</v>
      </c>
      <c r="J7" s="217">
        <v>190968.15318100003</v>
      </c>
      <c r="K7" s="218">
        <v>3.7999999999999999E-2</v>
      </c>
      <c r="L7" s="217">
        <v>346152257</v>
      </c>
      <c r="M7" s="217">
        <v>131537.85765999998</v>
      </c>
      <c r="N7" s="233" t="s">
        <v>31</v>
      </c>
      <c r="O7" s="199"/>
      <c r="P7" s="199"/>
    </row>
    <row r="8" spans="1:17" x14ac:dyDescent="0.2">
      <c r="A8" s="750" t="s">
        <v>246</v>
      </c>
      <c r="B8" s="754"/>
      <c r="C8" s="754"/>
      <c r="D8" s="755"/>
      <c r="E8" s="755"/>
      <c r="F8" s="755"/>
      <c r="G8" s="756"/>
      <c r="H8" s="233"/>
      <c r="I8" s="217"/>
      <c r="J8" s="217"/>
      <c r="K8" s="218">
        <v>0.02</v>
      </c>
      <c r="L8" s="217">
        <v>12771490</v>
      </c>
      <c r="M8" s="217">
        <v>2554.2980000000002</v>
      </c>
      <c r="N8" s="233" t="s">
        <v>17</v>
      </c>
      <c r="O8" s="199"/>
      <c r="P8" s="199"/>
    </row>
    <row r="9" spans="1:17" x14ac:dyDescent="0.2">
      <c r="A9" s="750" t="s">
        <v>249</v>
      </c>
      <c r="B9" s="750" t="s">
        <v>250</v>
      </c>
      <c r="C9" s="750" t="s">
        <v>249</v>
      </c>
      <c r="D9" s="751">
        <v>4357000</v>
      </c>
      <c r="E9" s="752">
        <v>3.7647966966237553E-2</v>
      </c>
      <c r="F9" s="751">
        <v>1640.3219207189702</v>
      </c>
      <c r="G9" s="214">
        <v>4511000</v>
      </c>
      <c r="H9" s="753">
        <v>3.2716083293660436E-2</v>
      </c>
      <c r="I9" s="217">
        <v>4532880</v>
      </c>
      <c r="J9" s="217">
        <v>1482.9807964016754</v>
      </c>
      <c r="K9" s="218">
        <v>4.2000000000000003E-2</v>
      </c>
      <c r="L9" s="217">
        <v>4608621</v>
      </c>
      <c r="M9" s="217">
        <v>1935.6208200000003</v>
      </c>
      <c r="N9" s="233" t="s">
        <v>17</v>
      </c>
      <c r="O9" s="199"/>
      <c r="P9" s="199"/>
    </row>
    <row r="10" spans="1:17" ht="15" x14ac:dyDescent="0.2">
      <c r="A10" s="750" t="s">
        <v>251</v>
      </c>
      <c r="B10" s="750" t="s">
        <v>252</v>
      </c>
      <c r="C10" s="750" t="s">
        <v>253</v>
      </c>
      <c r="D10" s="751">
        <v>450614000</v>
      </c>
      <c r="E10" s="752">
        <v>2.1879962319304471E-2</v>
      </c>
      <c r="F10" s="751">
        <v>98594.17340551065</v>
      </c>
      <c r="G10" s="226">
        <v>669295000</v>
      </c>
      <c r="H10" s="753">
        <v>3.1399999999999997E-2</v>
      </c>
      <c r="I10" s="217">
        <v>669505759</v>
      </c>
      <c r="J10" s="217">
        <v>210224.80832599997</v>
      </c>
      <c r="K10" s="218">
        <v>3.2000000000000001E-2</v>
      </c>
      <c r="L10" s="217">
        <v>664440690</v>
      </c>
      <c r="M10" s="217">
        <v>212621.02080000003</v>
      </c>
      <c r="N10" s="233" t="s">
        <v>17</v>
      </c>
      <c r="O10" s="758"/>
      <c r="P10" s="228"/>
      <c r="Q10" s="229"/>
    </row>
    <row r="11" spans="1:17" ht="15" x14ac:dyDescent="0.2">
      <c r="A11" s="750" t="s">
        <v>254</v>
      </c>
      <c r="B11" s="750" t="s">
        <v>255</v>
      </c>
      <c r="C11" s="750" t="s">
        <v>253</v>
      </c>
      <c r="D11" s="751">
        <v>346194000</v>
      </c>
      <c r="E11" s="752">
        <v>3.6080283509341997E-2</v>
      </c>
      <c r="F11" s="751">
        <v>124907.77669233143</v>
      </c>
      <c r="G11" s="214">
        <v>383006000</v>
      </c>
      <c r="H11" s="753">
        <v>4.1000000000000002E-2</v>
      </c>
      <c r="I11" s="217">
        <v>383006000</v>
      </c>
      <c r="J11" s="217">
        <v>157032.46</v>
      </c>
      <c r="K11" s="218">
        <v>3.2000000000000001E-2</v>
      </c>
      <c r="L11" s="217">
        <v>407900310</v>
      </c>
      <c r="M11" s="217">
        <v>130528.0992</v>
      </c>
      <c r="N11" s="233" t="s">
        <v>17</v>
      </c>
      <c r="O11" s="758"/>
      <c r="P11" s="228"/>
      <c r="Q11" s="229"/>
    </row>
    <row r="12" spans="1:17" ht="15" x14ac:dyDescent="0.2">
      <c r="A12" s="750" t="s">
        <v>256</v>
      </c>
      <c r="B12" s="750" t="s">
        <v>257</v>
      </c>
      <c r="C12" s="750" t="s">
        <v>258</v>
      </c>
      <c r="D12" s="751">
        <v>256871236</v>
      </c>
      <c r="E12" s="752">
        <v>9.4053860630722269E-2</v>
      </c>
      <c r="F12" s="751">
        <v>241597.31430785367</v>
      </c>
      <c r="G12" s="214">
        <v>267151000</v>
      </c>
      <c r="H12" s="753">
        <v>8.1732804888097657E-2</v>
      </c>
      <c r="I12" s="217">
        <v>263682120</v>
      </c>
      <c r="J12" s="217">
        <v>215514.79266439952</v>
      </c>
      <c r="K12" s="218">
        <v>7.0000000000000007E-2</v>
      </c>
      <c r="L12" s="217">
        <v>283592113</v>
      </c>
      <c r="M12" s="217">
        <v>198514.4791</v>
      </c>
      <c r="N12" s="233" t="s">
        <v>17</v>
      </c>
      <c r="O12" s="758"/>
      <c r="P12" s="228"/>
      <c r="Q12" s="229"/>
    </row>
    <row r="13" spans="1:17" ht="15" x14ac:dyDescent="0.2">
      <c r="A13" s="750" t="s">
        <v>259</v>
      </c>
      <c r="B13" s="750" t="s">
        <v>260</v>
      </c>
      <c r="C13" s="750" t="s">
        <v>261</v>
      </c>
      <c r="D13" s="751">
        <v>289667000</v>
      </c>
      <c r="E13" s="752">
        <v>8.8668649363099969E-2</v>
      </c>
      <c r="F13" s="751">
        <v>256843.81655061079</v>
      </c>
      <c r="G13" s="214">
        <v>298542000</v>
      </c>
      <c r="H13" s="753">
        <v>7.7053056296533876E-2</v>
      </c>
      <c r="I13" s="217">
        <v>239423441</v>
      </c>
      <c r="J13" s="217">
        <v>184483.07878082857</v>
      </c>
      <c r="K13" s="218">
        <v>5.5E-2</v>
      </c>
      <c r="L13" s="217">
        <v>268085273</v>
      </c>
      <c r="M13" s="217">
        <v>147446.90015</v>
      </c>
      <c r="N13" s="233" t="s">
        <v>17</v>
      </c>
      <c r="O13" s="758"/>
      <c r="P13" s="228"/>
      <c r="Q13" s="229"/>
    </row>
    <row r="14" spans="1:17" ht="15" x14ac:dyDescent="0.2">
      <c r="A14" s="750" t="s">
        <v>262</v>
      </c>
      <c r="B14" s="750" t="s">
        <v>263</v>
      </c>
      <c r="C14" s="750" t="s">
        <v>264</v>
      </c>
      <c r="D14" s="751">
        <v>662297000</v>
      </c>
      <c r="E14" s="752">
        <v>3.7120215224820029E-2</v>
      </c>
      <c r="F14" s="751">
        <v>245846.07182752629</v>
      </c>
      <c r="G14" s="226">
        <v>682901000</v>
      </c>
      <c r="H14" s="753">
        <v>3.2257467030368601E-2</v>
      </c>
      <c r="I14" s="217">
        <v>424436105</v>
      </c>
      <c r="J14" s="217">
        <v>136912.33663535566</v>
      </c>
      <c r="K14" s="218">
        <v>0.03</v>
      </c>
      <c r="L14" s="217">
        <v>466144260</v>
      </c>
      <c r="M14" s="217">
        <v>139843.27799999999</v>
      </c>
      <c r="N14" s="233" t="s">
        <v>17</v>
      </c>
      <c r="O14" s="758"/>
      <c r="P14" s="228"/>
      <c r="Q14" s="229"/>
    </row>
    <row r="15" spans="1:17" ht="15" x14ac:dyDescent="0.2">
      <c r="A15" s="750" t="s">
        <v>265</v>
      </c>
      <c r="B15" s="750"/>
      <c r="C15" s="750"/>
      <c r="D15" s="751">
        <v>629831000</v>
      </c>
      <c r="E15" s="752">
        <v>3.9554579999999999E-2</v>
      </c>
      <c r="F15" s="751">
        <v>249127.00675979999</v>
      </c>
      <c r="G15" s="226">
        <v>648907000</v>
      </c>
      <c r="H15" s="753">
        <v>3.4372930019999998E-2</v>
      </c>
      <c r="I15" s="217">
        <v>593714663</v>
      </c>
      <c r="J15" s="217">
        <v>204077.12563146881</v>
      </c>
      <c r="K15" s="218">
        <v>0.03</v>
      </c>
      <c r="L15" s="217">
        <v>618703734</v>
      </c>
      <c r="M15" s="217">
        <v>185611.1202</v>
      </c>
      <c r="N15" s="233" t="s">
        <v>17</v>
      </c>
      <c r="O15" s="758"/>
      <c r="P15" s="228"/>
      <c r="Q15" s="229"/>
    </row>
    <row r="16" spans="1:17" ht="15" x14ac:dyDescent="0.2">
      <c r="A16" s="750" t="s">
        <v>266</v>
      </c>
      <c r="B16" s="750"/>
      <c r="C16" s="750"/>
      <c r="D16" s="751"/>
      <c r="E16" s="752"/>
      <c r="F16" s="751"/>
      <c r="G16" s="226"/>
      <c r="H16" s="753"/>
      <c r="I16" s="217"/>
      <c r="J16" s="217"/>
      <c r="K16" s="218">
        <v>2.6499999999999999E-2</v>
      </c>
      <c r="L16" s="217">
        <v>14448105</v>
      </c>
      <c r="M16" s="217">
        <v>3828.7478249999999</v>
      </c>
      <c r="N16" s="233" t="s">
        <v>17</v>
      </c>
      <c r="O16" s="758"/>
      <c r="P16" s="228"/>
      <c r="Q16" s="229"/>
    </row>
    <row r="17" spans="1:17" ht="15" x14ac:dyDescent="0.2">
      <c r="A17" s="750" t="s">
        <v>267</v>
      </c>
      <c r="B17" s="233"/>
      <c r="C17" s="233"/>
      <c r="D17" s="759" t="s">
        <v>268</v>
      </c>
      <c r="E17" s="757"/>
      <c r="F17" s="757"/>
      <c r="G17" s="760"/>
      <c r="H17" s="761">
        <v>5.4100000000000002E-2</v>
      </c>
      <c r="I17" s="217">
        <v>1803420927</v>
      </c>
      <c r="J17" s="217">
        <v>975650.72150700004</v>
      </c>
      <c r="K17" s="218">
        <v>3.7999999999999999E-2</v>
      </c>
      <c r="L17" s="217">
        <v>1594848550</v>
      </c>
      <c r="M17" s="217">
        <v>606042.44900000002</v>
      </c>
      <c r="N17" s="233" t="s">
        <v>17</v>
      </c>
      <c r="O17" s="758"/>
      <c r="P17" s="228"/>
      <c r="Q17" s="229"/>
    </row>
    <row r="18" spans="1:17" ht="15" x14ac:dyDescent="0.2">
      <c r="A18" s="750" t="s">
        <v>269</v>
      </c>
      <c r="B18" s="233"/>
      <c r="C18" s="233"/>
      <c r="D18" s="755"/>
      <c r="E18" s="755"/>
      <c r="F18" s="755"/>
      <c r="G18" s="233"/>
      <c r="H18" s="233">
        <v>5.4100000000000002E-2</v>
      </c>
      <c r="I18" s="217">
        <v>203862890</v>
      </c>
      <c r="J18" s="217">
        <v>110289.82349000001</v>
      </c>
      <c r="K18" s="218">
        <v>3.7999999999999999E-2</v>
      </c>
      <c r="L18" s="217">
        <v>229787312</v>
      </c>
      <c r="M18" s="217">
        <v>87319.17856</v>
      </c>
      <c r="N18" s="233" t="s">
        <v>17</v>
      </c>
      <c r="O18" s="758"/>
      <c r="P18" s="231"/>
      <c r="Q18" s="232"/>
    </row>
    <row r="19" spans="1:17" ht="15" x14ac:dyDescent="0.2">
      <c r="A19" s="750" t="s">
        <v>270</v>
      </c>
      <c r="B19" s="750" t="s">
        <v>271</v>
      </c>
      <c r="C19" s="750" t="s">
        <v>272</v>
      </c>
      <c r="D19" s="751">
        <v>400929000</v>
      </c>
      <c r="E19" s="752">
        <v>3.7303023037373935E-2</v>
      </c>
      <c r="F19" s="751">
        <v>149558.63723351294</v>
      </c>
      <c r="G19" s="226">
        <v>273220000</v>
      </c>
      <c r="H19" s="753">
        <v>3.2416327019477949E-2</v>
      </c>
      <c r="I19" s="217">
        <v>296675338</v>
      </c>
      <c r="J19" s="217">
        <v>96171.247752221519</v>
      </c>
      <c r="K19" s="218">
        <v>3.5000000000000003E-2</v>
      </c>
      <c r="L19" s="217">
        <v>292134834</v>
      </c>
      <c r="M19" s="217">
        <v>102247.19190000002</v>
      </c>
      <c r="N19" s="233" t="s">
        <v>17</v>
      </c>
      <c r="O19" s="758"/>
      <c r="P19" s="228"/>
      <c r="Q19" s="229"/>
    </row>
    <row r="20" spans="1:17" ht="15" x14ac:dyDescent="0.2">
      <c r="A20" s="750" t="s">
        <v>273</v>
      </c>
      <c r="B20" s="750" t="s">
        <v>274</v>
      </c>
      <c r="C20" s="750" t="s">
        <v>275</v>
      </c>
      <c r="D20" s="751">
        <v>136672000</v>
      </c>
      <c r="E20" s="752">
        <v>3.6511991174806128E-2</v>
      </c>
      <c r="F20" s="751">
        <v>49901.668578431032</v>
      </c>
      <c r="G20" s="226">
        <v>142194000</v>
      </c>
      <c r="H20" s="753">
        <v>3.1728920330906525E-2</v>
      </c>
      <c r="I20" s="217">
        <v>141985390</v>
      </c>
      <c r="J20" s="217">
        <v>45050.431274626913</v>
      </c>
      <c r="K20" s="218">
        <v>4.5499999999999999E-2</v>
      </c>
      <c r="L20" s="217">
        <v>148579486</v>
      </c>
      <c r="M20" s="217">
        <v>67603.666129999998</v>
      </c>
      <c r="N20" s="233" t="s">
        <v>17</v>
      </c>
      <c r="O20" s="758"/>
      <c r="P20" s="234"/>
      <c r="Q20" s="235"/>
    </row>
    <row r="21" spans="1:17" x14ac:dyDescent="0.2">
      <c r="A21" s="750" t="s">
        <v>276</v>
      </c>
      <c r="B21" s="750"/>
      <c r="C21" s="750" t="s">
        <v>275</v>
      </c>
      <c r="D21" s="751"/>
      <c r="E21" s="752"/>
      <c r="F21" s="751"/>
      <c r="G21" s="226">
        <v>2390000</v>
      </c>
      <c r="H21" s="753">
        <v>1.9E-2</v>
      </c>
      <c r="I21" s="217">
        <v>2389860</v>
      </c>
      <c r="J21" s="217">
        <v>454</v>
      </c>
      <c r="K21" s="218">
        <v>1.9E-2</v>
      </c>
      <c r="L21" s="217">
        <v>2389860</v>
      </c>
      <c r="M21" s="217">
        <v>454.07339999999999</v>
      </c>
      <c r="N21" s="761" t="s">
        <v>277</v>
      </c>
      <c r="O21" s="758"/>
      <c r="P21" s="762"/>
      <c r="Q21" s="236"/>
    </row>
    <row r="22" spans="1:17" x14ac:dyDescent="0.2">
      <c r="A22" s="750" t="s">
        <v>278</v>
      </c>
      <c r="B22" s="750" t="s">
        <v>279</v>
      </c>
      <c r="C22" s="750" t="s">
        <v>280</v>
      </c>
      <c r="D22" s="751">
        <v>368012000</v>
      </c>
      <c r="E22" s="752">
        <v>4.1391606233694589E-2</v>
      </c>
      <c r="F22" s="751">
        <v>152326.07793274414</v>
      </c>
      <c r="G22" s="226">
        <v>382879000</v>
      </c>
      <c r="H22" s="753">
        <v>3.5969305817080598E-2</v>
      </c>
      <c r="I22" s="217">
        <v>217968722</v>
      </c>
      <c r="J22" s="217">
        <v>78401.836201762242</v>
      </c>
      <c r="K22" s="218">
        <v>0.04</v>
      </c>
      <c r="L22" s="217">
        <v>220873522</v>
      </c>
      <c r="M22" s="217">
        <v>88349.408800000005</v>
      </c>
      <c r="N22" s="233" t="s">
        <v>17</v>
      </c>
      <c r="O22" s="758"/>
      <c r="P22" s="758"/>
      <c r="Q22" s="236"/>
    </row>
    <row r="23" spans="1:17" x14ac:dyDescent="0.2">
      <c r="A23" s="750" t="s">
        <v>281</v>
      </c>
      <c r="B23" s="750" t="s">
        <v>282</v>
      </c>
      <c r="C23" s="750" t="s">
        <v>283</v>
      </c>
      <c r="D23" s="751">
        <v>106878000</v>
      </c>
      <c r="E23" s="752">
        <v>9.688394257838108E-2</v>
      </c>
      <c r="F23" s="751">
        <v>103547.62014892213</v>
      </c>
      <c r="G23" s="226">
        <v>110134000</v>
      </c>
      <c r="H23" s="753">
        <v>8.4192146100613152E-2</v>
      </c>
      <c r="I23" s="217">
        <v>112164829</v>
      </c>
      <c r="J23" s="217">
        <v>94433.976705182897</v>
      </c>
      <c r="K23" s="218">
        <v>6.5000000000000002E-2</v>
      </c>
      <c r="L23" s="217">
        <v>120435661</v>
      </c>
      <c r="M23" s="217">
        <v>78283.179650000005</v>
      </c>
      <c r="N23" s="233" t="s">
        <v>17</v>
      </c>
      <c r="O23" s="758"/>
      <c r="P23" s="758"/>
      <c r="Q23" s="236"/>
    </row>
    <row r="24" spans="1:17" x14ac:dyDescent="0.2">
      <c r="A24" s="750" t="s">
        <v>284</v>
      </c>
      <c r="B24" s="750" t="s">
        <v>285</v>
      </c>
      <c r="C24" s="750" t="s">
        <v>286</v>
      </c>
      <c r="D24" s="751">
        <v>107570000</v>
      </c>
      <c r="E24" s="752">
        <v>4.8511100976614992E-2</v>
      </c>
      <c r="F24" s="751">
        <v>52183.391320544746</v>
      </c>
      <c r="G24" s="214">
        <v>110841000</v>
      </c>
      <c r="H24" s="753">
        <v>4.215614674867843E-2</v>
      </c>
      <c r="I24" s="217">
        <v>113825154</v>
      </c>
      <c r="J24" s="217">
        <v>47984.298957149222</v>
      </c>
      <c r="K24" s="218">
        <v>4.5499999999999999E-2</v>
      </c>
      <c r="L24" s="217">
        <v>130964962</v>
      </c>
      <c r="M24" s="217">
        <v>59589.057709999994</v>
      </c>
      <c r="N24" s="233" t="s">
        <v>17</v>
      </c>
      <c r="O24" s="758"/>
      <c r="P24" s="758"/>
      <c r="Q24" s="236"/>
    </row>
    <row r="25" spans="1:17" x14ac:dyDescent="0.2">
      <c r="A25" s="750" t="s">
        <v>287</v>
      </c>
      <c r="B25" s="750" t="s">
        <v>288</v>
      </c>
      <c r="C25" s="750" t="s">
        <v>289</v>
      </c>
      <c r="D25" s="751">
        <v>273070000</v>
      </c>
      <c r="E25" s="752">
        <v>9.7008130971476383E-2</v>
      </c>
      <c r="F25" s="751">
        <v>264900.10324381053</v>
      </c>
      <c r="G25" s="214">
        <v>281336000</v>
      </c>
      <c r="H25" s="753">
        <v>8.4300065814212982E-2</v>
      </c>
      <c r="I25" s="217">
        <v>236740487</v>
      </c>
      <c r="J25" s="217">
        <v>199572.16</v>
      </c>
      <c r="K25" s="218">
        <v>7.4999999999999997E-2</v>
      </c>
      <c r="L25" s="217">
        <v>228203028</v>
      </c>
      <c r="M25" s="217">
        <v>171152.27099999998</v>
      </c>
      <c r="N25" s="233" t="s">
        <v>17</v>
      </c>
      <c r="O25" s="199"/>
      <c r="P25" s="763"/>
    </row>
    <row r="26" spans="1:17" x14ac:dyDescent="0.2">
      <c r="A26" s="750" t="s">
        <v>290</v>
      </c>
      <c r="B26" s="750" t="s">
        <v>291</v>
      </c>
      <c r="C26" s="750" t="s">
        <v>292</v>
      </c>
      <c r="D26" s="751">
        <v>181431000</v>
      </c>
      <c r="E26" s="752">
        <v>2.7222016264915234E-2</v>
      </c>
      <c r="F26" s="751">
        <v>49389.176329598355</v>
      </c>
      <c r="G26" s="226">
        <v>185060000</v>
      </c>
      <c r="H26" s="753">
        <v>4.2200000000000001E-2</v>
      </c>
      <c r="I26" s="217">
        <v>187771156</v>
      </c>
      <c r="J26" s="217">
        <v>79239.427832000001</v>
      </c>
      <c r="K26" s="218">
        <v>0.04</v>
      </c>
      <c r="L26" s="217">
        <v>200111948</v>
      </c>
      <c r="M26" s="217">
        <v>80044.779200000004</v>
      </c>
      <c r="N26" s="233" t="s">
        <v>17</v>
      </c>
      <c r="O26" s="199"/>
      <c r="P26" s="199"/>
    </row>
    <row r="27" spans="1:17" x14ac:dyDescent="0.2">
      <c r="A27" s="750" t="s">
        <v>293</v>
      </c>
      <c r="B27" s="750"/>
      <c r="C27" s="750" t="s">
        <v>294</v>
      </c>
      <c r="D27" s="751">
        <v>226443000</v>
      </c>
      <c r="E27" s="752">
        <v>6.6316799999999995E-2</v>
      </c>
      <c r="F27" s="751">
        <v>150169.75142399999</v>
      </c>
      <c r="G27" s="226">
        <v>235591000</v>
      </c>
      <c r="H27" s="753">
        <v>5.7629299199999998E-2</v>
      </c>
      <c r="I27" s="217">
        <v>238400727</v>
      </c>
      <c r="J27" s="217">
        <v>137388.66825780517</v>
      </c>
      <c r="K27" s="218">
        <v>4.9000000000000002E-2</v>
      </c>
      <c r="L27" s="217">
        <v>244559955</v>
      </c>
      <c r="M27" s="217">
        <v>119834.37794999999</v>
      </c>
      <c r="N27" s="761" t="s">
        <v>17</v>
      </c>
      <c r="O27" s="199"/>
      <c r="P27" s="199"/>
    </row>
    <row r="28" spans="1:17" x14ac:dyDescent="0.2">
      <c r="A28" s="750" t="s">
        <v>295</v>
      </c>
      <c r="B28" s="233"/>
      <c r="C28" s="233"/>
      <c r="D28" s="755"/>
      <c r="E28" s="755"/>
      <c r="F28" s="755"/>
      <c r="G28" s="233"/>
      <c r="H28" s="233">
        <v>5.4100000000000002E-2</v>
      </c>
      <c r="I28" s="217">
        <v>18258844</v>
      </c>
      <c r="J28" s="217">
        <v>9878.0346040000004</v>
      </c>
      <c r="K28" s="218">
        <v>5.1999999999999998E-2</v>
      </c>
      <c r="L28" s="217">
        <v>18532598</v>
      </c>
      <c r="M28" s="217">
        <v>9636.9509599999983</v>
      </c>
      <c r="N28" s="233" t="s">
        <v>18</v>
      </c>
      <c r="O28" s="199"/>
      <c r="P28" s="199"/>
    </row>
    <row r="29" spans="1:17" x14ac:dyDescent="0.2">
      <c r="A29" s="750" t="s">
        <v>296</v>
      </c>
      <c r="B29" s="233"/>
      <c r="C29" s="233"/>
      <c r="D29" s="755"/>
      <c r="E29" s="755"/>
      <c r="F29" s="755"/>
      <c r="G29" s="233"/>
      <c r="H29" s="233">
        <v>5.4100000000000002E-2</v>
      </c>
      <c r="I29" s="217">
        <v>27325866</v>
      </c>
      <c r="J29" s="217">
        <v>14783.293506</v>
      </c>
      <c r="K29" s="218">
        <v>4.5499999999999999E-2</v>
      </c>
      <c r="L29" s="217">
        <v>27355073</v>
      </c>
      <c r="M29" s="217">
        <v>12446.558215000001</v>
      </c>
      <c r="N29" s="233" t="s">
        <v>18</v>
      </c>
      <c r="O29" s="199"/>
      <c r="P29" s="199"/>
    </row>
    <row r="30" spans="1:17" x14ac:dyDescent="0.2">
      <c r="A30" s="750" t="s">
        <v>297</v>
      </c>
      <c r="B30" s="233"/>
      <c r="C30" s="233"/>
      <c r="D30" s="759" t="s">
        <v>298</v>
      </c>
      <c r="E30" s="757"/>
      <c r="F30" s="757"/>
      <c r="G30" s="764"/>
      <c r="H30" s="233">
        <v>5.4100000000000002E-2</v>
      </c>
      <c r="I30" s="217">
        <v>7191632</v>
      </c>
      <c r="J30" s="217">
        <v>3890.6729120000005</v>
      </c>
      <c r="K30" s="218">
        <v>3.8399999999999997E-2</v>
      </c>
      <c r="L30" s="217">
        <v>7237410</v>
      </c>
      <c r="M30" s="217">
        <v>2779.1654399999998</v>
      </c>
      <c r="N30" s="233" t="s">
        <v>18</v>
      </c>
      <c r="O30" s="199"/>
      <c r="P30" s="199"/>
    </row>
    <row r="31" spans="1:17" x14ac:dyDescent="0.2">
      <c r="A31" s="750" t="s">
        <v>299</v>
      </c>
      <c r="B31" s="233"/>
      <c r="C31" s="233"/>
      <c r="D31" s="755"/>
      <c r="E31" s="755"/>
      <c r="F31" s="755"/>
      <c r="G31" s="233"/>
      <c r="H31" s="233">
        <v>5.4100000000000002E-2</v>
      </c>
      <c r="I31" s="217">
        <v>54852742</v>
      </c>
      <c r="J31" s="217">
        <v>29675.333422000003</v>
      </c>
      <c r="K31" s="218">
        <v>3.7999999999999999E-2</v>
      </c>
      <c r="L31" s="217">
        <v>51784695</v>
      </c>
      <c r="M31" s="217">
        <v>19678.184099999999</v>
      </c>
      <c r="N31" s="233" t="s">
        <v>18</v>
      </c>
      <c r="O31" s="199"/>
      <c r="P31" s="199"/>
    </row>
    <row r="32" spans="1:17" x14ac:dyDescent="0.2">
      <c r="A32" s="750" t="s">
        <v>300</v>
      </c>
      <c r="B32" s="750" t="s">
        <v>301</v>
      </c>
      <c r="C32" s="750" t="s">
        <v>302</v>
      </c>
      <c r="D32" s="751">
        <v>94261644.829077467</v>
      </c>
      <c r="E32" s="752">
        <v>4.0082192296925299E-2</v>
      </c>
      <c r="F32" s="751">
        <v>37782.133742635575</v>
      </c>
      <c r="G32" s="765">
        <v>97170390</v>
      </c>
      <c r="H32" s="753">
        <v>3.4831425106028088E-2</v>
      </c>
      <c r="I32" s="217">
        <v>98077394</v>
      </c>
      <c r="J32" s="217">
        <v>34161</v>
      </c>
      <c r="K32" s="218">
        <v>3.4799999999999998E-2</v>
      </c>
      <c r="L32" s="217">
        <v>98145096</v>
      </c>
      <c r="M32" s="217">
        <v>34154.493408000002</v>
      </c>
      <c r="N32" s="761" t="s">
        <v>277</v>
      </c>
      <c r="O32" s="199"/>
      <c r="P32" s="766"/>
    </row>
    <row r="33" spans="1:16" ht="25.5" x14ac:dyDescent="0.2">
      <c r="A33" s="750" t="s">
        <v>268</v>
      </c>
      <c r="B33" s="750"/>
      <c r="C33" s="750"/>
      <c r="D33" s="756">
        <v>38802593</v>
      </c>
      <c r="E33" s="767">
        <v>4.0082192296925299E-2</v>
      </c>
      <c r="F33" s="756">
        <v>49563.718704476276</v>
      </c>
      <c r="G33" s="214">
        <v>23209955</v>
      </c>
      <c r="H33" s="753">
        <v>3.4831425106028088E-2</v>
      </c>
      <c r="I33" s="238">
        <v>0</v>
      </c>
      <c r="J33" s="238">
        <v>0</v>
      </c>
      <c r="K33" s="218"/>
      <c r="L33" s="238">
        <v>0</v>
      </c>
      <c r="M33" s="238">
        <v>0</v>
      </c>
      <c r="N33" s="768" t="s">
        <v>303</v>
      </c>
      <c r="O33" s="199"/>
      <c r="P33" s="199"/>
    </row>
    <row r="34" spans="1:16" x14ac:dyDescent="0.2">
      <c r="A34" s="750" t="s">
        <v>304</v>
      </c>
      <c r="B34" s="750"/>
      <c r="C34" s="750"/>
      <c r="D34" s="751">
        <v>6000000</v>
      </c>
      <c r="E34" s="752">
        <v>6.2300000000000001E-2</v>
      </c>
      <c r="F34" s="751">
        <v>3738</v>
      </c>
      <c r="G34" s="214">
        <v>6367248</v>
      </c>
      <c r="H34" s="753">
        <v>5.4138699999999998E-2</v>
      </c>
      <c r="I34" s="238"/>
      <c r="J34" s="238"/>
      <c r="K34" s="218">
        <v>4.4999999999999998E-2</v>
      </c>
      <c r="L34" s="238">
        <v>13120593</v>
      </c>
      <c r="M34" s="238">
        <v>5904.2668499999991</v>
      </c>
      <c r="N34" s="768" t="s">
        <v>31</v>
      </c>
      <c r="O34" s="199"/>
      <c r="P34" s="199"/>
    </row>
    <row r="35" spans="1:16" ht="25.5" x14ac:dyDescent="0.2">
      <c r="A35" s="750" t="s">
        <v>305</v>
      </c>
      <c r="B35" s="750"/>
      <c r="C35" s="750"/>
      <c r="D35" s="751">
        <v>19132650</v>
      </c>
      <c r="E35" s="752">
        <v>6.2300000000000001E-2</v>
      </c>
      <c r="F35" s="751">
        <v>11919.640950000001</v>
      </c>
      <c r="G35" s="226">
        <v>19515303</v>
      </c>
      <c r="H35" s="753">
        <v>5.4138699999999998E-2</v>
      </c>
      <c r="I35" s="238"/>
      <c r="J35" s="238"/>
      <c r="K35" s="218"/>
      <c r="L35" s="238">
        <v>0</v>
      </c>
      <c r="M35" s="238">
        <v>0</v>
      </c>
      <c r="N35" s="768" t="s">
        <v>306</v>
      </c>
      <c r="O35" s="199"/>
      <c r="P35" s="199"/>
    </row>
    <row r="36" spans="1:16" x14ac:dyDescent="0.2">
      <c r="A36" s="750"/>
      <c r="B36" s="750"/>
      <c r="C36" s="750"/>
      <c r="D36" s="751"/>
      <c r="E36" s="752"/>
      <c r="F36" s="751"/>
      <c r="G36" s="226"/>
      <c r="H36" s="753"/>
      <c r="I36" s="769">
        <v>6778032126</v>
      </c>
      <c r="J36" s="769">
        <v>3304174.9966391148</v>
      </c>
      <c r="K36" s="769"/>
      <c r="L36" s="769">
        <v>6816448030</v>
      </c>
      <c r="M36" s="769">
        <v>2729073.9495080006</v>
      </c>
      <c r="N36" s="770"/>
      <c r="O36" s="199"/>
      <c r="P36" s="199"/>
    </row>
    <row r="37" spans="1:16" x14ac:dyDescent="0.2">
      <c r="A37" s="199"/>
      <c r="B37" s="199"/>
      <c r="C37" s="199"/>
      <c r="D37" s="771"/>
      <c r="E37" s="771"/>
      <c r="F37" s="771"/>
      <c r="G37" s="199"/>
      <c r="H37" s="199"/>
      <c r="I37" s="199"/>
      <c r="J37" s="772"/>
      <c r="K37" s="772"/>
      <c r="L37" s="199"/>
      <c r="M37" s="199"/>
      <c r="N37" s="199"/>
      <c r="O37" s="199"/>
      <c r="P37" s="199"/>
    </row>
    <row r="38" spans="1:16" x14ac:dyDescent="0.2">
      <c r="A38" s="199"/>
      <c r="B38" s="199"/>
      <c r="C38" s="199"/>
      <c r="D38" s="771"/>
      <c r="E38" s="771"/>
      <c r="F38" s="771"/>
      <c r="G38" s="199"/>
      <c r="H38" s="199"/>
      <c r="I38" s="233" t="s">
        <v>307</v>
      </c>
      <c r="J38" s="773">
        <v>100467254</v>
      </c>
      <c r="K38" s="773"/>
      <c r="L38" s="774">
        <v>100534956</v>
      </c>
      <c r="M38" s="774">
        <v>34608.566808000003</v>
      </c>
      <c r="N38" s="233" t="s">
        <v>307</v>
      </c>
      <c r="O38" s="199"/>
      <c r="P38" s="199"/>
    </row>
    <row r="39" spans="1:16" x14ac:dyDescent="0.2">
      <c r="A39" s="199"/>
      <c r="B39" s="199"/>
      <c r="C39" s="199"/>
      <c r="D39" s="771"/>
      <c r="E39" s="771"/>
      <c r="F39" s="771"/>
      <c r="G39" s="199"/>
      <c r="H39" s="199"/>
      <c r="I39" s="233" t="s">
        <v>308</v>
      </c>
      <c r="J39" s="773">
        <v>57387993</v>
      </c>
      <c r="K39" s="773"/>
      <c r="L39" s="774">
        <v>94808244</v>
      </c>
      <c r="M39" s="774">
        <v>27987.605479999998</v>
      </c>
      <c r="N39" s="233" t="s">
        <v>308</v>
      </c>
      <c r="O39" s="199"/>
      <c r="P39" s="199"/>
    </row>
    <row r="40" spans="1:16" x14ac:dyDescent="0.2">
      <c r="I40" s="219" t="s">
        <v>31</v>
      </c>
      <c r="J40" s="242">
        <v>381431207</v>
      </c>
      <c r="K40" s="242"/>
      <c r="L40" s="243">
        <v>365001200</v>
      </c>
      <c r="M40" s="243">
        <v>138587.79450999998</v>
      </c>
      <c r="N40" s="219" t="s">
        <v>31</v>
      </c>
    </row>
    <row r="41" spans="1:16" x14ac:dyDescent="0.2">
      <c r="I41" s="219" t="s">
        <v>17</v>
      </c>
      <c r="J41" s="242">
        <v>6131116588</v>
      </c>
      <c r="K41" s="242"/>
      <c r="L41" s="243">
        <v>6151193854</v>
      </c>
      <c r="M41" s="243">
        <v>2483349.1239950005</v>
      </c>
      <c r="N41" s="219" t="s">
        <v>17</v>
      </c>
    </row>
    <row r="42" spans="1:16" x14ac:dyDescent="0.2">
      <c r="I42" s="219" t="s">
        <v>309</v>
      </c>
      <c r="J42" s="242">
        <v>107629084</v>
      </c>
      <c r="K42" s="244"/>
      <c r="L42" s="243">
        <v>104909776</v>
      </c>
      <c r="M42" s="243">
        <v>44540.858714999995</v>
      </c>
      <c r="N42" s="219" t="s">
        <v>309</v>
      </c>
      <c r="P42" s="249"/>
    </row>
    <row r="43" spans="1:16" ht="13.5" thickBot="1" x14ac:dyDescent="0.25">
      <c r="I43" s="219"/>
      <c r="J43" s="245">
        <v>6778032126</v>
      </c>
      <c r="K43" s="246"/>
      <c r="L43" s="243">
        <v>6816448030</v>
      </c>
      <c r="M43" s="247">
        <v>2729073.9495080006</v>
      </c>
      <c r="N43" s="248" t="s">
        <v>310</v>
      </c>
    </row>
    <row r="45" spans="1:16" x14ac:dyDescent="0.2">
      <c r="M45" s="249"/>
    </row>
  </sheetData>
  <pageMargins left="0.25" right="0.25" top="0.75" bottom="0.75" header="0.3" footer="0.3"/>
  <pageSetup scale="55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zoomScale="70" zoomScaleNormal="70" workbookViewId="0">
      <selection activeCell="O5" sqref="O5"/>
    </sheetView>
  </sheetViews>
  <sheetFormatPr defaultColWidth="8.85546875" defaultRowHeight="12.75" outlineLevelRow="1" x14ac:dyDescent="0.2"/>
  <cols>
    <col min="1" max="1" width="31.85546875" style="138" customWidth="1"/>
    <col min="2" max="13" width="12.5703125" style="138" customWidth="1"/>
    <col min="14" max="14" width="13.140625" style="138" bestFit="1" customWidth="1"/>
    <col min="15" max="15" width="21.42578125" style="138" bestFit="1" customWidth="1"/>
    <col min="16" max="16" width="8.85546875" style="138"/>
    <col min="17" max="17" width="14.140625" style="138" bestFit="1" customWidth="1"/>
    <col min="18" max="19" width="10.42578125" style="138" bestFit="1" customWidth="1"/>
    <col min="20" max="20" width="15.7109375" style="138" customWidth="1"/>
    <col min="21" max="16384" width="8.85546875" style="138"/>
  </cols>
  <sheetData>
    <row r="1" spans="1:20" ht="15.75" x14ac:dyDescent="0.2">
      <c r="A1" s="137"/>
    </row>
    <row r="4" spans="1:20" x14ac:dyDescent="0.2">
      <c r="A4" s="139" t="s">
        <v>138</v>
      </c>
      <c r="B4" s="140">
        <v>43101</v>
      </c>
      <c r="C4" s="140">
        <f>EOMONTH(B4,1)</f>
        <v>43159</v>
      </c>
      <c r="D4" s="140">
        <f t="shared" ref="D4:M4" si="0">EOMONTH(C4,1)</f>
        <v>43190</v>
      </c>
      <c r="E4" s="140">
        <f t="shared" si="0"/>
        <v>43220</v>
      </c>
      <c r="F4" s="140">
        <f t="shared" si="0"/>
        <v>43251</v>
      </c>
      <c r="G4" s="140">
        <f t="shared" si="0"/>
        <v>43281</v>
      </c>
      <c r="H4" s="140">
        <f t="shared" si="0"/>
        <v>43312</v>
      </c>
      <c r="I4" s="140">
        <f t="shared" si="0"/>
        <v>43343</v>
      </c>
      <c r="J4" s="140">
        <f t="shared" si="0"/>
        <v>43373</v>
      </c>
      <c r="K4" s="140">
        <f t="shared" si="0"/>
        <v>43404</v>
      </c>
      <c r="L4" s="140">
        <f t="shared" si="0"/>
        <v>43434</v>
      </c>
      <c r="M4" s="140">
        <f t="shared" si="0"/>
        <v>43465</v>
      </c>
      <c r="N4" s="140" t="s">
        <v>207</v>
      </c>
      <c r="O4" s="140" t="s">
        <v>208</v>
      </c>
      <c r="Q4" s="326">
        <v>43496</v>
      </c>
      <c r="R4" s="326">
        <v>43524</v>
      </c>
      <c r="S4" s="326">
        <v>43555</v>
      </c>
      <c r="T4" s="320" t="s">
        <v>208</v>
      </c>
    </row>
    <row r="5" spans="1:20" x14ac:dyDescent="0.2">
      <c r="A5" s="141" t="s">
        <v>135</v>
      </c>
      <c r="B5" s="142">
        <f>24155.48+0.02</f>
        <v>24155.5</v>
      </c>
      <c r="C5" s="142">
        <f t="shared" ref="C5:K5" si="1">24155.48+0.02</f>
        <v>24155.5</v>
      </c>
      <c r="D5" s="142">
        <f t="shared" si="1"/>
        <v>24155.5</v>
      </c>
      <c r="E5" s="142">
        <f t="shared" si="1"/>
        <v>24155.5</v>
      </c>
      <c r="F5" s="142">
        <f t="shared" si="1"/>
        <v>24155.5</v>
      </c>
      <c r="G5" s="142">
        <f t="shared" si="1"/>
        <v>24155.5</v>
      </c>
      <c r="H5" s="142">
        <f t="shared" si="1"/>
        <v>24155.5</v>
      </c>
      <c r="I5" s="142">
        <f t="shared" si="1"/>
        <v>24155.5</v>
      </c>
      <c r="J5" s="142">
        <f t="shared" si="1"/>
        <v>24155.5</v>
      </c>
      <c r="K5" s="142">
        <f t="shared" si="1"/>
        <v>24155.5</v>
      </c>
      <c r="L5" s="142">
        <v>25380.721666666668</v>
      </c>
      <c r="M5" s="321">
        <v>25380.721666666668</v>
      </c>
      <c r="N5" s="722">
        <f>SUM(B5:M5)</f>
        <v>292316.44333333336</v>
      </c>
      <c r="O5" s="723">
        <f>N5*49.85%</f>
        <v>145719.74700166669</v>
      </c>
      <c r="P5" s="262"/>
      <c r="Q5" s="321">
        <f>'Freddy 1 Ins 2019'!I5</f>
        <v>25380.721666666668</v>
      </c>
      <c r="R5" s="321">
        <f>'Freddy 1 Ins 2019'!E5</f>
        <v>25380.721666666668</v>
      </c>
      <c r="S5" s="321">
        <f>'Freddy 1 Ins 2019'!F5</f>
        <v>25380.721666666668</v>
      </c>
      <c r="T5" s="322">
        <f>SUM(E5:M5)+SUM(Q5:S5)</f>
        <v>295992.1083333334</v>
      </c>
    </row>
    <row r="6" spans="1:20" x14ac:dyDescent="0.2">
      <c r="A6" s="141"/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321"/>
      <c r="N6" s="321"/>
      <c r="O6" s="262"/>
      <c r="P6" s="262"/>
      <c r="Q6" s="9"/>
      <c r="R6" s="309"/>
      <c r="S6" s="309"/>
      <c r="T6" s="728">
        <f>T5*49.85%</f>
        <v>147552.0660041667</v>
      </c>
    </row>
    <row r="7" spans="1:20" x14ac:dyDescent="0.2">
      <c r="A7" s="143" t="s">
        <v>139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321"/>
      <c r="N7" s="321"/>
      <c r="O7" s="262"/>
      <c r="P7" s="262"/>
      <c r="Q7" s="262"/>
    </row>
    <row r="8" spans="1:20" x14ac:dyDescent="0.2">
      <c r="A8" s="141" t="s">
        <v>131</v>
      </c>
      <c r="B8" s="142">
        <v>660.66</v>
      </c>
      <c r="C8" s="142">
        <v>660.66</v>
      </c>
      <c r="D8" s="142">
        <v>660.66</v>
      </c>
      <c r="E8" s="142">
        <v>660.66</v>
      </c>
      <c r="F8" s="142">
        <v>660.66</v>
      </c>
      <c r="G8" s="142">
        <v>660.66</v>
      </c>
      <c r="H8" s="142">
        <v>660.66</v>
      </c>
      <c r="I8" s="142">
        <v>660.66</v>
      </c>
      <c r="J8" s="142">
        <v>660.66</v>
      </c>
      <c r="K8" s="142">
        <v>660.66</v>
      </c>
      <c r="L8" s="142">
        <v>720.59083333333331</v>
      </c>
      <c r="M8" s="321">
        <v>720.59083333333331</v>
      </c>
      <c r="N8" s="724">
        <f t="shared" ref="N8:N13" si="2">SUM(B8:M8)</f>
        <v>8047.7816666666668</v>
      </c>
      <c r="O8" s="262"/>
      <c r="P8" s="262"/>
      <c r="Q8" s="343"/>
    </row>
    <row r="9" spans="1:20" x14ac:dyDescent="0.2">
      <c r="A9" s="141" t="s">
        <v>140</v>
      </c>
      <c r="B9" s="142">
        <v>96.23</v>
      </c>
      <c r="C9" s="142">
        <v>96.23</v>
      </c>
      <c r="D9" s="142">
        <v>96.23</v>
      </c>
      <c r="E9" s="142">
        <v>96.23</v>
      </c>
      <c r="F9" s="142">
        <v>96.23</v>
      </c>
      <c r="G9" s="142">
        <f>96.23+111.37</f>
        <v>207.60000000000002</v>
      </c>
      <c r="H9" s="142">
        <v>96.23</v>
      </c>
      <c r="I9" s="142">
        <v>96.23</v>
      </c>
      <c r="J9" s="142">
        <v>96.23</v>
      </c>
      <c r="K9" s="142">
        <v>96.23</v>
      </c>
      <c r="L9" s="142">
        <v>630.78416666666669</v>
      </c>
      <c r="M9" s="321">
        <v>630.78416666666669</v>
      </c>
      <c r="N9" s="724">
        <f t="shared" si="2"/>
        <v>2335.2383333333337</v>
      </c>
      <c r="O9" s="262"/>
      <c r="P9" s="262"/>
      <c r="Q9" s="148"/>
    </row>
    <row r="10" spans="1:20" x14ac:dyDescent="0.2">
      <c r="A10" s="141" t="s">
        <v>141</v>
      </c>
      <c r="B10" s="142">
        <v>66.08</v>
      </c>
      <c r="C10" s="142">
        <v>66.08</v>
      </c>
      <c r="D10" s="142">
        <v>66.08</v>
      </c>
      <c r="E10" s="142">
        <v>66.08</v>
      </c>
      <c r="F10" s="142">
        <v>66.08</v>
      </c>
      <c r="G10" s="142">
        <v>66.08</v>
      </c>
      <c r="H10" s="142">
        <v>66.08</v>
      </c>
      <c r="I10" s="142">
        <v>66.08</v>
      </c>
      <c r="J10" s="142">
        <v>66.08</v>
      </c>
      <c r="K10" s="142">
        <v>66.08</v>
      </c>
      <c r="L10" s="142">
        <v>67.5</v>
      </c>
      <c r="M10" s="321">
        <v>67.5</v>
      </c>
      <c r="N10" s="724">
        <f t="shared" si="2"/>
        <v>795.80000000000007</v>
      </c>
      <c r="O10" s="262"/>
      <c r="P10" s="262"/>
      <c r="Q10" s="148"/>
    </row>
    <row r="11" spans="1:20" x14ac:dyDescent="0.2">
      <c r="A11" s="141" t="s">
        <v>142</v>
      </c>
      <c r="B11" s="142">
        <v>1162.9100000000001</v>
      </c>
      <c r="C11" s="142">
        <v>1162.9100000000001</v>
      </c>
      <c r="D11" s="142">
        <v>1162.9100000000001</v>
      </c>
      <c r="E11" s="142">
        <v>1162.9100000000001</v>
      </c>
      <c r="F11" s="142">
        <v>1162.9100000000001</v>
      </c>
      <c r="G11" s="142">
        <v>1162.9100000000001</v>
      </c>
      <c r="H11" s="142">
        <v>1162.9100000000001</v>
      </c>
      <c r="I11" s="142">
        <v>1162.9100000000001</v>
      </c>
      <c r="J11" s="142">
        <v>1162.9100000000001</v>
      </c>
      <c r="K11" s="142">
        <v>1162.9100000000001</v>
      </c>
      <c r="L11" s="142">
        <v>1175.0358333333334</v>
      </c>
      <c r="M11" s="321">
        <v>1175.0358333333334</v>
      </c>
      <c r="N11" s="724">
        <f t="shared" si="2"/>
        <v>13979.171666666667</v>
      </c>
      <c r="O11" s="262"/>
      <c r="P11" s="262"/>
      <c r="Q11" s="262"/>
    </row>
    <row r="12" spans="1:20" x14ac:dyDescent="0.2">
      <c r="A12" s="141" t="s">
        <v>143</v>
      </c>
      <c r="B12" s="142">
        <v>470.2</v>
      </c>
      <c r="C12" s="142">
        <v>470.2</v>
      </c>
      <c r="D12" s="142">
        <v>470.2</v>
      </c>
      <c r="E12" s="142">
        <v>470.2</v>
      </c>
      <c r="F12" s="142">
        <v>470.2</v>
      </c>
      <c r="G12" s="142">
        <v>470.2</v>
      </c>
      <c r="H12" s="142">
        <v>470.2</v>
      </c>
      <c r="I12" s="142">
        <v>470.2</v>
      </c>
      <c r="J12" s="142">
        <v>470.2</v>
      </c>
      <c r="K12" s="142">
        <v>470.2</v>
      </c>
      <c r="L12" s="142">
        <v>631.58083333333332</v>
      </c>
      <c r="M12" s="321">
        <v>631.58083333333332</v>
      </c>
      <c r="N12" s="724">
        <f t="shared" si="2"/>
        <v>5965.161666666666</v>
      </c>
      <c r="O12" s="262"/>
      <c r="P12" s="262"/>
      <c r="Q12" s="262"/>
    </row>
    <row r="13" spans="1:20" x14ac:dyDescent="0.2">
      <c r="A13" s="141" t="s">
        <v>144</v>
      </c>
      <c r="B13" s="142">
        <v>5521.68</v>
      </c>
      <c r="C13" s="142">
        <v>5521.68</v>
      </c>
      <c r="D13" s="142">
        <v>5521.68</v>
      </c>
      <c r="E13" s="142">
        <v>5521.68</v>
      </c>
      <c r="F13" s="142">
        <v>5521.68</v>
      </c>
      <c r="G13" s="142">
        <v>5521.68</v>
      </c>
      <c r="H13" s="142">
        <v>5521.68</v>
      </c>
      <c r="I13" s="142">
        <v>5521.68</v>
      </c>
      <c r="J13" s="142">
        <v>5521.68</v>
      </c>
      <c r="K13" s="142">
        <v>5521.68</v>
      </c>
      <c r="L13" s="142">
        <v>5814.0991666666669</v>
      </c>
      <c r="M13" s="321">
        <v>5814.0991666666669</v>
      </c>
      <c r="N13" s="724">
        <f t="shared" si="2"/>
        <v>66844.998333333337</v>
      </c>
      <c r="O13" s="262"/>
      <c r="P13" s="262"/>
      <c r="Q13" s="262"/>
    </row>
    <row r="14" spans="1:20" x14ac:dyDescent="0.2">
      <c r="A14" s="144" t="s">
        <v>209</v>
      </c>
      <c r="B14" s="145">
        <f>SUM(B8:B13)</f>
        <v>7977.76</v>
      </c>
      <c r="C14" s="145">
        <f t="shared" ref="C14:M14" si="3">SUM(C8:C13)</f>
        <v>7977.76</v>
      </c>
      <c r="D14" s="145">
        <f t="shared" si="3"/>
        <v>7977.76</v>
      </c>
      <c r="E14" s="145">
        <f t="shared" si="3"/>
        <v>7977.76</v>
      </c>
      <c r="F14" s="145">
        <f t="shared" si="3"/>
        <v>7977.76</v>
      </c>
      <c r="G14" s="145">
        <f t="shared" si="3"/>
        <v>8089.13</v>
      </c>
      <c r="H14" s="145">
        <f t="shared" si="3"/>
        <v>7977.76</v>
      </c>
      <c r="I14" s="145">
        <f t="shared" si="3"/>
        <v>7977.76</v>
      </c>
      <c r="J14" s="145">
        <f t="shared" si="3"/>
        <v>7977.76</v>
      </c>
      <c r="K14" s="145">
        <f t="shared" si="3"/>
        <v>7977.76</v>
      </c>
      <c r="L14" s="145">
        <f t="shared" si="3"/>
        <v>9039.5908333333336</v>
      </c>
      <c r="M14" s="145">
        <f t="shared" si="3"/>
        <v>9039.5908333333336</v>
      </c>
      <c r="N14" s="145">
        <f>SUM(N8:N13)</f>
        <v>97968.151666666672</v>
      </c>
      <c r="O14" s="723">
        <f>N14*49.85%</f>
        <v>48837.123605833338</v>
      </c>
      <c r="P14" s="262"/>
      <c r="Q14" s="148"/>
    </row>
    <row r="15" spans="1:20" x14ac:dyDescent="0.2">
      <c r="A15" s="141"/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321"/>
      <c r="N15" s="321"/>
      <c r="O15" s="262"/>
      <c r="P15" s="262"/>
      <c r="Q15" s="262"/>
    </row>
    <row r="16" spans="1:20" ht="13.5" thickBot="1" x14ac:dyDescent="0.25">
      <c r="A16" s="146" t="s">
        <v>210</v>
      </c>
      <c r="B16" s="145">
        <f>SUM(B5:B13)</f>
        <v>32133.260000000002</v>
      </c>
      <c r="C16" s="145">
        <f>SUM(C5:C13)</f>
        <v>32133.260000000002</v>
      </c>
      <c r="D16" s="145">
        <f t="shared" ref="D16:M16" si="4">SUM(D5:D13)</f>
        <v>32133.260000000002</v>
      </c>
      <c r="E16" s="145">
        <f t="shared" si="4"/>
        <v>32133.260000000002</v>
      </c>
      <c r="F16" s="145">
        <f t="shared" si="4"/>
        <v>32133.260000000002</v>
      </c>
      <c r="G16" s="145">
        <f t="shared" si="4"/>
        <v>32244.63</v>
      </c>
      <c r="H16" s="145">
        <f t="shared" si="4"/>
        <v>32133.260000000002</v>
      </c>
      <c r="I16" s="145">
        <f t="shared" si="4"/>
        <v>32133.260000000002</v>
      </c>
      <c r="J16" s="145">
        <f t="shared" si="4"/>
        <v>32133.260000000002</v>
      </c>
      <c r="K16" s="145">
        <f t="shared" si="4"/>
        <v>32133.260000000002</v>
      </c>
      <c r="L16" s="145">
        <f t="shared" si="4"/>
        <v>34420.3125</v>
      </c>
      <c r="M16" s="145">
        <f t="shared" si="4"/>
        <v>34420.3125</v>
      </c>
      <c r="N16" s="725">
        <f>SUM(B16:M16)</f>
        <v>390284.59500000003</v>
      </c>
      <c r="O16" s="726">
        <f>O5+O14</f>
        <v>194556.87060750002</v>
      </c>
      <c r="P16" s="262"/>
      <c r="Q16" s="262"/>
    </row>
    <row r="17" spans="1:17" s="146" customFormat="1" ht="13.5" outlineLevel="1" thickTop="1" x14ac:dyDescent="0.2">
      <c r="A17" s="146" t="s">
        <v>145</v>
      </c>
      <c r="B17" s="727">
        <v>32133.26</v>
      </c>
      <c r="C17" s="727">
        <v>32133.26</v>
      </c>
      <c r="D17" s="727">
        <v>32133.26</v>
      </c>
      <c r="E17" s="727">
        <v>32133.26</v>
      </c>
      <c r="F17" s="727">
        <v>32133.26</v>
      </c>
      <c r="G17" s="727">
        <v>32244.63</v>
      </c>
      <c r="H17" s="727">
        <v>32133.26</v>
      </c>
      <c r="I17" s="727">
        <v>32133.26</v>
      </c>
      <c r="J17" s="727">
        <v>32133.26</v>
      </c>
      <c r="K17" s="727">
        <v>32133.26</v>
      </c>
      <c r="L17" s="727">
        <v>34420.31</v>
      </c>
      <c r="M17" s="727">
        <v>34420.31</v>
      </c>
      <c r="N17" s="727">
        <f>SUM(B17:M17)</f>
        <v>390284.59</v>
      </c>
      <c r="O17" s="265"/>
      <c r="P17" s="265"/>
      <c r="Q17" s="265"/>
    </row>
    <row r="18" spans="1:17" ht="13.5" outlineLevel="1" thickBot="1" x14ac:dyDescent="0.25">
      <c r="B18" s="147">
        <f>B16-B17</f>
        <v>0</v>
      </c>
      <c r="C18" s="147">
        <f>C16-C17</f>
        <v>0</v>
      </c>
      <c r="D18" s="147">
        <f>D16-D17</f>
        <v>0</v>
      </c>
      <c r="E18" s="147">
        <f>E16-E17</f>
        <v>0</v>
      </c>
      <c r="F18" s="147">
        <f t="shared" ref="F18" si="5">F16-F17</f>
        <v>0</v>
      </c>
      <c r="G18" s="147">
        <f>G16-G17</f>
        <v>0</v>
      </c>
      <c r="H18" s="147">
        <f>H16-H17</f>
        <v>0</v>
      </c>
      <c r="I18" s="147">
        <f>I16-I17</f>
        <v>0</v>
      </c>
      <c r="J18" s="147">
        <f t="shared" ref="J18:M18" si="6">J16-J17</f>
        <v>0</v>
      </c>
      <c r="K18" s="147">
        <f t="shared" si="6"/>
        <v>0</v>
      </c>
      <c r="L18" s="147">
        <f t="shared" si="6"/>
        <v>2.5000000023283064E-3</v>
      </c>
      <c r="M18" s="147">
        <f t="shared" si="6"/>
        <v>2.5000000023283064E-3</v>
      </c>
      <c r="N18" s="147">
        <f>N16-N17</f>
        <v>5.0000000046566129E-3</v>
      </c>
    </row>
    <row r="19" spans="1:17" ht="13.5" outlineLevel="1" thickTop="1" x14ac:dyDescent="0.2"/>
    <row r="20" spans="1:17" outlineLevel="1" x14ac:dyDescent="0.2">
      <c r="A20" s="146" t="s">
        <v>211</v>
      </c>
      <c r="B20" s="148">
        <f>B16*49.85%</f>
        <v>16018.430110000001</v>
      </c>
      <c r="C20" s="148">
        <f>C16*49.85%</f>
        <v>16018.430110000001</v>
      </c>
      <c r="D20" s="149">
        <f>D16*49.85%</f>
        <v>16018.430110000001</v>
      </c>
      <c r="E20" s="149">
        <f t="shared" ref="E20:M20" si="7">E16*49.85%</f>
        <v>16018.430110000001</v>
      </c>
      <c r="F20" s="149">
        <f t="shared" si="7"/>
        <v>16018.430110000001</v>
      </c>
      <c r="G20" s="149">
        <f>G16*49.85%</f>
        <v>16073.948055000001</v>
      </c>
      <c r="H20" s="149">
        <f t="shared" si="7"/>
        <v>16018.430110000001</v>
      </c>
      <c r="I20" s="149">
        <f t="shared" si="7"/>
        <v>16018.430110000001</v>
      </c>
      <c r="J20" s="149">
        <f t="shared" si="7"/>
        <v>16018.430110000001</v>
      </c>
      <c r="K20" s="149">
        <f t="shared" si="7"/>
        <v>16018.430110000001</v>
      </c>
      <c r="L20" s="149">
        <f t="shared" si="7"/>
        <v>17158.525781249999</v>
      </c>
      <c r="M20" s="149">
        <f t="shared" si="7"/>
        <v>17158.525781249999</v>
      </c>
      <c r="N20" s="145">
        <f>SUM(B20:M20)</f>
        <v>194556.87060750002</v>
      </c>
    </row>
    <row r="21" spans="1:17" outlineLevel="1" x14ac:dyDescent="0.2">
      <c r="A21" s="146"/>
      <c r="C21" s="149"/>
    </row>
    <row r="22" spans="1:17" outlineLevel="1" x14ac:dyDescent="0.2">
      <c r="A22" s="265" t="s">
        <v>146</v>
      </c>
      <c r="B22" s="321"/>
      <c r="C22" s="321"/>
      <c r="D22" s="321"/>
      <c r="E22" s="321"/>
      <c r="F22" s="321"/>
      <c r="G22" s="321"/>
      <c r="H22" s="321"/>
      <c r="I22" s="321"/>
      <c r="J22" s="321"/>
      <c r="K22" s="321"/>
      <c r="L22" s="321"/>
      <c r="M22" s="321"/>
      <c r="N22" s="145">
        <f>SUM(B22:M22)</f>
        <v>0</v>
      </c>
    </row>
    <row r="23" spans="1:17" outlineLevel="1" x14ac:dyDescent="0.2">
      <c r="A23" s="146"/>
    </row>
    <row r="24" spans="1:17" ht="13.5" outlineLevel="1" thickBot="1" x14ac:dyDescent="0.25">
      <c r="A24" s="146" t="s">
        <v>147</v>
      </c>
      <c r="B24" s="147">
        <f>B20-B22</f>
        <v>16018.430110000001</v>
      </c>
      <c r="C24" s="147">
        <f>C20-C22</f>
        <v>16018.430110000001</v>
      </c>
      <c r="D24" s="147">
        <f t="shared" ref="D24:M24" si="8">D20-D22</f>
        <v>16018.430110000001</v>
      </c>
      <c r="E24" s="147">
        <f>E20-E22</f>
        <v>16018.430110000001</v>
      </c>
      <c r="F24" s="147">
        <f>F20-F22</f>
        <v>16018.430110000001</v>
      </c>
      <c r="G24" s="147">
        <f>G20-G22</f>
        <v>16073.948055000001</v>
      </c>
      <c r="H24" s="147">
        <f t="shared" si="8"/>
        <v>16018.430110000001</v>
      </c>
      <c r="I24" s="147">
        <f>I20-I22</f>
        <v>16018.430110000001</v>
      </c>
      <c r="J24" s="147">
        <f t="shared" si="8"/>
        <v>16018.430110000001</v>
      </c>
      <c r="K24" s="147">
        <f t="shared" si="8"/>
        <v>16018.430110000001</v>
      </c>
      <c r="L24" s="147">
        <f t="shared" si="8"/>
        <v>17158.525781249999</v>
      </c>
      <c r="M24" s="147">
        <f t="shared" si="8"/>
        <v>17158.525781249999</v>
      </c>
      <c r="N24" s="147">
        <f>N20-N22</f>
        <v>194556.87060750002</v>
      </c>
    </row>
    <row r="25" spans="1:17" ht="13.5" thickTop="1" x14ac:dyDescent="0.2"/>
    <row r="26" spans="1:17" x14ac:dyDescent="0.2">
      <c r="A26" s="143"/>
      <c r="B26" s="89"/>
      <c r="C26" s="89"/>
      <c r="D26" s="89"/>
      <c r="E26" s="89"/>
      <c r="F26" s="89"/>
      <c r="G26" s="89"/>
      <c r="N26" s="149"/>
    </row>
    <row r="27" spans="1:17" x14ac:dyDescent="0.2">
      <c r="A27" s="150"/>
      <c r="B27" s="149"/>
      <c r="C27" s="149"/>
      <c r="D27" s="149"/>
      <c r="E27" s="149"/>
      <c r="F27" s="149"/>
      <c r="G27" s="149"/>
      <c r="N27" s="149"/>
      <c r="O27" s="149"/>
    </row>
    <row r="28" spans="1:17" x14ac:dyDescent="0.2">
      <c r="A28" s="261"/>
      <c r="B28" s="262"/>
      <c r="C28" s="262"/>
      <c r="D28" s="262"/>
      <c r="E28" s="262"/>
      <c r="N28" s="149"/>
    </row>
    <row r="29" spans="1:17" x14ac:dyDescent="0.2">
      <c r="A29" s="263"/>
      <c r="B29" s="264"/>
      <c r="C29" s="262"/>
      <c r="D29" s="262"/>
      <c r="E29" s="262"/>
      <c r="N29" s="141"/>
    </row>
    <row r="30" spans="1:17" x14ac:dyDescent="0.2">
      <c r="A30" s="263"/>
      <c r="B30" s="262"/>
      <c r="C30" s="262"/>
      <c r="D30" s="262"/>
      <c r="E30" s="262"/>
      <c r="G30" s="149"/>
    </row>
    <row r="31" spans="1:17" x14ac:dyDescent="0.2">
      <c r="A31" s="263"/>
      <c r="B31" s="262"/>
      <c r="C31" s="262"/>
      <c r="D31" s="262"/>
      <c r="E31" s="262"/>
    </row>
    <row r="32" spans="1:17" x14ac:dyDescent="0.2">
      <c r="A32" s="263"/>
      <c r="B32" s="262"/>
      <c r="C32" s="262"/>
      <c r="D32" s="262"/>
      <c r="E32" s="262"/>
    </row>
    <row r="33" spans="1:5" x14ac:dyDescent="0.2">
      <c r="A33" s="262"/>
      <c r="B33" s="262"/>
      <c r="C33" s="262"/>
      <c r="D33" s="262"/>
      <c r="E33" s="262"/>
    </row>
    <row r="34" spans="1:5" x14ac:dyDescent="0.2">
      <c r="A34" s="265"/>
      <c r="B34" s="262"/>
      <c r="C34" s="262"/>
      <c r="D34" s="262"/>
      <c r="E34" s="262"/>
    </row>
    <row r="35" spans="1:5" x14ac:dyDescent="0.2">
      <c r="A35" s="141"/>
    </row>
    <row r="36" spans="1:5" x14ac:dyDescent="0.2">
      <c r="A36" s="141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2019-09-24T07:00:00+00:00</Date1>
    <DocumentSetType xmlns="dc463f71-b30c-4ab2-9473-d307f9d35888">Workpapers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B153573-8392-45B4-8004-3076E1B38D4C}"/>
</file>

<file path=customXml/itemProps2.xml><?xml version="1.0" encoding="utf-8"?>
<ds:datastoreItem xmlns:ds="http://schemas.openxmlformats.org/officeDocument/2006/customXml" ds:itemID="{766E1ED6-258F-4C8B-8E30-427B6A2AECF3}"/>
</file>

<file path=customXml/itemProps3.xml><?xml version="1.0" encoding="utf-8"?>
<ds:datastoreItem xmlns:ds="http://schemas.openxmlformats.org/officeDocument/2006/customXml" ds:itemID="{B01689AE-0396-44E4-8740-7AB34926EB74}"/>
</file>

<file path=customXml/itemProps4.xml><?xml version="1.0" encoding="utf-8"?>
<ds:datastoreItem xmlns:ds="http://schemas.openxmlformats.org/officeDocument/2006/customXml" ds:itemID="{964561D8-A853-413D-ACA5-124AE9534C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Lead E</vt:lpstr>
      <vt:lpstr>Lead G</vt:lpstr>
      <vt:lpstr>Summary Prop &amp; Liab Ins</vt:lpstr>
      <vt:lpstr>SAP Download</vt:lpstr>
      <vt:lpstr>Liability Ins - RY</vt:lpstr>
      <vt:lpstr>Proposal</vt:lpstr>
      <vt:lpstr>Prop Ins - RYupdated</vt:lpstr>
      <vt:lpstr>.Rates - Updated</vt:lpstr>
      <vt:lpstr>Freddy1 Ins 2018</vt:lpstr>
      <vt:lpstr>Freddy 1 Ins 2019</vt:lpstr>
      <vt:lpstr>Colstrip Ins </vt:lpstr>
      <vt:lpstr>Calculation</vt:lpstr>
      <vt:lpstr>Pro Forma&gt;&gt;</vt:lpstr>
      <vt:lpstr>Prop Ins - RYupdated (2)</vt:lpstr>
      <vt:lpstr>Liability Ins - RY (2)</vt:lpstr>
      <vt:lpstr>Rates - Updated</vt:lpstr>
      <vt:lpstr>Amortiz</vt:lpstr>
      <vt:lpstr>Colstrip 1&amp;2 2018 </vt:lpstr>
      <vt:lpstr>Colstrip 3&amp;4 2018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lgaeta</dc:creator>
  <cp:lastModifiedBy>NC</cp:lastModifiedBy>
  <cp:lastPrinted>2019-03-11T15:59:08Z</cp:lastPrinted>
  <dcterms:created xsi:type="dcterms:W3CDTF">2005-10-24T15:05:02Z</dcterms:created>
  <dcterms:modified xsi:type="dcterms:W3CDTF">2019-07-31T15:32:52Z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