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externalLinks/externalLink9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6\2016_WA_Elec_and_Gas_GRC\Compliance Filing - Nov 1 Power Supply Update\"/>
    </mc:Choice>
  </mc:AlternateContent>
  <bookViews>
    <workbookView xWindow="0" yWindow="0" windowWidth="29010" windowHeight="10980" firstSheet="6"/>
  </bookViews>
  <sheets>
    <sheet name="Attachment G-2017 PS" sheetId="4" r:id="rId1"/>
    <sheet name="Attachment G-2018 PS" sheetId="3" r:id="rId2"/>
    <sheet name="Attachment G-Revenues 2017" sheetId="1" r:id="rId3"/>
    <sheet name="Attachment G-Revenues 2018-6 mo" sheetId="2" r:id="rId4"/>
    <sheet name="2017 PF - PS 09.15 load" sheetId="5" r:id="rId5"/>
    <sheet name="incremental load expense-2017" sheetId="6" r:id="rId6"/>
    <sheet name="Nov PF Power Supply 2017 load" sheetId="7" r:id="rId7"/>
    <sheet name="2018 PF PS 09.2015 load" sheetId="8" r:id="rId8"/>
    <sheet name="incremental load expense 2018" sheetId="9" r:id="rId9"/>
    <sheet name="PF Power Supply 2018 load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tuals_Mo">[1]Tables!$B$19</definedName>
    <definedName name="Base1_Billing2" localSheetId="0">#REF!</definedName>
    <definedName name="Base1_Billing2" localSheetId="1">#REF!</definedName>
    <definedName name="Base1_Billing2" localSheetId="3">#REF!</definedName>
    <definedName name="Base1_Billing2" localSheetId="6">#REF!</definedName>
    <definedName name="Base1_Billing2" localSheetId="9">#REF!</definedName>
    <definedName name="Base1_Billing2">#REF!</definedName>
    <definedName name="BaseRev60_EntryLookup">INDEX('[2]Rev Summary'!$F$1176:$F$1177,2):'[2]Rev Summary'!$F$1221</definedName>
    <definedName name="Basic">'[2]Rev Summary'!$I$1279:$I$1322</definedName>
    <definedName name="BilledRev60_EntryLookup">INDEX('[2]Rev Summary'!$F$70:$F$71,2):'[2]Rev Summary'!$F$115</definedName>
    <definedName name="CalRev60_EntryLookup">INDEX('[2]Rev Summary'!$F$373:$F$374,2):'[2]Rev Summary'!$F$418</definedName>
    <definedName name="ClassEntry">'[2]Rev Summary'!$D$2</definedName>
    <definedName name="ClassEntryNo">'[2]Rev Summary'!$D$3</definedName>
    <definedName name="CopyClasses">'[2]Rev Summary'!$F$1279:INDEX('[2]Rev Summary'!$F$1279:$F$1323,COUNTA('[2]Rev Summary'!$F$1279:$F$1323))</definedName>
    <definedName name="CustMos">'[1]Cust Load'!$D$3</definedName>
    <definedName name="DSMFlag">'[2]Exp Summary'!$E$30</definedName>
    <definedName name="EndMo">[1]Tables!$B$16</definedName>
    <definedName name="ERM">'[3]Rate Design'!$D$45</definedName>
    <definedName name="GRCRev60_EntryLookup">INDEX('[2]Rev Summary'!$F$1075:$F$1076,2):'[2]Rev Summary'!$F$1120</definedName>
    <definedName name="GrossUnbillAccrRev60_EntryLookup">INDEX('[2]Rev Summary'!$F$873:$F$874,2):'[2]Rev Summary'!$F$918</definedName>
    <definedName name="GrossUnbillRevRev60_EntryLookup">INDEX('[2]Rev Summary'!$F$974:$F$975,2):'[2]Rev Summary'!$F$1019</definedName>
    <definedName name="ID" localSheetId="0">#REF!</definedName>
    <definedName name="ID" localSheetId="1">#REF!</definedName>
    <definedName name="ID" localSheetId="3">#REF!</definedName>
    <definedName name="ID" localSheetId="6">#REF!</definedName>
    <definedName name="ID" localSheetId="9">#REF!</definedName>
    <definedName name="ID">#REF!</definedName>
    <definedName name="ID_001b" localSheetId="0">#REF!</definedName>
    <definedName name="ID_001b" localSheetId="1">#REF!</definedName>
    <definedName name="ID_001b" localSheetId="3">#REF!</definedName>
    <definedName name="ID_001b" localSheetId="6">#REF!</definedName>
    <definedName name="ID_001b" localSheetId="9">#REF!</definedName>
    <definedName name="ID_001b">#REF!</definedName>
    <definedName name="ID_011b" localSheetId="0">#REF!</definedName>
    <definedName name="ID_011b" localSheetId="1">#REF!</definedName>
    <definedName name="ID_011b" localSheetId="3">#REF!</definedName>
    <definedName name="ID_011b" localSheetId="6">#REF!</definedName>
    <definedName name="ID_011b" localSheetId="9">#REF!</definedName>
    <definedName name="ID_011b">#REF!</definedName>
    <definedName name="ID_012b" localSheetId="0">#REF!</definedName>
    <definedName name="ID_012b" localSheetId="3">#REF!</definedName>
    <definedName name="ID_012b" localSheetId="6">#REF!</definedName>
    <definedName name="ID_012b" localSheetId="9">#REF!</definedName>
    <definedName name="ID_012b">#REF!</definedName>
    <definedName name="ID_021b" localSheetId="0">#REF!</definedName>
    <definedName name="ID_021b" localSheetId="3">#REF!</definedName>
    <definedName name="ID_021b" localSheetId="6">#REF!</definedName>
    <definedName name="ID_021b" localSheetId="9">#REF!</definedName>
    <definedName name="ID_021b">#REF!</definedName>
    <definedName name="ID_Gas" localSheetId="0">'[4]DEBT CALC'!#REF!</definedName>
    <definedName name="ID_Gas" localSheetId="1">'[4]DEBT CALC'!#REF!</definedName>
    <definedName name="ID_Gas" localSheetId="3">'[4]DEBT CALC'!#REF!</definedName>
    <definedName name="ID_Gas" localSheetId="6">'[4]DEBT CALC'!#REF!</definedName>
    <definedName name="ID_Gas" localSheetId="9">'[4]DEBT CALC'!#REF!</definedName>
    <definedName name="ID_Gas">'[4]DEBT CALC'!#REF!</definedName>
    <definedName name="ID04X">[2]Rates!$O$121:$V$121</definedName>
    <definedName name="IDPPRider">[2]Rates!$O$124:$V$124</definedName>
    <definedName name="IDResEx">[2]Rates!$O$125:$V$125</definedName>
    <definedName name="IDSurch">[2]Rates!$O$122:$V$122</definedName>
    <definedName name="ManualSched">'[2]Rev Summary'!$B$36</definedName>
    <definedName name="Month1">[2]Setup!$B$3</definedName>
    <definedName name="NetUnbillRev60_EntryLookup">INDEX('[2]Rev Summary'!$F$272:$F$273,2):'[2]Rev Summary'!$F$317</definedName>
    <definedName name="PPRev60_EntryLookup">INDEX('[2]Rev Summary'!$F$671:$F$672,2):'[2]Rev Summary'!$F$716</definedName>
    <definedName name="_xlnm.Print_Area" localSheetId="4">'2017 PF - PS 09.15 load'!$A$1:$R$42</definedName>
    <definedName name="_xlnm.Print_Area" localSheetId="0">'Attachment G-2017 PS'!$A$1:$F$109</definedName>
    <definedName name="_xlnm.Print_Area" localSheetId="1">'Attachment G-2018 PS'!$A$1:$F$109</definedName>
    <definedName name="_xlnm.Print_Area" localSheetId="2">'Attachment G-Revenues 2017'!$A$1:$P$67</definedName>
    <definedName name="_xlnm.Print_Area" localSheetId="3">'Attachment G-Revenues 2018-6 mo'!$A$1:$T$67</definedName>
    <definedName name="_xlnm.Print_Area" localSheetId="8">'incremental load expense 2018'!$A$1:$M$55</definedName>
    <definedName name="_xlnm.Print_Area" localSheetId="5">'incremental load expense-2017'!$A$1:$J$53</definedName>
    <definedName name="_xlnm.Print_Area" localSheetId="6">'Nov PF Power Supply 2017 load'!$A$1:$R$44</definedName>
    <definedName name="_xlnm.Print_Area" localSheetId="9">'PF Power Supply 2018 load'!$A$1:$R$44</definedName>
    <definedName name="Print_for_Checking" localSheetId="0">'[4]ADJ SUMMARY'!#REF!:'[4]ADJ SUMMARY'!#REF!</definedName>
    <definedName name="Print_for_Checking" localSheetId="1">'[4]ADJ SUMMARY'!#REF!:'[4]ADJ SUMMARY'!#REF!</definedName>
    <definedName name="Print_for_Checking" localSheetId="3">'[4]ADJ SUMMARY'!#REF!:'[4]ADJ SUMMARY'!#REF!</definedName>
    <definedName name="Print_for_Checking" localSheetId="6">'[4]ADJ SUMMARY'!#REF!:'[4]ADJ SUMMARY'!#REF!</definedName>
    <definedName name="Print_for_Checking" localSheetId="9">'[4]ADJ SUMMARY'!#REF!:'[4]ADJ SUMMARY'!#REF!</definedName>
    <definedName name="Print_for_Checking">'[4]ADJ SUMMARY'!#REF!:'[4]ADJ SUMMARY'!#REF!</definedName>
    <definedName name="_xlnm.Print_Titles" localSheetId="0">'Attachment G-2017 PS'!$1:$7</definedName>
    <definedName name="_xlnm.Print_Titles" localSheetId="1">'Attachment G-2018 PS'!$1:$7</definedName>
    <definedName name="_xlnm.Print_Titles" localSheetId="2">'Attachment G-Revenues 2017'!$1:$10</definedName>
    <definedName name="_xlnm.Print_Titles" localSheetId="3">'Attachment G-Revenues 2018-6 mo'!$1:$10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Data">CHOOSE([1]Rev!$B$5, [1]!Rates_WA[#Data], [1]!Rates_ID[#Data])</definedName>
    <definedName name="RData2">CHOOSE('[1]Manual Rev'!$C1, [1]!Rates_WA[#Data], [1]!Rates_ID[#Data])</definedName>
    <definedName name="Recover">[5]Macro1!$A$92</definedName>
    <definedName name="ResExchRev60_EntryLookup">INDEX('[2]Rev Summary'!$F$772:$F$773,2):'[2]Rev Summary'!$F$817</definedName>
    <definedName name="RevMos">[1]Rev!$C$2</definedName>
    <definedName name="RH">CHOOSE([1]Rev!$B$5, [1]!Rates_WA[#Headers], [1]!Rates_ID[#Headers])</definedName>
    <definedName name="RH_2">CHOOSE('[1]Manual Rev'!$C1, [1]!Rates_WA[#Headers], [1]!Rates_ID[#Headers])</definedName>
    <definedName name="Sch">CHOOSE([1]Rev!$B$5, [1]!Rates_WA[St-Sch], [1]!Rates_ID[St-Sch])</definedName>
    <definedName name="Sch_2">CHOOSE('[1]Manual Rev'!$C1, [1]!Rates_WA[St-Sch], [1]!Rates_ID[St-Sch])</definedName>
    <definedName name="Sched">'[2]Rev Summary'!$E$2</definedName>
    <definedName name="SL_RateIncr">'[3]St Lts'!$AD$1</definedName>
    <definedName name="StartMo">[1]Tables!$B$13</definedName>
    <definedName name="Summary" localSheetId="0">#REF!</definedName>
    <definedName name="Summary" localSheetId="1">#REF!</definedName>
    <definedName name="Summary" localSheetId="3">#REF!</definedName>
    <definedName name="Summary" localSheetId="6">#REF!</definedName>
    <definedName name="Summary" localSheetId="9">#REF!</definedName>
    <definedName name="Summary">#REF!</definedName>
    <definedName name="SurchRev60_EntryLookup">INDEX('[2]Rev Summary'!$F$474:$F$475,2):'[2]Rev Summary'!$F$519</definedName>
    <definedName name="TableName">"Dummy"</definedName>
    <definedName name="TaxCreditRev60_EntryLookup">INDEX('[2]Rev Summary'!$F$572:$F$621,2):'[2]Rev Summary'!$F$617</definedName>
    <definedName name="TaxRev60_EntryLookup">INDEX('[2]Rev Summary'!$F$171:$F$216,2):'[2]Rev Summary'!$F$216</definedName>
    <definedName name="Utility">[2]Setup!$B$1</definedName>
    <definedName name="vl_tbl_SchedClass">[1]!tbl_SchedAll[StClSch]</definedName>
    <definedName name="WA_001b" localSheetId="0">#REF!</definedName>
    <definedName name="WA_001b" localSheetId="1">#REF!</definedName>
    <definedName name="WA_001b" localSheetId="3">#REF!</definedName>
    <definedName name="WA_001b" localSheetId="6">#REF!</definedName>
    <definedName name="WA_001b" localSheetId="9">#REF!</definedName>
    <definedName name="WA_001b">#REF!</definedName>
    <definedName name="WA_011b" localSheetId="0">#REF!</definedName>
    <definedName name="WA_011b" localSheetId="1">#REF!</definedName>
    <definedName name="WA_011b" localSheetId="3">#REF!</definedName>
    <definedName name="WA_011b" localSheetId="6">#REF!</definedName>
    <definedName name="WA_011b" localSheetId="9">#REF!</definedName>
    <definedName name="WA_011b">#REF!</definedName>
    <definedName name="WA_012b" localSheetId="0">#REF!</definedName>
    <definedName name="WA_012b" localSheetId="1">#REF!</definedName>
    <definedName name="WA_012b" localSheetId="3">#REF!</definedName>
    <definedName name="WA_012b" localSheetId="6">#REF!</definedName>
    <definedName name="WA_012b" localSheetId="9">#REF!</definedName>
    <definedName name="WA_012b">#REF!</definedName>
    <definedName name="WA_021b" localSheetId="0">#REF!</definedName>
    <definedName name="WA_021b" localSheetId="3">#REF!</definedName>
    <definedName name="WA_021b" localSheetId="6">#REF!</definedName>
    <definedName name="WA_021b" localSheetId="9">#REF!</definedName>
    <definedName name="WA_021b">#REF!</definedName>
    <definedName name="WA_Gas" localSheetId="0">'[4]DEBT CALC'!#REF!</definedName>
    <definedName name="WA_Gas" localSheetId="1">'[4]DEBT CALC'!#REF!</definedName>
    <definedName name="WA_Gas" localSheetId="3">'[4]DEBT CALC'!#REF!</definedName>
    <definedName name="WA_Gas" localSheetId="6">'[4]DEBT CALC'!#REF!</definedName>
    <definedName name="WA_Gas" localSheetId="9">'[4]DEBT CALC'!#REF!</definedName>
    <definedName name="WA_Gas">'[4]DEBT CALC'!#REF!</definedName>
    <definedName name="WA04X">[2]Rates!$D$121:$K$121</definedName>
    <definedName name="WAPPRider">[2]Rates!$D$124:$K$124</definedName>
    <definedName name="WAResEx">[2]Rates!$D$125:$K$125</definedName>
    <definedName name="WASurch">[2]Rates!$D$122:$K$122</definedName>
    <definedName name="Year1">[2]Setup!$B$2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0" l="1"/>
  <c r="N33" i="10"/>
  <c r="L33" i="10"/>
  <c r="N32" i="10"/>
  <c r="D32" i="10"/>
  <c r="P32" i="10" s="1"/>
  <c r="R32" i="10" s="1"/>
  <c r="R30" i="10"/>
  <c r="N30" i="10"/>
  <c r="F30" i="10"/>
  <c r="R29" i="10"/>
  <c r="N29" i="10"/>
  <c r="F29" i="10"/>
  <c r="R28" i="10"/>
  <c r="N28" i="10"/>
  <c r="F28" i="10"/>
  <c r="P26" i="10"/>
  <c r="R26" i="10" s="1"/>
  <c r="N26" i="10"/>
  <c r="D26" i="10"/>
  <c r="F26" i="10" s="1"/>
  <c r="H20" i="9" s="1"/>
  <c r="I20" i="9" s="1"/>
  <c r="E20" i="9" s="1"/>
  <c r="R25" i="10"/>
  <c r="N25" i="10"/>
  <c r="F25" i="10"/>
  <c r="P24" i="10"/>
  <c r="R24" i="10" s="1"/>
  <c r="N24" i="10"/>
  <c r="D24" i="10"/>
  <c r="F24" i="10" s="1"/>
  <c r="R23" i="10"/>
  <c r="N23" i="10"/>
  <c r="F23" i="10"/>
  <c r="P22" i="10"/>
  <c r="R22" i="10" s="1"/>
  <c r="N22" i="10"/>
  <c r="D22" i="10"/>
  <c r="F22" i="10" s="1"/>
  <c r="L19" i="10"/>
  <c r="D19" i="10"/>
  <c r="R18" i="10"/>
  <c r="N18" i="10"/>
  <c r="F18" i="10"/>
  <c r="R17" i="10"/>
  <c r="N17" i="10"/>
  <c r="F17" i="10"/>
  <c r="R15" i="10"/>
  <c r="N15" i="10"/>
  <c r="F15" i="10"/>
  <c r="N14" i="10"/>
  <c r="N19" i="10" s="1"/>
  <c r="N35" i="10" s="1"/>
  <c r="L14" i="10"/>
  <c r="D14" i="10"/>
  <c r="F14" i="10" s="1"/>
  <c r="R13" i="10"/>
  <c r="N13" i="10"/>
  <c r="F13" i="10"/>
  <c r="R12" i="10"/>
  <c r="N12" i="10"/>
  <c r="F12" i="10"/>
  <c r="P11" i="10"/>
  <c r="R11" i="10" s="1"/>
  <c r="N11" i="10"/>
  <c r="D11" i="10"/>
  <c r="F11" i="10" s="1"/>
  <c r="I40" i="9"/>
  <c r="H40" i="9"/>
  <c r="G40" i="9"/>
  <c r="J37" i="9"/>
  <c r="E37" i="9" s="1"/>
  <c r="E40" i="9" s="1"/>
  <c r="D37" i="9"/>
  <c r="J32" i="9"/>
  <c r="E32" i="9"/>
  <c r="D32" i="9"/>
  <c r="I30" i="9"/>
  <c r="H30" i="9"/>
  <c r="G30" i="9"/>
  <c r="J29" i="9"/>
  <c r="J30" i="9" s="1"/>
  <c r="E29" i="9"/>
  <c r="E30" i="9" s="1"/>
  <c r="D29" i="9"/>
  <c r="J24" i="9"/>
  <c r="G20" i="9"/>
  <c r="J15" i="9"/>
  <c r="J14" i="9"/>
  <c r="J13" i="9"/>
  <c r="G12" i="9"/>
  <c r="G13" i="9" s="1"/>
  <c r="J11" i="9"/>
  <c r="E11" i="9"/>
  <c r="J10" i="9"/>
  <c r="E10" i="9"/>
  <c r="N35" i="8"/>
  <c r="D35" i="8"/>
  <c r="R33" i="8"/>
  <c r="P33" i="8"/>
  <c r="N33" i="8"/>
  <c r="L33" i="8"/>
  <c r="F33" i="8"/>
  <c r="G19" i="9" s="1"/>
  <c r="G24" i="9" s="1"/>
  <c r="G41" i="9" s="1"/>
  <c r="D33" i="8"/>
  <c r="R32" i="8"/>
  <c r="P32" i="8"/>
  <c r="N32" i="8"/>
  <c r="F32" i="8"/>
  <c r="R30" i="8"/>
  <c r="N30" i="8"/>
  <c r="F30" i="8"/>
  <c r="R29" i="8"/>
  <c r="N29" i="8"/>
  <c r="F29" i="8"/>
  <c r="R28" i="8"/>
  <c r="N28" i="8"/>
  <c r="F28" i="8"/>
  <c r="R26" i="8"/>
  <c r="P26" i="8"/>
  <c r="N26" i="8"/>
  <c r="F26" i="8"/>
  <c r="R25" i="8"/>
  <c r="N25" i="8"/>
  <c r="F25" i="8"/>
  <c r="R24" i="8"/>
  <c r="P24" i="8"/>
  <c r="N24" i="8"/>
  <c r="F24" i="8"/>
  <c r="R23" i="8"/>
  <c r="N23" i="8"/>
  <c r="F23" i="8"/>
  <c r="R22" i="8"/>
  <c r="P22" i="8"/>
  <c r="N22" i="8"/>
  <c r="F22" i="8"/>
  <c r="N19" i="8"/>
  <c r="L19" i="8"/>
  <c r="L35" i="8" s="1"/>
  <c r="D19" i="8"/>
  <c r="R18" i="8"/>
  <c r="N18" i="8"/>
  <c r="F18" i="8"/>
  <c r="R17" i="8"/>
  <c r="N17" i="8"/>
  <c r="F17" i="8"/>
  <c r="R15" i="8"/>
  <c r="N15" i="8"/>
  <c r="F15" i="8"/>
  <c r="R14" i="8"/>
  <c r="P14" i="8"/>
  <c r="P19" i="8" s="1"/>
  <c r="P35" i="8" s="1"/>
  <c r="N14" i="8"/>
  <c r="L14" i="8"/>
  <c r="F14" i="8"/>
  <c r="F19" i="8" s="1"/>
  <c r="D14" i="8"/>
  <c r="R13" i="8"/>
  <c r="N13" i="8"/>
  <c r="F13" i="8"/>
  <c r="R12" i="8"/>
  <c r="N12" i="8"/>
  <c r="F12" i="8"/>
  <c r="R11" i="8"/>
  <c r="R19" i="8" s="1"/>
  <c r="R35" i="8" s="1"/>
  <c r="P11" i="8"/>
  <c r="N11" i="8"/>
  <c r="F11" i="8"/>
  <c r="N39" i="8" l="1"/>
  <c r="R37" i="8"/>
  <c r="R39" i="8"/>
  <c r="R41" i="8" s="1"/>
  <c r="R43" i="8" s="1"/>
  <c r="G14" i="9"/>
  <c r="G15" i="9" s="1"/>
  <c r="G43" i="9" s="1"/>
  <c r="F35" i="8"/>
  <c r="H12" i="9"/>
  <c r="F19" i="10"/>
  <c r="N37" i="10"/>
  <c r="N39" i="10" s="1"/>
  <c r="R33" i="10"/>
  <c r="J40" i="9"/>
  <c r="J41" i="9" s="1"/>
  <c r="J43" i="9" s="1"/>
  <c r="P14" i="10"/>
  <c r="F32" i="10"/>
  <c r="F33" i="10" s="1"/>
  <c r="H19" i="9" s="1"/>
  <c r="D33" i="10"/>
  <c r="D35" i="10" s="1"/>
  <c r="P33" i="10"/>
  <c r="N37" i="8"/>
  <c r="J46" i="9" l="1"/>
  <c r="J51" i="9"/>
  <c r="I19" i="9"/>
  <c r="H24" i="9"/>
  <c r="H41" i="9" s="1"/>
  <c r="G46" i="9"/>
  <c r="G51" i="9"/>
  <c r="I12" i="9"/>
  <c r="H13" i="9"/>
  <c r="R14" i="10"/>
  <c r="R19" i="10" s="1"/>
  <c r="R35" i="10" s="1"/>
  <c r="P19" i="10"/>
  <c r="P35" i="10" s="1"/>
  <c r="F35" i="10"/>
  <c r="H14" i="9"/>
  <c r="I14" i="9" s="1"/>
  <c r="E14" i="9" s="1"/>
  <c r="F37" i="8"/>
  <c r="F39" i="8"/>
  <c r="R37" i="10" l="1"/>
  <c r="R39" i="10"/>
  <c r="R41" i="10" s="1"/>
  <c r="R43" i="10" s="1"/>
  <c r="R44" i="10" s="1"/>
  <c r="H15" i="9"/>
  <c r="H43" i="9" s="1"/>
  <c r="F37" i="10"/>
  <c r="F39" i="10"/>
  <c r="E12" i="9"/>
  <c r="E13" i="9" s="1"/>
  <c r="E15" i="9" s="1"/>
  <c r="E43" i="9" s="1"/>
  <c r="I13" i="9"/>
  <c r="I15" i="9" s="1"/>
  <c r="I24" i="9"/>
  <c r="I41" i="9" s="1"/>
  <c r="E19" i="9"/>
  <c r="E24" i="9" s="1"/>
  <c r="E41" i="9" s="1"/>
  <c r="E46" i="9" l="1"/>
  <c r="E51" i="9" s="1"/>
  <c r="I43" i="9"/>
  <c r="H46" i="9"/>
  <c r="H51" i="9" s="1"/>
  <c r="I46" i="9" l="1"/>
  <c r="I51" i="9"/>
  <c r="L35" i="7" l="1"/>
  <c r="N33" i="7"/>
  <c r="L33" i="7"/>
  <c r="P32" i="7"/>
  <c r="R32" i="7" s="1"/>
  <c r="N32" i="7"/>
  <c r="D32" i="7"/>
  <c r="D33" i="7" s="1"/>
  <c r="D35" i="7" s="1"/>
  <c r="R30" i="7"/>
  <c r="N30" i="7"/>
  <c r="F30" i="7"/>
  <c r="R29" i="7"/>
  <c r="N29" i="7"/>
  <c r="F29" i="7"/>
  <c r="R28" i="7"/>
  <c r="N28" i="7"/>
  <c r="F28" i="7"/>
  <c r="R26" i="7"/>
  <c r="P26" i="7"/>
  <c r="N26" i="7"/>
  <c r="F26" i="7"/>
  <c r="H20" i="6" s="1"/>
  <c r="I20" i="6" s="1"/>
  <c r="E20" i="6" s="1"/>
  <c r="D26" i="7"/>
  <c r="R25" i="7"/>
  <c r="N25" i="7"/>
  <c r="F25" i="7"/>
  <c r="P24" i="7"/>
  <c r="R24" i="7" s="1"/>
  <c r="N24" i="7"/>
  <c r="F24" i="7"/>
  <c r="D24" i="7"/>
  <c r="R23" i="7"/>
  <c r="N23" i="7"/>
  <c r="F23" i="7"/>
  <c r="P22" i="7"/>
  <c r="R22" i="7" s="1"/>
  <c r="N22" i="7"/>
  <c r="F22" i="7"/>
  <c r="D22" i="7"/>
  <c r="P19" i="7"/>
  <c r="N19" i="7"/>
  <c r="N35" i="7" s="1"/>
  <c r="L19" i="7"/>
  <c r="D19" i="7"/>
  <c r="R18" i="7"/>
  <c r="N18" i="7"/>
  <c r="F18" i="7"/>
  <c r="R17" i="7"/>
  <c r="N17" i="7"/>
  <c r="F17" i="7"/>
  <c r="R15" i="7"/>
  <c r="N15" i="7"/>
  <c r="F15" i="7"/>
  <c r="P14" i="7"/>
  <c r="R14" i="7" s="1"/>
  <c r="R19" i="7" s="1"/>
  <c r="N14" i="7"/>
  <c r="L14" i="7"/>
  <c r="F14" i="7"/>
  <c r="D14" i="7"/>
  <c r="R13" i="7"/>
  <c r="N13" i="7"/>
  <c r="F13" i="7"/>
  <c r="R12" i="7"/>
  <c r="N12" i="7"/>
  <c r="F12" i="7"/>
  <c r="R11" i="7"/>
  <c r="P11" i="7"/>
  <c r="N11" i="7"/>
  <c r="F11" i="7"/>
  <c r="F19" i="7" s="1"/>
  <c r="D11" i="7"/>
  <c r="I40" i="6"/>
  <c r="H40" i="6"/>
  <c r="G40" i="6"/>
  <c r="J37" i="6"/>
  <c r="J40" i="6" s="1"/>
  <c r="E37" i="6"/>
  <c r="E40" i="6" s="1"/>
  <c r="D37" i="6"/>
  <c r="J32" i="6"/>
  <c r="E32" i="6"/>
  <c r="D32" i="6"/>
  <c r="J30" i="6"/>
  <c r="I30" i="6"/>
  <c r="H30" i="6"/>
  <c r="G30" i="6"/>
  <c r="J29" i="6"/>
  <c r="E29" i="6"/>
  <c r="E30" i="6" s="1"/>
  <c r="D29" i="6"/>
  <c r="J24" i="6"/>
  <c r="G20" i="6"/>
  <c r="G19" i="6"/>
  <c r="G24" i="6" s="1"/>
  <c r="G41" i="6" s="1"/>
  <c r="J14" i="6"/>
  <c r="J13" i="6"/>
  <c r="J15" i="6" s="1"/>
  <c r="G12" i="6"/>
  <c r="G13" i="6" s="1"/>
  <c r="J11" i="6"/>
  <c r="E11" i="6"/>
  <c r="J10" i="6"/>
  <c r="E10" i="6"/>
  <c r="N39" i="5"/>
  <c r="N35" i="5"/>
  <c r="N37" i="5" s="1"/>
  <c r="L35" i="5"/>
  <c r="D35" i="5"/>
  <c r="P33" i="5"/>
  <c r="N33" i="5"/>
  <c r="L33" i="5"/>
  <c r="F33" i="5"/>
  <c r="D33" i="5"/>
  <c r="R32" i="5"/>
  <c r="P32" i="5"/>
  <c r="N32" i="5"/>
  <c r="F32" i="5"/>
  <c r="R30" i="5"/>
  <c r="N30" i="5"/>
  <c r="F30" i="5"/>
  <c r="R29" i="5"/>
  <c r="N29" i="5"/>
  <c r="F29" i="5"/>
  <c r="R28" i="5"/>
  <c r="N28" i="5"/>
  <c r="F28" i="5"/>
  <c r="R26" i="5"/>
  <c r="P26" i="5"/>
  <c r="N26" i="5"/>
  <c r="F26" i="5"/>
  <c r="R25" i="5"/>
  <c r="N25" i="5"/>
  <c r="F25" i="5"/>
  <c r="R24" i="5"/>
  <c r="P24" i="5"/>
  <c r="N24" i="5"/>
  <c r="F24" i="5"/>
  <c r="R23" i="5"/>
  <c r="N23" i="5"/>
  <c r="F23" i="5"/>
  <c r="R22" i="5"/>
  <c r="R33" i="5" s="1"/>
  <c r="P22" i="5"/>
  <c r="N22" i="5"/>
  <c r="F22" i="5"/>
  <c r="N19" i="5"/>
  <c r="L19" i="5"/>
  <c r="F19" i="5"/>
  <c r="D19" i="5"/>
  <c r="R18" i="5"/>
  <c r="N18" i="5"/>
  <c r="F18" i="5"/>
  <c r="R17" i="5"/>
  <c r="N17" i="5"/>
  <c r="F17" i="5"/>
  <c r="R15" i="5"/>
  <c r="N15" i="5"/>
  <c r="F15" i="5"/>
  <c r="P14" i="5"/>
  <c r="N14" i="5"/>
  <c r="L14" i="5"/>
  <c r="F14" i="5"/>
  <c r="D14" i="5"/>
  <c r="R13" i="5"/>
  <c r="N13" i="5"/>
  <c r="F13" i="5"/>
  <c r="R12" i="5"/>
  <c r="N12" i="5"/>
  <c r="F12" i="5"/>
  <c r="R11" i="5"/>
  <c r="P11" i="5"/>
  <c r="N11" i="5"/>
  <c r="F11" i="5"/>
  <c r="F35" i="5" l="1"/>
  <c r="G14" i="6"/>
  <c r="G15" i="6" s="1"/>
  <c r="G43" i="6" s="1"/>
  <c r="R35" i="7"/>
  <c r="N37" i="7"/>
  <c r="N39" i="7"/>
  <c r="R33" i="7"/>
  <c r="P19" i="5"/>
  <c r="P35" i="5" s="1"/>
  <c r="R14" i="5"/>
  <c r="R19" i="5" s="1"/>
  <c r="R35" i="5" s="1"/>
  <c r="J41" i="6"/>
  <c r="J43" i="6" s="1"/>
  <c r="F33" i="7"/>
  <c r="H19" i="6" s="1"/>
  <c r="H12" i="6"/>
  <c r="F32" i="7"/>
  <c r="P33" i="7"/>
  <c r="P35" i="7" s="1"/>
  <c r="D103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 s="1"/>
  <c r="E100" i="4"/>
  <c r="F97" i="4"/>
  <c r="E97" i="4" s="1"/>
  <c r="D97" i="4"/>
  <c r="E96" i="4"/>
  <c r="E95" i="4"/>
  <c r="V94" i="4"/>
  <c r="U94" i="4"/>
  <c r="T94" i="4"/>
  <c r="S94" i="4"/>
  <c r="R94" i="4"/>
  <c r="Q94" i="4"/>
  <c r="P94" i="4"/>
  <c r="O94" i="4"/>
  <c r="N94" i="4"/>
  <c r="M94" i="4"/>
  <c r="L94" i="4"/>
  <c r="K94" i="4"/>
  <c r="E94" i="4"/>
  <c r="U91" i="4"/>
  <c r="M91" i="4"/>
  <c r="D91" i="4"/>
  <c r="J90" i="4"/>
  <c r="E90" i="4"/>
  <c r="J89" i="4"/>
  <c r="E89" i="4"/>
  <c r="V88" i="4"/>
  <c r="U88" i="4"/>
  <c r="T88" i="4"/>
  <c r="S88" i="4"/>
  <c r="R88" i="4"/>
  <c r="Q88" i="4"/>
  <c r="P88" i="4"/>
  <c r="O88" i="4"/>
  <c r="N88" i="4"/>
  <c r="M88" i="4"/>
  <c r="L88" i="4"/>
  <c r="K88" i="4"/>
  <c r="F88" i="4"/>
  <c r="E88" i="4"/>
  <c r="V87" i="4"/>
  <c r="U87" i="4"/>
  <c r="T87" i="4"/>
  <c r="T91" i="4" s="1"/>
  <c r="S87" i="4"/>
  <c r="R87" i="4"/>
  <c r="Q87" i="4"/>
  <c r="P87" i="4"/>
  <c r="P91" i="4" s="1"/>
  <c r="O87" i="4"/>
  <c r="N87" i="4"/>
  <c r="M87" i="4"/>
  <c r="L87" i="4"/>
  <c r="L91" i="4" s="1"/>
  <c r="K87" i="4"/>
  <c r="J87" i="4" s="1"/>
  <c r="E87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E86" i="4"/>
  <c r="V85" i="4"/>
  <c r="U85" i="4"/>
  <c r="T85" i="4"/>
  <c r="S85" i="4"/>
  <c r="R85" i="4"/>
  <c r="Q85" i="4"/>
  <c r="Q91" i="4" s="1"/>
  <c r="P85" i="4"/>
  <c r="O85" i="4"/>
  <c r="N85" i="4"/>
  <c r="M85" i="4"/>
  <c r="J85" i="4" s="1"/>
  <c r="L85" i="4"/>
  <c r="K85" i="4"/>
  <c r="F85" i="4"/>
  <c r="E85" i="4" s="1"/>
  <c r="J84" i="4"/>
  <c r="E84" i="4"/>
  <c r="J83" i="4"/>
  <c r="E83" i="4"/>
  <c r="J82" i="4"/>
  <c r="E82" i="4"/>
  <c r="V81" i="4"/>
  <c r="V91" i="4" s="1"/>
  <c r="U81" i="4"/>
  <c r="T81" i="4"/>
  <c r="S81" i="4"/>
  <c r="R81" i="4"/>
  <c r="R91" i="4" s="1"/>
  <c r="Q81" i="4"/>
  <c r="P81" i="4"/>
  <c r="O81" i="4"/>
  <c r="N81" i="4"/>
  <c r="N91" i="4" s="1"/>
  <c r="M81" i="4"/>
  <c r="L81" i="4"/>
  <c r="K81" i="4"/>
  <c r="J81" i="4"/>
  <c r="F81" i="4"/>
  <c r="E81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 s="1"/>
  <c r="E76" i="4"/>
  <c r="F73" i="4"/>
  <c r="J72" i="4"/>
  <c r="E72" i="4"/>
  <c r="V71" i="4"/>
  <c r="V73" i="4" s="1"/>
  <c r="U71" i="4"/>
  <c r="T71" i="4"/>
  <c r="S71" i="4"/>
  <c r="R71" i="4"/>
  <c r="Q71" i="4"/>
  <c r="P71" i="4"/>
  <c r="O71" i="4"/>
  <c r="N71" i="4"/>
  <c r="N73" i="4" s="1"/>
  <c r="M71" i="4"/>
  <c r="J71" i="4" s="1"/>
  <c r="L71" i="4"/>
  <c r="K71" i="4"/>
  <c r="E71" i="4"/>
  <c r="V70" i="4"/>
  <c r="U70" i="4"/>
  <c r="T70" i="4"/>
  <c r="S70" i="4"/>
  <c r="R70" i="4"/>
  <c r="R73" i="4" s="1"/>
  <c r="Q70" i="4"/>
  <c r="P70" i="4"/>
  <c r="O70" i="4"/>
  <c r="N70" i="4"/>
  <c r="M70" i="4"/>
  <c r="L70" i="4"/>
  <c r="J70" i="4" s="1"/>
  <c r="K70" i="4"/>
  <c r="E70" i="4"/>
  <c r="J69" i="4"/>
  <c r="E69" i="4"/>
  <c r="J68" i="4"/>
  <c r="E68" i="4"/>
  <c r="J67" i="4"/>
  <c r="E67" i="4"/>
  <c r="J66" i="4"/>
  <c r="E66" i="4"/>
  <c r="V65" i="4"/>
  <c r="U65" i="4"/>
  <c r="U73" i="4" s="1"/>
  <c r="T65" i="4"/>
  <c r="S65" i="4"/>
  <c r="R65" i="4"/>
  <c r="Q65" i="4"/>
  <c r="P65" i="4"/>
  <c r="O65" i="4"/>
  <c r="N65" i="4"/>
  <c r="M65" i="4"/>
  <c r="M73" i="4" s="1"/>
  <c r="L65" i="4"/>
  <c r="K65" i="4"/>
  <c r="D65" i="4"/>
  <c r="D73" i="4" s="1"/>
  <c r="V64" i="4"/>
  <c r="U64" i="4"/>
  <c r="T64" i="4"/>
  <c r="T73" i="4" s="1"/>
  <c r="S64" i="4"/>
  <c r="R64" i="4"/>
  <c r="Q64" i="4"/>
  <c r="Q73" i="4" s="1"/>
  <c r="P64" i="4"/>
  <c r="P73" i="4" s="1"/>
  <c r="O64" i="4"/>
  <c r="N64" i="4"/>
  <c r="M64" i="4"/>
  <c r="L64" i="4"/>
  <c r="L73" i="4" s="1"/>
  <c r="K64" i="4"/>
  <c r="E64" i="4"/>
  <c r="D58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 s="1"/>
  <c r="F57" i="4"/>
  <c r="E57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 s="1"/>
  <c r="F56" i="4"/>
  <c r="E56" i="4" s="1"/>
  <c r="V55" i="4"/>
  <c r="U55" i="4"/>
  <c r="T55" i="4"/>
  <c r="S55" i="4"/>
  <c r="R55" i="4"/>
  <c r="Q55" i="4"/>
  <c r="P55" i="4"/>
  <c r="O55" i="4"/>
  <c r="N55" i="4"/>
  <c r="M55" i="4"/>
  <c r="L55" i="4"/>
  <c r="K55" i="4"/>
  <c r="F55" i="4"/>
  <c r="E55" i="4"/>
  <c r="V54" i="4"/>
  <c r="U54" i="4"/>
  <c r="T54" i="4"/>
  <c r="S54" i="4"/>
  <c r="R54" i="4"/>
  <c r="Q54" i="4"/>
  <c r="P54" i="4"/>
  <c r="O54" i="4"/>
  <c r="N54" i="4"/>
  <c r="M54" i="4"/>
  <c r="L54" i="4"/>
  <c r="K54" i="4"/>
  <c r="F54" i="4"/>
  <c r="E54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 s="1"/>
  <c r="E53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E52" i="4"/>
  <c r="V51" i="4"/>
  <c r="U51" i="4"/>
  <c r="T51" i="4"/>
  <c r="S51" i="4"/>
  <c r="R51" i="4"/>
  <c r="Q51" i="4"/>
  <c r="P51" i="4"/>
  <c r="O51" i="4"/>
  <c r="N51" i="4"/>
  <c r="M51" i="4"/>
  <c r="J51" i="4" s="1"/>
  <c r="L51" i="4"/>
  <c r="K51" i="4"/>
  <c r="E51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E50" i="4"/>
  <c r="V49" i="4"/>
  <c r="U49" i="4"/>
  <c r="T49" i="4"/>
  <c r="S49" i="4"/>
  <c r="R49" i="4"/>
  <c r="Q49" i="4"/>
  <c r="P49" i="4"/>
  <c r="O49" i="4"/>
  <c r="N49" i="4"/>
  <c r="M49" i="4"/>
  <c r="L49" i="4"/>
  <c r="K49" i="4"/>
  <c r="F49" i="4"/>
  <c r="E49" i="4"/>
  <c r="V48" i="4"/>
  <c r="U48" i="4"/>
  <c r="T48" i="4"/>
  <c r="S48" i="4"/>
  <c r="R48" i="4"/>
  <c r="Q48" i="4"/>
  <c r="P48" i="4"/>
  <c r="P58" i="4" s="1"/>
  <c r="O48" i="4"/>
  <c r="N48" i="4"/>
  <c r="M48" i="4"/>
  <c r="L48" i="4"/>
  <c r="L58" i="4" s="1"/>
  <c r="K48" i="4"/>
  <c r="E48" i="4"/>
  <c r="V47" i="4"/>
  <c r="V58" i="4" s="1"/>
  <c r="U47" i="4"/>
  <c r="T47" i="4"/>
  <c r="T58" i="4" s="1"/>
  <c r="S47" i="4"/>
  <c r="S58" i="4" s="1"/>
  <c r="R47" i="4"/>
  <c r="R58" i="4" s="1"/>
  <c r="Q47" i="4"/>
  <c r="P47" i="4"/>
  <c r="O47" i="4"/>
  <c r="O58" i="4" s="1"/>
  <c r="N47" i="4"/>
  <c r="N58" i="4" s="1"/>
  <c r="M47" i="4"/>
  <c r="L47" i="4"/>
  <c r="K47" i="4"/>
  <c r="J47" i="4"/>
  <c r="F47" i="4"/>
  <c r="E47" i="4"/>
  <c r="V44" i="4"/>
  <c r="P44" i="4"/>
  <c r="D44" i="4"/>
  <c r="V43" i="4"/>
  <c r="U43" i="4"/>
  <c r="T43" i="4"/>
  <c r="S43" i="4"/>
  <c r="R43" i="4"/>
  <c r="Q43" i="4"/>
  <c r="P43" i="4"/>
  <c r="O43" i="4"/>
  <c r="N43" i="4"/>
  <c r="M43" i="4"/>
  <c r="L43" i="4"/>
  <c r="L44" i="4" s="1"/>
  <c r="K43" i="4"/>
  <c r="J43" i="4" s="1"/>
  <c r="E43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F42" i="4"/>
  <c r="E42" i="4"/>
  <c r="V41" i="4"/>
  <c r="U41" i="4"/>
  <c r="T41" i="4"/>
  <c r="T44" i="4" s="1"/>
  <c r="S41" i="4"/>
  <c r="S44" i="4" s="1"/>
  <c r="R41" i="4"/>
  <c r="R44" i="4" s="1"/>
  <c r="Q41" i="4"/>
  <c r="P41" i="4"/>
  <c r="O41" i="4"/>
  <c r="N41" i="4"/>
  <c r="M41" i="4"/>
  <c r="L41" i="4"/>
  <c r="K41" i="4"/>
  <c r="J41" i="4"/>
  <c r="E41" i="4"/>
  <c r="V40" i="4"/>
  <c r="U40" i="4"/>
  <c r="U44" i="4" s="1"/>
  <c r="T40" i="4"/>
  <c r="S40" i="4"/>
  <c r="R40" i="4"/>
  <c r="Q40" i="4"/>
  <c r="Q44" i="4" s="1"/>
  <c r="P40" i="4"/>
  <c r="O40" i="4"/>
  <c r="O44" i="4" s="1"/>
  <c r="N40" i="4"/>
  <c r="N44" i="4" s="1"/>
  <c r="M40" i="4"/>
  <c r="M44" i="4" s="1"/>
  <c r="L40" i="4"/>
  <c r="K40" i="4"/>
  <c r="F40" i="4"/>
  <c r="R37" i="4"/>
  <c r="N37" i="4"/>
  <c r="M37" i="4"/>
  <c r="F37" i="4"/>
  <c r="D37" i="4"/>
  <c r="J36" i="4"/>
  <c r="E36" i="4"/>
  <c r="E35" i="4"/>
  <c r="E34" i="4"/>
  <c r="E33" i="4"/>
  <c r="E32" i="4"/>
  <c r="V31" i="4"/>
  <c r="V37" i="4" s="1"/>
  <c r="U31" i="4"/>
  <c r="U37" i="4" s="1"/>
  <c r="T31" i="4"/>
  <c r="T37" i="4" s="1"/>
  <c r="S31" i="4"/>
  <c r="S37" i="4" s="1"/>
  <c r="R31" i="4"/>
  <c r="Q31" i="4"/>
  <c r="Q37" i="4" s="1"/>
  <c r="P31" i="4"/>
  <c r="P37" i="4" s="1"/>
  <c r="O31" i="4"/>
  <c r="O37" i="4" s="1"/>
  <c r="N31" i="4"/>
  <c r="M31" i="4"/>
  <c r="L31" i="4"/>
  <c r="L37" i="4" s="1"/>
  <c r="K31" i="4"/>
  <c r="K37" i="4" s="1"/>
  <c r="E31" i="4"/>
  <c r="U28" i="4"/>
  <c r="Q28" i="4"/>
  <c r="P28" i="4"/>
  <c r="M28" i="4"/>
  <c r="J27" i="4"/>
  <c r="E27" i="4"/>
  <c r="J26" i="4"/>
  <c r="E26" i="4"/>
  <c r="J25" i="4"/>
  <c r="E25" i="4"/>
  <c r="J24" i="4"/>
  <c r="E24" i="4"/>
  <c r="J23" i="4"/>
  <c r="E23" i="4"/>
  <c r="J22" i="4"/>
  <c r="E22" i="4"/>
  <c r="J21" i="4"/>
  <c r="E21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E20" i="4"/>
  <c r="J19" i="4"/>
  <c r="E19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F18" i="4" s="1"/>
  <c r="J17" i="4"/>
  <c r="E17" i="4"/>
  <c r="J16" i="4"/>
  <c r="E16" i="4"/>
  <c r="V15" i="4"/>
  <c r="U15" i="4"/>
  <c r="T15" i="4"/>
  <c r="S15" i="4"/>
  <c r="R15" i="4"/>
  <c r="Q15" i="4"/>
  <c r="P15" i="4"/>
  <c r="O15" i="4"/>
  <c r="N15" i="4"/>
  <c r="M15" i="4"/>
  <c r="L15" i="4"/>
  <c r="L28" i="4" s="1"/>
  <c r="K15" i="4"/>
  <c r="J15" i="4" s="1"/>
  <c r="F15" i="4"/>
  <c r="E15" i="4"/>
  <c r="J14" i="4"/>
  <c r="E14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E13" i="4"/>
  <c r="J12" i="4"/>
  <c r="E12" i="4"/>
  <c r="J11" i="4"/>
  <c r="E11" i="4"/>
  <c r="J10" i="4"/>
  <c r="D10" i="4"/>
  <c r="V9" i="4"/>
  <c r="V28" i="4" s="1"/>
  <c r="V111" i="4" s="1"/>
  <c r="V113" i="4" s="1"/>
  <c r="U9" i="4"/>
  <c r="T9" i="4"/>
  <c r="T28" i="4" s="1"/>
  <c r="S9" i="4"/>
  <c r="R9" i="4"/>
  <c r="R28" i="4" s="1"/>
  <c r="R111" i="4" s="1"/>
  <c r="R113" i="4" s="1"/>
  <c r="Q9" i="4"/>
  <c r="P9" i="4"/>
  <c r="O9" i="4"/>
  <c r="N9" i="4"/>
  <c r="N28" i="4" s="1"/>
  <c r="N111" i="4" s="1"/>
  <c r="N113" i="4" s="1"/>
  <c r="M9" i="4"/>
  <c r="L9" i="4"/>
  <c r="K9" i="4"/>
  <c r="J9" i="4"/>
  <c r="F9" i="4"/>
  <c r="E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31" i="4" s="1"/>
  <c r="A32" i="4" s="1"/>
  <c r="A33" i="4" s="1"/>
  <c r="A34" i="4" s="1"/>
  <c r="A35" i="4" s="1"/>
  <c r="A36" i="4" s="1"/>
  <c r="A37" i="4" s="1"/>
  <c r="A40" i="4" s="1"/>
  <c r="A41" i="4" s="1"/>
  <c r="A42" i="4" s="1"/>
  <c r="A43" i="4" s="1"/>
  <c r="A44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6" i="4" s="1"/>
  <c r="A78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4" i="4" s="1"/>
  <c r="A95" i="4" s="1"/>
  <c r="A96" i="4" s="1"/>
  <c r="A97" i="4" s="1"/>
  <c r="A100" i="4" s="1"/>
  <c r="A103" i="4" s="1"/>
  <c r="A105" i="4" s="1"/>
  <c r="G46" i="6" l="1"/>
  <c r="G51" i="6" s="1"/>
  <c r="J46" i="6"/>
  <c r="J51" i="6" s="1"/>
  <c r="I12" i="6"/>
  <c r="H13" i="6"/>
  <c r="H15" i="6" s="1"/>
  <c r="H14" i="6"/>
  <c r="I14" i="6" s="1"/>
  <c r="E14" i="6" s="1"/>
  <c r="R39" i="7"/>
  <c r="R41" i="7" s="1"/>
  <c r="R42" i="7" s="1"/>
  <c r="R37" i="7"/>
  <c r="I19" i="6"/>
  <c r="H24" i="6"/>
  <c r="H41" i="6" s="1"/>
  <c r="R37" i="5"/>
  <c r="R39" i="5" s="1"/>
  <c r="R41" i="5" s="1"/>
  <c r="R42" i="5" s="1"/>
  <c r="F35" i="7"/>
  <c r="F37" i="5"/>
  <c r="F39" i="5" s="1"/>
  <c r="M111" i="4"/>
  <c r="M113" i="4" s="1"/>
  <c r="F28" i="4"/>
  <c r="E18" i="4"/>
  <c r="P111" i="4"/>
  <c r="P113" i="4" s="1"/>
  <c r="J37" i="4"/>
  <c r="T111" i="4"/>
  <c r="T113" i="4" s="1"/>
  <c r="L111" i="4"/>
  <c r="L113" i="4" s="1"/>
  <c r="K44" i="4"/>
  <c r="J44" i="4" s="1"/>
  <c r="K58" i="4"/>
  <c r="E37" i="4"/>
  <c r="F44" i="4"/>
  <c r="E44" i="4" s="1"/>
  <c r="E40" i="4"/>
  <c r="E65" i="4"/>
  <c r="K28" i="4"/>
  <c r="O28" i="4"/>
  <c r="S28" i="4"/>
  <c r="J40" i="4"/>
  <c r="J49" i="4"/>
  <c r="J55" i="4"/>
  <c r="J65" i="4"/>
  <c r="E73" i="4"/>
  <c r="K91" i="4"/>
  <c r="O91" i="4"/>
  <c r="S91" i="4"/>
  <c r="F91" i="4"/>
  <c r="D28" i="4"/>
  <c r="D78" i="4" s="1"/>
  <c r="D105" i="4" s="1"/>
  <c r="E10" i="4"/>
  <c r="J31" i="4"/>
  <c r="F58" i="4"/>
  <c r="E58" i="4" s="1"/>
  <c r="M58" i="4"/>
  <c r="Q58" i="4"/>
  <c r="Q111" i="4" s="1"/>
  <c r="Q113" i="4" s="1"/>
  <c r="U58" i="4"/>
  <c r="U111" i="4" s="1"/>
  <c r="U113" i="4" s="1"/>
  <c r="J48" i="4"/>
  <c r="J58" i="4" s="1"/>
  <c r="J54" i="4"/>
  <c r="J64" i="4"/>
  <c r="K73" i="4"/>
  <c r="O73" i="4"/>
  <c r="S73" i="4"/>
  <c r="J88" i="4"/>
  <c r="F37" i="7" l="1"/>
  <c r="F39" i="7"/>
  <c r="E19" i="6"/>
  <c r="E24" i="6" s="1"/>
  <c r="E41" i="6" s="1"/>
  <c r="I24" i="6"/>
  <c r="I41" i="6" s="1"/>
  <c r="H43" i="6"/>
  <c r="I13" i="6"/>
  <c r="I15" i="6" s="1"/>
  <c r="E12" i="6"/>
  <c r="E13" i="6" s="1"/>
  <c r="E15" i="6" s="1"/>
  <c r="F103" i="4"/>
  <c r="E103" i="4" s="1"/>
  <c r="E91" i="4"/>
  <c r="E28" i="4"/>
  <c r="F78" i="4"/>
  <c r="J73" i="4"/>
  <c r="S111" i="4"/>
  <c r="S113" i="4" s="1"/>
  <c r="O111" i="4"/>
  <c r="O113" i="4" s="1"/>
  <c r="J91" i="4"/>
  <c r="K111" i="4"/>
  <c r="J28" i="4"/>
  <c r="E43" i="6" l="1"/>
  <c r="I43" i="6"/>
  <c r="H46" i="6"/>
  <c r="H51" i="6"/>
  <c r="F105" i="4"/>
  <c r="E78" i="4"/>
  <c r="J111" i="4"/>
  <c r="K113" i="4"/>
  <c r="J113" i="4" s="1"/>
  <c r="I46" i="6" l="1"/>
  <c r="I51" i="6" s="1"/>
  <c r="E46" i="6"/>
  <c r="E51" i="6" s="1"/>
  <c r="E105" i="4"/>
  <c r="F111" i="4"/>
  <c r="E107" i="4"/>
  <c r="P113" i="3" l="1"/>
  <c r="O113" i="3"/>
  <c r="L113" i="3"/>
  <c r="K113" i="3"/>
  <c r="P111" i="3"/>
  <c r="O111" i="3"/>
  <c r="N111" i="3"/>
  <c r="N113" i="3" s="1"/>
  <c r="M111" i="3"/>
  <c r="M113" i="3" s="1"/>
  <c r="L111" i="3"/>
  <c r="K111" i="3"/>
  <c r="V100" i="3"/>
  <c r="U100" i="3"/>
  <c r="T100" i="3"/>
  <c r="S100" i="3"/>
  <c r="J100" i="3" s="1"/>
  <c r="R100" i="3"/>
  <c r="Q100" i="3"/>
  <c r="E100" i="3"/>
  <c r="F97" i="3"/>
  <c r="D97" i="3"/>
  <c r="E97" i="3" s="1"/>
  <c r="E96" i="3"/>
  <c r="E95" i="3"/>
  <c r="V94" i="3"/>
  <c r="U94" i="3"/>
  <c r="T94" i="3"/>
  <c r="S94" i="3"/>
  <c r="R94" i="3"/>
  <c r="Q94" i="3"/>
  <c r="E94" i="3"/>
  <c r="Q91" i="3"/>
  <c r="F91" i="3"/>
  <c r="F103" i="3" s="1"/>
  <c r="D91" i="3"/>
  <c r="E91" i="3" s="1"/>
  <c r="J90" i="3"/>
  <c r="E90" i="3"/>
  <c r="J89" i="3"/>
  <c r="E89" i="3"/>
  <c r="V88" i="3"/>
  <c r="U88" i="3"/>
  <c r="T88" i="3"/>
  <c r="S88" i="3"/>
  <c r="R88" i="3"/>
  <c r="Q88" i="3"/>
  <c r="J88" i="3" s="1"/>
  <c r="E88" i="3"/>
  <c r="V87" i="3"/>
  <c r="U87" i="3"/>
  <c r="T87" i="3"/>
  <c r="S87" i="3"/>
  <c r="R87" i="3"/>
  <c r="J87" i="3" s="1"/>
  <c r="Q87" i="3"/>
  <c r="E87" i="3"/>
  <c r="V86" i="3"/>
  <c r="U86" i="3"/>
  <c r="T86" i="3"/>
  <c r="S86" i="3"/>
  <c r="R86" i="3"/>
  <c r="Q86" i="3"/>
  <c r="J86" i="3"/>
  <c r="E86" i="3"/>
  <c r="V85" i="3"/>
  <c r="U85" i="3"/>
  <c r="U91" i="3" s="1"/>
  <c r="T85" i="3"/>
  <c r="T91" i="3" s="1"/>
  <c r="S85" i="3"/>
  <c r="R85" i="3"/>
  <c r="Q85" i="3"/>
  <c r="J85" i="3"/>
  <c r="E85" i="3"/>
  <c r="J84" i="3"/>
  <c r="E84" i="3"/>
  <c r="J83" i="3"/>
  <c r="E83" i="3"/>
  <c r="J82" i="3"/>
  <c r="E82" i="3"/>
  <c r="V81" i="3"/>
  <c r="V91" i="3" s="1"/>
  <c r="U81" i="3"/>
  <c r="T81" i="3"/>
  <c r="S81" i="3"/>
  <c r="S91" i="3" s="1"/>
  <c r="R81" i="3"/>
  <c r="Q81" i="3"/>
  <c r="E81" i="3"/>
  <c r="V76" i="3"/>
  <c r="U76" i="3"/>
  <c r="T76" i="3"/>
  <c r="S76" i="3"/>
  <c r="J76" i="3" s="1"/>
  <c r="R76" i="3"/>
  <c r="Q76" i="3"/>
  <c r="E76" i="3"/>
  <c r="U73" i="3"/>
  <c r="Q73" i="3"/>
  <c r="F73" i="3"/>
  <c r="D73" i="3"/>
  <c r="E73" i="3" s="1"/>
  <c r="J72" i="3"/>
  <c r="E72" i="3"/>
  <c r="V71" i="3"/>
  <c r="U71" i="3"/>
  <c r="T71" i="3"/>
  <c r="S71" i="3"/>
  <c r="R71" i="3"/>
  <c r="J71" i="3" s="1"/>
  <c r="Q71" i="3"/>
  <c r="E71" i="3"/>
  <c r="V70" i="3"/>
  <c r="U70" i="3"/>
  <c r="T70" i="3"/>
  <c r="S70" i="3"/>
  <c r="R70" i="3"/>
  <c r="Q70" i="3"/>
  <c r="J70" i="3"/>
  <c r="E70" i="3"/>
  <c r="J69" i="3"/>
  <c r="E69" i="3"/>
  <c r="J68" i="3"/>
  <c r="E68" i="3"/>
  <c r="J67" i="3"/>
  <c r="E67" i="3"/>
  <c r="J66" i="3"/>
  <c r="E66" i="3"/>
  <c r="V65" i="3"/>
  <c r="U65" i="3"/>
  <c r="T65" i="3"/>
  <c r="T73" i="3" s="1"/>
  <c r="S65" i="3"/>
  <c r="R65" i="3"/>
  <c r="Q65" i="3"/>
  <c r="J65" i="3"/>
  <c r="D65" i="3"/>
  <c r="E65" i="3" s="1"/>
  <c r="V64" i="3"/>
  <c r="U64" i="3"/>
  <c r="T64" i="3"/>
  <c r="S64" i="3"/>
  <c r="S73" i="3" s="1"/>
  <c r="R64" i="3"/>
  <c r="Q64" i="3"/>
  <c r="E64" i="3"/>
  <c r="F58" i="3"/>
  <c r="E58" i="3" s="1"/>
  <c r="D58" i="3"/>
  <c r="V57" i="3"/>
  <c r="U57" i="3"/>
  <c r="T57" i="3"/>
  <c r="S57" i="3"/>
  <c r="R57" i="3"/>
  <c r="J57" i="3" s="1"/>
  <c r="Q57" i="3"/>
  <c r="E57" i="3"/>
  <c r="V56" i="3"/>
  <c r="U56" i="3"/>
  <c r="T56" i="3"/>
  <c r="S56" i="3"/>
  <c r="J56" i="3" s="1"/>
  <c r="R56" i="3"/>
  <c r="Q56" i="3"/>
  <c r="E56" i="3"/>
  <c r="V55" i="3"/>
  <c r="U55" i="3"/>
  <c r="T55" i="3"/>
  <c r="S55" i="3"/>
  <c r="R55" i="3"/>
  <c r="Q55" i="3"/>
  <c r="J55" i="3" s="1"/>
  <c r="E55" i="3"/>
  <c r="V54" i="3"/>
  <c r="U54" i="3"/>
  <c r="T54" i="3"/>
  <c r="S54" i="3"/>
  <c r="R54" i="3"/>
  <c r="Q54" i="3"/>
  <c r="J54" i="3" s="1"/>
  <c r="E54" i="3"/>
  <c r="V53" i="3"/>
  <c r="U53" i="3"/>
  <c r="T53" i="3"/>
  <c r="S53" i="3"/>
  <c r="R53" i="3"/>
  <c r="J53" i="3" s="1"/>
  <c r="Q53" i="3"/>
  <c r="E53" i="3"/>
  <c r="V52" i="3"/>
  <c r="U52" i="3"/>
  <c r="T52" i="3"/>
  <c r="S52" i="3"/>
  <c r="J52" i="3" s="1"/>
  <c r="R52" i="3"/>
  <c r="Q52" i="3"/>
  <c r="E52" i="3"/>
  <c r="V51" i="3"/>
  <c r="U51" i="3"/>
  <c r="T51" i="3"/>
  <c r="S51" i="3"/>
  <c r="R51" i="3"/>
  <c r="Q51" i="3"/>
  <c r="J51" i="3" s="1"/>
  <c r="E51" i="3"/>
  <c r="V50" i="3"/>
  <c r="U50" i="3"/>
  <c r="T50" i="3"/>
  <c r="S50" i="3"/>
  <c r="R50" i="3"/>
  <c r="Q50" i="3"/>
  <c r="J50" i="3" s="1"/>
  <c r="E50" i="3"/>
  <c r="V49" i="3"/>
  <c r="U49" i="3"/>
  <c r="T49" i="3"/>
  <c r="S49" i="3"/>
  <c r="R49" i="3"/>
  <c r="J49" i="3" s="1"/>
  <c r="Q49" i="3"/>
  <c r="E49" i="3"/>
  <c r="V48" i="3"/>
  <c r="U48" i="3"/>
  <c r="T48" i="3"/>
  <c r="S48" i="3"/>
  <c r="J48" i="3" s="1"/>
  <c r="R48" i="3"/>
  <c r="Q48" i="3"/>
  <c r="E48" i="3"/>
  <c r="V47" i="3"/>
  <c r="V58" i="3" s="1"/>
  <c r="U47" i="3"/>
  <c r="U58" i="3" s="1"/>
  <c r="T47" i="3"/>
  <c r="T58" i="3" s="1"/>
  <c r="S47" i="3"/>
  <c r="R47" i="3"/>
  <c r="R58" i="3" s="1"/>
  <c r="Q47" i="3"/>
  <c r="E47" i="3"/>
  <c r="V44" i="3"/>
  <c r="U44" i="3"/>
  <c r="F44" i="3"/>
  <c r="E44" i="3"/>
  <c r="D44" i="3"/>
  <c r="V43" i="3"/>
  <c r="U43" i="3"/>
  <c r="T43" i="3"/>
  <c r="S43" i="3"/>
  <c r="R43" i="3"/>
  <c r="Q43" i="3"/>
  <c r="J43" i="3"/>
  <c r="E43" i="3"/>
  <c r="V42" i="3"/>
  <c r="U42" i="3"/>
  <c r="T42" i="3"/>
  <c r="S42" i="3"/>
  <c r="R42" i="3"/>
  <c r="Q42" i="3"/>
  <c r="J42" i="3" s="1"/>
  <c r="E42" i="3"/>
  <c r="V41" i="3"/>
  <c r="U41" i="3"/>
  <c r="T41" i="3"/>
  <c r="S41" i="3"/>
  <c r="R41" i="3"/>
  <c r="J41" i="3" s="1"/>
  <c r="Q41" i="3"/>
  <c r="E41" i="3"/>
  <c r="V40" i="3"/>
  <c r="U40" i="3"/>
  <c r="T40" i="3"/>
  <c r="S40" i="3"/>
  <c r="S44" i="3" s="1"/>
  <c r="R40" i="3"/>
  <c r="Q40" i="3"/>
  <c r="J40" i="3"/>
  <c r="E40" i="3"/>
  <c r="U37" i="3"/>
  <c r="T37" i="3"/>
  <c r="Q37" i="3"/>
  <c r="F37" i="3"/>
  <c r="D37" i="3"/>
  <c r="E37" i="3" s="1"/>
  <c r="J36" i="3"/>
  <c r="E36" i="3"/>
  <c r="E35" i="3"/>
  <c r="E34" i="3"/>
  <c r="E33" i="3"/>
  <c r="E32" i="3"/>
  <c r="V31" i="3"/>
  <c r="V37" i="3" s="1"/>
  <c r="U31" i="3"/>
  <c r="T31" i="3"/>
  <c r="S31" i="3"/>
  <c r="S37" i="3" s="1"/>
  <c r="R31" i="3"/>
  <c r="Q31" i="3"/>
  <c r="E31" i="3"/>
  <c r="F28" i="3"/>
  <c r="D28" i="3"/>
  <c r="J27" i="3"/>
  <c r="E27" i="3"/>
  <c r="J26" i="3"/>
  <c r="E26" i="3"/>
  <c r="J25" i="3"/>
  <c r="E25" i="3"/>
  <c r="J24" i="3"/>
  <c r="E24" i="3"/>
  <c r="J23" i="3"/>
  <c r="E23" i="3"/>
  <c r="J22" i="3"/>
  <c r="E22" i="3"/>
  <c r="J21" i="3"/>
  <c r="E21" i="3"/>
  <c r="V20" i="3"/>
  <c r="U20" i="3"/>
  <c r="T20" i="3"/>
  <c r="S20" i="3"/>
  <c r="R20" i="3"/>
  <c r="Q20" i="3"/>
  <c r="J20" i="3"/>
  <c r="E20" i="3"/>
  <c r="J19" i="3"/>
  <c r="E19" i="3"/>
  <c r="V18" i="3"/>
  <c r="U18" i="3"/>
  <c r="T18" i="3"/>
  <c r="S18" i="3"/>
  <c r="R18" i="3"/>
  <c r="Q18" i="3"/>
  <c r="E18" i="3"/>
  <c r="J17" i="3"/>
  <c r="E17" i="3"/>
  <c r="J16" i="3"/>
  <c r="E16" i="3"/>
  <c r="V15" i="3"/>
  <c r="U15" i="3"/>
  <c r="T15" i="3"/>
  <c r="S15" i="3"/>
  <c r="R15" i="3"/>
  <c r="J15" i="3" s="1"/>
  <c r="Q15" i="3"/>
  <c r="E15" i="3"/>
  <c r="J14" i="3"/>
  <c r="E14" i="3"/>
  <c r="V13" i="3"/>
  <c r="U13" i="3"/>
  <c r="T13" i="3"/>
  <c r="S13" i="3"/>
  <c r="R13" i="3"/>
  <c r="J13" i="3" s="1"/>
  <c r="Q13" i="3"/>
  <c r="E13" i="3"/>
  <c r="J12" i="3"/>
  <c r="E12" i="3"/>
  <c r="J11" i="3"/>
  <c r="E11" i="3"/>
  <c r="J10" i="3"/>
  <c r="E10" i="3"/>
  <c r="D10" i="3"/>
  <c r="V9" i="3"/>
  <c r="U9" i="3"/>
  <c r="U28" i="3" s="1"/>
  <c r="U111" i="3" s="1"/>
  <c r="U113" i="3" s="1"/>
  <c r="T9" i="3"/>
  <c r="S9" i="3"/>
  <c r="R9" i="3"/>
  <c r="Q9" i="3"/>
  <c r="E9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31" i="3" s="1"/>
  <c r="A32" i="3" s="1"/>
  <c r="A33" i="3" s="1"/>
  <c r="A34" i="3" s="1"/>
  <c r="A35" i="3" s="1"/>
  <c r="A36" i="3" s="1"/>
  <c r="A37" i="3" s="1"/>
  <c r="A40" i="3" s="1"/>
  <c r="A41" i="3" s="1"/>
  <c r="A42" i="3" s="1"/>
  <c r="A43" i="3" s="1"/>
  <c r="A44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6" i="3" s="1"/>
  <c r="A78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4" i="3" s="1"/>
  <c r="A95" i="3" s="1"/>
  <c r="A96" i="3" s="1"/>
  <c r="A97" i="3" s="1"/>
  <c r="A100" i="3" s="1"/>
  <c r="A103" i="3" s="1"/>
  <c r="A105" i="3" s="1"/>
  <c r="J91" i="3" l="1"/>
  <c r="S28" i="3"/>
  <c r="J18" i="3"/>
  <c r="Q58" i="3"/>
  <c r="J47" i="3"/>
  <c r="J58" i="3" s="1"/>
  <c r="T28" i="3"/>
  <c r="J37" i="3"/>
  <c r="T44" i="3"/>
  <c r="J9" i="3"/>
  <c r="Q28" i="3"/>
  <c r="D103" i="3"/>
  <c r="R28" i="3"/>
  <c r="V28" i="3"/>
  <c r="V111" i="3" s="1"/>
  <c r="V113" i="3" s="1"/>
  <c r="R37" i="3"/>
  <c r="J31" i="3"/>
  <c r="Q44" i="3"/>
  <c r="S58" i="3"/>
  <c r="D78" i="3"/>
  <c r="R91" i="3"/>
  <c r="J81" i="3"/>
  <c r="E103" i="3"/>
  <c r="F78" i="3"/>
  <c r="E28" i="3"/>
  <c r="R44" i="3"/>
  <c r="R73" i="3"/>
  <c r="J73" i="3" s="1"/>
  <c r="J64" i="3"/>
  <c r="V73" i="3"/>
  <c r="J44" i="3" l="1"/>
  <c r="R111" i="3"/>
  <c r="R113" i="3" s="1"/>
  <c r="F105" i="3"/>
  <c r="E78" i="3"/>
  <c r="D105" i="3"/>
  <c r="Q111" i="3"/>
  <c r="J28" i="3"/>
  <c r="T111" i="3"/>
  <c r="T113" i="3" s="1"/>
  <c r="S111" i="3"/>
  <c r="S113" i="3" s="1"/>
  <c r="E105" i="3" l="1"/>
  <c r="F111" i="3"/>
  <c r="E107" i="3"/>
  <c r="Q113" i="3"/>
  <c r="J113" i="3" s="1"/>
  <c r="J111" i="3"/>
  <c r="R59" i="2" l="1"/>
  <c r="Q59" i="2"/>
  <c r="Q61" i="2" s="1"/>
  <c r="Q63" i="2" s="1"/>
  <c r="R61" i="2"/>
  <c r="R63" i="2" s="1"/>
  <c r="S59" i="2"/>
  <c r="S61" i="2" s="1"/>
  <c r="S63" i="2" s="1"/>
  <c r="K63" i="2"/>
  <c r="I63" i="2"/>
  <c r="M59" i="2"/>
  <c r="M61" i="2" s="1"/>
  <c r="M63" i="2" s="1"/>
  <c r="T58" i="2"/>
  <c r="T45" i="2"/>
  <c r="T44" i="2"/>
  <c r="T59" i="2" s="1"/>
  <c r="T61" i="2" s="1"/>
  <c r="T63" i="2" s="1"/>
  <c r="T65" i="2" s="1"/>
  <c r="T66" i="2" s="1"/>
  <c r="P44" i="1" l="1"/>
  <c r="P45" i="1"/>
  <c r="P58" i="1"/>
  <c r="P59" i="1" s="1"/>
  <c r="P61" i="1" s="1"/>
  <c r="P63" i="1" s="1"/>
  <c r="P65" i="1" s="1"/>
  <c r="P66" i="1" s="1"/>
  <c r="M59" i="1"/>
  <c r="M61" i="1" s="1"/>
  <c r="M63" i="1" s="1"/>
  <c r="O59" i="1"/>
  <c r="O61" i="1"/>
  <c r="O63" i="1" s="1"/>
  <c r="I63" i="1"/>
  <c r="K63" i="1"/>
</calcChain>
</file>

<file path=xl/comments1.xml><?xml version="1.0" encoding="utf-8"?>
<comments xmlns="http://schemas.openxmlformats.org/spreadsheetml/2006/main">
  <authors>
    <author>gzhkw6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LMA:
November 2017 Update - Wheeling Revenue 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tlk:
Wheeling Revenue in PF Transmission Adjustment PF column</t>
        </r>
      </text>
    </comment>
  </commentList>
</comments>
</file>

<file path=xl/comments2.xml><?xml version="1.0" encoding="utf-8"?>
<comments xmlns="http://schemas.openxmlformats.org/spreadsheetml/2006/main">
  <authors>
    <author>gzhkw6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LMA:
November 2017 Update - Wheeling Revenue 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LMA:</t>
        </r>
        <r>
          <rPr>
            <sz val="9"/>
            <color indexed="81"/>
            <rFont val="Tahoma"/>
            <family val="2"/>
          </rPr>
          <t xml:space="preserve">
Wheeling Revenue PF Transmission Adjustment PF column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from PF Transmission confidential workpapers
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from PF Transmission confidential workpapers
</t>
        </r>
      </text>
    </comment>
  </commentList>
</comments>
</file>

<file path=xl/comments3.xml><?xml version="1.0" encoding="utf-8"?>
<comments xmlns="http://schemas.openxmlformats.org/spreadsheetml/2006/main">
  <authors>
    <author>gzhkw6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tlk:
Wheeling Revenue in PF Transmission Adjustment PF column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tlk:
Wheeling Revenue in PF Transmission Adjustment PF column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from PF Transmission confidential workpapers
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from PF Transmission confidential workpapers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from PF Transmission confidential workpapers
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from PF Transmission confidential workpapers
</t>
        </r>
      </text>
    </comment>
  </commentList>
</comments>
</file>

<file path=xl/comments4.xml><?xml version="1.0" encoding="utf-8"?>
<comments xmlns="http://schemas.openxmlformats.org/spreadsheetml/2006/main">
  <authors>
    <author>gzhkw6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LMA:</t>
        </r>
        <r>
          <rPr>
            <sz val="9"/>
            <color indexed="81"/>
            <rFont val="Tahoma"/>
            <family val="2"/>
          </rPr>
          <t xml:space="preserve">
Wheeling Revenue PF Transmission Adjustment PF column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LMA:</t>
        </r>
        <r>
          <rPr>
            <sz val="9"/>
            <color indexed="81"/>
            <rFont val="Tahoma"/>
            <family val="2"/>
          </rPr>
          <t xml:space="preserve">
Wheeling Revenue PF Transmission Adjustment PF column</t>
        </r>
      </text>
    </comment>
  </commentList>
</comments>
</file>

<file path=xl/sharedStrings.xml><?xml version="1.0" encoding="utf-8"?>
<sst xmlns="http://schemas.openxmlformats.org/spreadsheetml/2006/main" count="1026" uniqueCount="328">
  <si>
    <t xml:space="preserve"> </t>
  </si>
  <si>
    <t>Revenue Requirement Impact of Transmission Revenue Update</t>
  </si>
  <si>
    <t>WA Share of Change</t>
  </si>
  <si>
    <t>TOTAL NET REVENUE</t>
  </si>
  <si>
    <t>TOTAL REVENUE</t>
  </si>
  <si>
    <t>Net Change</t>
  </si>
  <si>
    <t>AS FILED</t>
  </si>
  <si>
    <t>UPDATED</t>
  </si>
  <si>
    <t>Kootenai Electric Cooperatiive</t>
  </si>
  <si>
    <t>AC</t>
  </si>
  <si>
    <t>Hydro Tech Systems - Meyers Falls</t>
  </si>
  <si>
    <t>AB</t>
  </si>
  <si>
    <t>Morgan Stanley Capital Group</t>
  </si>
  <si>
    <t>AA</t>
  </si>
  <si>
    <t>BPA Parallel Operating Agreement</t>
  </si>
  <si>
    <t>Z</t>
  </si>
  <si>
    <t>Stimson Lumber</t>
  </si>
  <si>
    <t>Y</t>
  </si>
  <si>
    <t>Palouse Wind O &amp; M</t>
  </si>
  <si>
    <t>X</t>
  </si>
  <si>
    <t>First Wind Transmission</t>
  </si>
  <si>
    <t>W</t>
  </si>
  <si>
    <t>Grand Coulee Project Hydro Authority</t>
  </si>
  <si>
    <t>V</t>
  </si>
  <si>
    <t>Spokane Waste to Energy Plant</t>
  </si>
  <si>
    <t>U</t>
  </si>
  <si>
    <t>PacifiCorp - Dry Gulch Wheeling</t>
  </si>
  <si>
    <t>T</t>
  </si>
  <si>
    <t xml:space="preserve">OASIS Nonfirm &amp; Short-term Firm </t>
  </si>
  <si>
    <t>S</t>
  </si>
  <si>
    <t>Seattle/Tacoma Summer Falls</t>
  </si>
  <si>
    <t>R</t>
  </si>
  <si>
    <t>Seattle/Tacoma Main Canal</t>
  </si>
  <si>
    <t>Q</t>
  </si>
  <si>
    <t>Borderline Wheeling Ancillary Revenues</t>
  </si>
  <si>
    <t>P</t>
  </si>
  <si>
    <t>Borderline Wheeling Low Voltage</t>
  </si>
  <si>
    <t>O</t>
  </si>
  <si>
    <t>Borderline Wheeling Transmission</t>
  </si>
  <si>
    <t>N</t>
  </si>
  <si>
    <t>456 OTHER ELECTRIC REVENUE</t>
  </si>
  <si>
    <t>TOTAL EXPENSE</t>
  </si>
  <si>
    <t>Total Account 570</t>
  </si>
  <si>
    <t>Hatwai  (BPA substation)</t>
  </si>
  <si>
    <t>M</t>
  </si>
  <si>
    <t xml:space="preserve">Addy (BPA substation) </t>
  </si>
  <si>
    <t>L</t>
  </si>
  <si>
    <t>570 MAINTENANCE OF STATION EQUIPMENT</t>
  </si>
  <si>
    <t>Total Account 566</t>
  </si>
  <si>
    <t>WECC Loop Flow</t>
  </si>
  <si>
    <t>A56</t>
  </si>
  <si>
    <t>K</t>
  </si>
  <si>
    <t>WECC Dues</t>
  </si>
  <si>
    <t>C56</t>
  </si>
  <si>
    <t>J</t>
  </si>
  <si>
    <t xml:space="preserve">PEAK Reliability </t>
  </si>
  <si>
    <t>T08</t>
  </si>
  <si>
    <t>566151/566154</t>
  </si>
  <si>
    <t>I</t>
  </si>
  <si>
    <t>Columbia Grid OASIS travel expenses</t>
  </si>
  <si>
    <t>E56</t>
  </si>
  <si>
    <t>566214/566020</t>
  </si>
  <si>
    <t>09802455/'2815</t>
  </si>
  <si>
    <t>H</t>
  </si>
  <si>
    <t>NERC CIP</t>
  </si>
  <si>
    <t>566000/935804</t>
  </si>
  <si>
    <t>09800542/'221</t>
  </si>
  <si>
    <t>G</t>
  </si>
  <si>
    <t>566 TRANSMISSION EXP-OPRN-MISCELLANEOUS</t>
  </si>
  <si>
    <t>Total Account 560-71.4, 935.3-.4</t>
  </si>
  <si>
    <t>Order 1000 Functional Agreement</t>
  </si>
  <si>
    <t>F</t>
  </si>
  <si>
    <t>ColumbiaGrid Planning (PEFA)</t>
  </si>
  <si>
    <t>E</t>
  </si>
  <si>
    <r>
      <t xml:space="preserve">ColumbiaGrid Funding </t>
    </r>
    <r>
      <rPr>
        <b/>
        <sz val="10"/>
        <rFont val="Calibri"/>
        <family val="2"/>
      </rPr>
      <t>(Confidential)</t>
    </r>
  </si>
  <si>
    <t>D</t>
  </si>
  <si>
    <r>
      <t xml:space="preserve">Colstrip O&amp;M 500kV Lines </t>
    </r>
    <r>
      <rPr>
        <b/>
        <sz val="10"/>
        <rFont val="Calibri"/>
        <family val="2"/>
      </rPr>
      <t>(Confidential)</t>
    </r>
  </si>
  <si>
    <t>C</t>
  </si>
  <si>
    <t>560-71.4, 935.3-.4 TRANSMISSION O&amp;M EXPENSE</t>
  </si>
  <si>
    <t>NWPP</t>
  </si>
  <si>
    <t>B</t>
  </si>
  <si>
    <t>556 OTHER POWER SUPPLY EXPENSES</t>
  </si>
  <si>
    <t>Period</t>
  </si>
  <si>
    <t>Adjusted</t>
  </si>
  <si>
    <t>Actual</t>
  </si>
  <si>
    <t>Org</t>
  </si>
  <si>
    <t>No.</t>
  </si>
  <si>
    <t xml:space="preserve">No. </t>
  </si>
  <si>
    <t>Paper</t>
  </si>
  <si>
    <t>Pro Forma</t>
  </si>
  <si>
    <t xml:space="preserve">Task </t>
  </si>
  <si>
    <t xml:space="preserve">Project </t>
  </si>
  <si>
    <t xml:space="preserve">Work </t>
  </si>
  <si>
    <t>Line</t>
  </si>
  <si>
    <t>Oct-2014 to</t>
  </si>
  <si>
    <t>Nov Update</t>
  </si>
  <si>
    <t xml:space="preserve">A </t>
  </si>
  <si>
    <t>Change</t>
  </si>
  <si>
    <t>Net</t>
  </si>
  <si>
    <t>AVISTA REBUTTAL</t>
  </si>
  <si>
    <t>November 2016 Update</t>
  </si>
  <si>
    <t>($000s)</t>
  </si>
  <si>
    <t>Pro Forma Transmission Revenue/Expenses</t>
  </si>
  <si>
    <t xml:space="preserve"> - Energy Delivery - </t>
  </si>
  <si>
    <t>Avista Corporation</t>
  </si>
  <si>
    <t>Jan-Jun 2018</t>
  </si>
  <si>
    <t>Change Nov Update</t>
  </si>
  <si>
    <t>AVISTA</t>
  </si>
  <si>
    <t>Rebuttal</t>
  </si>
  <si>
    <t>(Net reduction in Total Net Revenue for 2018 related to update in 2017 (see page 1). No incremental change in transmission net revenue in 2018.)</t>
  </si>
  <si>
    <t xml:space="preserve">Nov </t>
  </si>
  <si>
    <t>Update</t>
  </si>
  <si>
    <t>Avista Corp.</t>
  </si>
  <si>
    <t>Power Supply Pro forma - Washington Jurisdiction</t>
  </si>
  <si>
    <t>System Numbers - Oct 2014 - Sep 2015 Actual and Jul 2017 - Jun 2018 Pro Forma</t>
  </si>
  <si>
    <t>Test Year Load, Nov 1 Update</t>
  </si>
  <si>
    <t>Authorized</t>
  </si>
  <si>
    <t>Oct 14 - Sep 15</t>
  </si>
  <si>
    <t>Jul 17 - Jun 18</t>
  </si>
  <si>
    <t>Jan 06 - Dec 06</t>
  </si>
  <si>
    <t>Actuals</t>
  </si>
  <si>
    <t>Adjustment</t>
  </si>
  <si>
    <t>Pro forma</t>
  </si>
  <si>
    <t>Comment</t>
  </si>
  <si>
    <t>Total</t>
  </si>
  <si>
    <t>555 PURCHASED POWER</t>
  </si>
  <si>
    <t>Modeled ST Market Purchases</t>
  </si>
  <si>
    <t>model</t>
  </si>
  <si>
    <t>Actual ST Market Purchases</t>
  </si>
  <si>
    <t>Actual ST Purchases - Financial M-to-M</t>
  </si>
  <si>
    <t>Rocky Reach/Rock Island Purchase</t>
  </si>
  <si>
    <t>Wells - Avista Share</t>
  </si>
  <si>
    <t>Wells - Colville Tribe's Share</t>
  </si>
  <si>
    <t>Priest Rapids Project</t>
  </si>
  <si>
    <t>includes Mean Pri &amp; Reas Port</t>
  </si>
  <si>
    <t>Douglas Settlement</t>
  </si>
  <si>
    <t>check energy</t>
  </si>
  <si>
    <t>Lancaster Capacity Payment</t>
  </si>
  <si>
    <t>Lancaster Variable O&amp;M Payments</t>
  </si>
  <si>
    <t>WNP-3</t>
  </si>
  <si>
    <t>modeled MWh x Actual</t>
  </si>
  <si>
    <t>Deer Lake-IP&amp;L</t>
  </si>
  <si>
    <t>Small Power</t>
  </si>
  <si>
    <t>Stimson</t>
  </si>
  <si>
    <t>modeled MWh x new contract rate</t>
  </si>
  <si>
    <t>Spokane-Upriver</t>
  </si>
  <si>
    <t>Spokane Waste-to-Energy</t>
  </si>
  <si>
    <t xml:space="preserve">Non-Monetary </t>
  </si>
  <si>
    <t>normal $0</t>
  </si>
  <si>
    <t>Ancillary Services</t>
  </si>
  <si>
    <t>Palouse Wind</t>
  </si>
  <si>
    <t>Total Account 555</t>
  </si>
  <si>
    <t>557 OTHER EXPENSES</t>
  </si>
  <si>
    <t>Broker Commission Fees</t>
  </si>
  <si>
    <t>WA EIA REC Purchase - 100% WA Allocation</t>
  </si>
  <si>
    <t>REC Expenses (offset to REC Revenue)</t>
  </si>
  <si>
    <t>Spokane Energy Capacity Payment Adjustment</t>
  </si>
  <si>
    <t>Rathdrum Solar, Buck-a-Block</t>
  </si>
  <si>
    <t>Natural Gas Fuel Purchases</t>
  </si>
  <si>
    <t>only gas burned modeled</t>
  </si>
  <si>
    <t>Total Account 557</t>
  </si>
  <si>
    <t>501 THERMAL FUEL EXPENSE</t>
  </si>
  <si>
    <t>Kettle Falls - Wood Fuel</t>
  </si>
  <si>
    <t>Kettle Falls - Start-up Gas</t>
  </si>
  <si>
    <t>Colstrip - Coal</t>
  </si>
  <si>
    <t>Colstrip - Oil</t>
  </si>
  <si>
    <t>Total Account 501</t>
  </si>
  <si>
    <t>547 OTHER FUEL EXPENSE</t>
  </si>
  <si>
    <t>Coyote Springs Gas</t>
  </si>
  <si>
    <t>Coyote Springs 2 Gas Transportation</t>
  </si>
  <si>
    <t>Lancaster Gas</t>
  </si>
  <si>
    <t>Lancaster Gas Transportation</t>
  </si>
  <si>
    <t>Actual Financial Gas Transactions M-to-M</t>
  </si>
  <si>
    <t>Gas Transpot Optimization</t>
  </si>
  <si>
    <t>Gas Transportation for BP, NE and KFCT</t>
  </si>
  <si>
    <t>Rathdrum  Gas</t>
  </si>
  <si>
    <t>Northeast CT Gas</t>
  </si>
  <si>
    <t>Boulder Park Gas</t>
  </si>
  <si>
    <t>Kettle Falls CT Gas</t>
  </si>
  <si>
    <t>Total Account 547</t>
  </si>
  <si>
    <t>565 TRANSMISSION OF ELECTRICITY BY OTHERS</t>
  </si>
  <si>
    <t>Short-term Transmission Purchases</t>
  </si>
  <si>
    <t>BPA PTP for Colstrip, Coyote &amp; Lancaster</t>
  </si>
  <si>
    <t>BPA Townsend-Garrison Wheeling</t>
  </si>
  <si>
    <t>new rate</t>
  </si>
  <si>
    <t>Avista on BPA - Borderline</t>
  </si>
  <si>
    <t>Kootenai for Worley</t>
  </si>
  <si>
    <t>Sagle-Northern Lights</t>
  </si>
  <si>
    <t>Northwestern for Colstrip</t>
  </si>
  <si>
    <t>PGE Firm Wheeling</t>
  </si>
  <si>
    <t>Total Account 565</t>
  </si>
  <si>
    <t>536 WATER FOR POWER</t>
  </si>
  <si>
    <t>Headwater Benefits Payments</t>
  </si>
  <si>
    <t>447 SALES FOR RESALE</t>
  </si>
  <si>
    <t>Modeled Short-Term Market Sales</t>
  </si>
  <si>
    <t>Actual ST Market Sales - Physical</t>
  </si>
  <si>
    <t>Actual ST Market Sales - Financial M-to-M</t>
  </si>
  <si>
    <t>Peaker (PGE) Capacity Sale</t>
  </si>
  <si>
    <t>Nichols Pumping Sale</t>
  </si>
  <si>
    <t>index</t>
  </si>
  <si>
    <t>Sovereign/Kaiser DES</t>
  </si>
  <si>
    <t>Pend Oreille DES &amp; Spinning</t>
  </si>
  <si>
    <t>SMUD/Energy America</t>
  </si>
  <si>
    <t>COB Optimization</t>
  </si>
  <si>
    <t>Intracompany Generation</t>
  </si>
  <si>
    <t>Total Account 447</t>
  </si>
  <si>
    <t>Non-WA EIA REC Sales</t>
  </si>
  <si>
    <t>WA EIA REC Sales</t>
  </si>
  <si>
    <t>Gas Not Consumed Sales Revenue</t>
  </si>
  <si>
    <t>Total Account 456</t>
  </si>
  <si>
    <t>453 SALES OF WATER AND WATER POWER</t>
  </si>
  <si>
    <t>Upstream Storage Revenue</t>
  </si>
  <si>
    <t>TOTAL NET EXPENSE</t>
  </si>
  <si>
    <t>ERM Accounts</t>
  </si>
  <si>
    <t>All Accounts</t>
  </si>
  <si>
    <t>System Numbers - Oct 2014 - Sep 2015 Actual and 2017 Pro Forma</t>
  </si>
  <si>
    <t>WA Power Supply Pro Forma Net Cost</t>
  </si>
  <si>
    <r>
      <t>Rate Case Power Supply Adjustment Pro Forma -</t>
    </r>
    <r>
      <rPr>
        <u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09.2015 Historical Loads</t>
    </r>
  </si>
  <si>
    <r>
      <t xml:space="preserve">Rate Case Power Supply Adjustment Pro Forma - </t>
    </r>
    <r>
      <rPr>
        <b/>
        <u/>
        <sz val="10"/>
        <rFont val="Arial"/>
        <family val="2"/>
      </rPr>
      <t>09.2015 Historical Loads</t>
    </r>
  </si>
  <si>
    <t>NET</t>
  </si>
  <si>
    <t>November 2016 PF Update</t>
  </si>
  <si>
    <t>Per Avista Rebuttal</t>
  </si>
  <si>
    <t>CHANGE</t>
  </si>
  <si>
    <t xml:space="preserve">2017 PF </t>
  </si>
  <si>
    <t>Column [K]</t>
  </si>
  <si>
    <t>Power</t>
  </si>
  <si>
    <t>Supply</t>
  </si>
  <si>
    <t>Washington</t>
  </si>
  <si>
    <t>System</t>
  </si>
  <si>
    <t>Amounts</t>
  </si>
  <si>
    <t>P/T Allocation Percentages</t>
  </si>
  <si>
    <t>447 Sales for Resale</t>
  </si>
  <si>
    <t>453 Sales of Water and Water Power</t>
  </si>
  <si>
    <t>454 Misc Rents</t>
  </si>
  <si>
    <t>456 Transmission Wheeling Revenue</t>
  </si>
  <si>
    <t>Direct WA</t>
  </si>
  <si>
    <t>Direct ID</t>
  </si>
  <si>
    <t>456 Other Electric Revenue</t>
  </si>
  <si>
    <t>456 Other Electric Revenue-Direct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</si>
  <si>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</si>
  <si>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</si>
  <si>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</si>
  <si>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</si>
  <si>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</si>
  <si>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</si>
  <si>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</si>
  <si>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</si>
  <si>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</si>
  <si>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</si>
  <si>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XXX Other Expenses-Direct WA</t>
  </si>
  <si>
    <t>565 Trans. of Elec. by Others</t>
  </si>
  <si>
    <t xml:space="preserve">   Total Expense</t>
  </si>
  <si>
    <t>Net Income Before Income Taxes</t>
  </si>
  <si>
    <t>Federal Income Tax</t>
  </si>
  <si>
    <t>Net Income</t>
  </si>
  <si>
    <t>Net Revenue Requirement Impact</t>
  </si>
  <si>
    <t>CF</t>
  </si>
  <si>
    <t>Net Revenue Requirement Impact (Grossed Down)</t>
  </si>
  <si>
    <t>[USING HISTRICAL LOADS]</t>
  </si>
  <si>
    <t>ATTRITION ADJUSTMENT RELATED TO RETAIL REVENUE GROWTH AND ASSOCIATED POWER SUPPLY COST</t>
  </si>
  <si>
    <t xml:space="preserve">(000'S OF DOLLARS)  </t>
  </si>
  <si>
    <t>Both updated with Nov update - same change in expense and revenue should result in no net change</t>
  </si>
  <si>
    <t>Revenue</t>
  </si>
  <si>
    <t>Incremental</t>
  </si>
  <si>
    <t>Growth</t>
  </si>
  <si>
    <t>Supply Cost</t>
  </si>
  <si>
    <t>Retail</t>
  </si>
  <si>
    <t>and Power</t>
  </si>
  <si>
    <t>Test Year</t>
  </si>
  <si>
    <t>Rate Year</t>
  </si>
  <si>
    <t>DESCRIPTION</t>
  </si>
  <si>
    <t>(Note 1)</t>
  </si>
  <si>
    <t>Load</t>
  </si>
  <si>
    <t>Cost</t>
  </si>
  <si>
    <t>Column [L]</t>
  </si>
  <si>
    <t xml:space="preserve">REVENUES  </t>
  </si>
  <si>
    <t>(Net - no change)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</si>
  <si>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</si>
  <si>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</si>
  <si>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</si>
  <si>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</si>
  <si>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</si>
  <si>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</si>
  <si>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</si>
  <si>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</si>
  <si>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</si>
  <si>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</si>
  <si>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</si>
  <si>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</si>
  <si>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</si>
  <si>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</si>
  <si>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</si>
  <si>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</si>
  <si>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</si>
  <si>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</si>
  <si>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</si>
  <si>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</si>
  <si>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</si>
  <si>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</si>
  <si>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</si>
  <si>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</si>
  <si>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</si>
  <si>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</si>
  <si>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</si>
  <si>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</si>
  <si>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</si>
  <si>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</si>
  <si>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>Note 1:  09.2015 Washington electric revenue conversion factor amounts.</t>
  </si>
  <si>
    <t xml:space="preserve">[Adjusts for growth in power supply above historical load] </t>
  </si>
  <si>
    <r>
      <t>Rate Case Power Supply Adjustment Pro Forma -</t>
    </r>
    <r>
      <rPr>
        <b/>
        <u/>
        <sz val="10"/>
        <rFont val="Arial"/>
        <family val="2"/>
      </rPr>
      <t xml:space="preserve"> 2017 Forecast Loads</t>
    </r>
  </si>
  <si>
    <r>
      <t xml:space="preserve">Rate Case Power Supply Adjustment Pro Forma - </t>
    </r>
    <r>
      <rPr>
        <b/>
        <u/>
        <sz val="10"/>
        <rFont val="Arial"/>
        <family val="2"/>
      </rPr>
      <t>2017 Forecast Loads</t>
    </r>
  </si>
  <si>
    <t>(1)</t>
  </si>
  <si>
    <t>xxx Other Expenses-Direct WA</t>
  </si>
  <si>
    <t>(1) Added change in each expense and revenue for 2017 update based on historical load to reflect same change using 2017 forecast loads. Reflects no net change in Column [L]</t>
  </si>
  <si>
    <t>[USING FORECASTED LOADS]</t>
  </si>
  <si>
    <t>Rate Case Power Supply Adjustment Pro Forma - 09.2015 Historical Loads</t>
  </si>
  <si>
    <t>2018 PF  (12ME 6/2018)</t>
  </si>
  <si>
    <t>[Column K]</t>
  </si>
  <si>
    <t xml:space="preserve">2018 PF </t>
  </si>
  <si>
    <t>Change per 2017 Update</t>
  </si>
  <si>
    <t>Incremental Decrease for 2018</t>
  </si>
  <si>
    <t>Both columns updated with Nov. update - same change in expense and revenue should result in no net change to this adjustment column [L], page 4-5.</t>
  </si>
  <si>
    <t>No Change --&gt;</t>
  </si>
  <si>
    <t xml:space="preserve">[Column L] </t>
  </si>
  <si>
    <r>
      <t xml:space="preserve">Rate Case Power Supply Adjustment Pro Forma - </t>
    </r>
    <r>
      <rPr>
        <b/>
        <u/>
        <sz val="10"/>
        <rFont val="Arial"/>
        <family val="2"/>
      </rPr>
      <t>2018 Forecast Loads</t>
    </r>
  </si>
  <si>
    <t>Rate Case Power Supply Adjustment Pro Forma - 2018 Forecast Loads</t>
  </si>
  <si>
    <t>Updated PF</t>
  </si>
  <si>
    <t>Grossed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</si>
</sst>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#,##0.0"/>
    <numFmt numFmtId="167" formatCode="_(* #,##0_);_(* \(#,##0\);_(* &quot;-&quot;??_);_(@_)"/>
    <numFmt numFmtId="168" formatCode="#,##0.000000"/>
  </numFmts>
  <fonts count="36">
    <font>
      <sz val="10"/>
      <name val="Geneva"/>
    </font>
    <font>
      <sz val="10"/>
      <name val="Geneva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Geneva"/>
    </font>
    <font>
      <b/>
      <sz val="10"/>
      <color rgb="FFFF0000"/>
      <name val="Geneva"/>
    </font>
    <font>
      <sz val="9"/>
      <name val="Geneva"/>
    </font>
    <font>
      <u/>
      <sz val="10"/>
      <name val="Geneva"/>
    </font>
    <font>
      <b/>
      <u/>
      <sz val="10"/>
      <name val="Geneva"/>
    </font>
    <font>
      <b/>
      <sz val="11"/>
      <color theme="1"/>
      <name val="Geneva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261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3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/>
    </xf>
    <xf numFmtId="164" fontId="4" fillId="2" borderId="1" xfId="2" applyNumberFormat="1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3" fillId="2" borderId="0" xfId="0" applyFont="1" applyFill="1"/>
    <xf numFmtId="164" fontId="4" fillId="2" borderId="2" xfId="2" applyNumberFormat="1" applyFont="1" applyFill="1" applyBorder="1"/>
    <xf numFmtId="10" fontId="4" fillId="2" borderId="0" xfId="0" applyNumberFormat="1" applyFont="1" applyFill="1"/>
    <xf numFmtId="2" fontId="4" fillId="2" borderId="0" xfId="0" applyNumberFormat="1" applyFont="1" applyFill="1"/>
    <xf numFmtId="0" fontId="2" fillId="0" borderId="0" xfId="0" applyFont="1" applyAlignment="1">
      <alignment horizontal="center"/>
    </xf>
    <xf numFmtId="3" fontId="4" fillId="2" borderId="3" xfId="0" applyNumberFormat="1" applyFont="1" applyFill="1" applyBorder="1"/>
    <xf numFmtId="3" fontId="4" fillId="0" borderId="3" xfId="0" applyNumberFormat="1" applyFont="1" applyBorder="1"/>
    <xf numFmtId="3" fontId="4" fillId="0" borderId="0" xfId="0" applyNumberFormat="1" applyFont="1" applyFill="1" applyBorder="1"/>
    <xf numFmtId="0" fontId="2" fillId="0" borderId="0" xfId="0" applyFont="1" applyBorder="1"/>
    <xf numFmtId="0" fontId="4" fillId="0" borderId="0" xfId="0" applyFont="1"/>
    <xf numFmtId="3" fontId="2" fillId="0" borderId="0" xfId="0" applyNumberFormat="1" applyFont="1" applyBorder="1"/>
    <xf numFmtId="3" fontId="2" fillId="0" borderId="0" xfId="0" applyNumberFormat="1" applyFont="1" applyFill="1" applyBorder="1"/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" fontId="4" fillId="0" borderId="3" xfId="0" applyNumberFormat="1" applyFont="1" applyFill="1" applyBorder="1"/>
    <xf numFmtId="0" fontId="2" fillId="0" borderId="0" xfId="0" applyFont="1" applyFill="1" applyAlignment="1">
      <alignment horizontal="left"/>
    </xf>
    <xf numFmtId="3" fontId="2" fillId="0" borderId="0" xfId="0" applyNumberFormat="1" applyFont="1" applyFill="1"/>
    <xf numFmtId="3" fontId="2" fillId="2" borderId="0" xfId="0" applyNumberFormat="1" applyFont="1" applyFill="1" applyBorder="1"/>
    <xf numFmtId="3" fontId="3" fillId="0" borderId="0" xfId="1" applyNumberFormat="1" applyFont="1" applyFill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2" fillId="0" borderId="0" xfId="0" applyFont="1" applyFill="1"/>
    <xf numFmtId="0" fontId="3" fillId="0" borderId="0" xfId="0" applyFont="1" applyFill="1"/>
    <xf numFmtId="3" fontId="5" fillId="0" borderId="0" xfId="0" applyNumberFormat="1" applyFont="1" applyBorder="1"/>
    <xf numFmtId="3" fontId="5" fillId="0" borderId="0" xfId="0" applyNumberFormat="1" applyFont="1" applyFill="1" applyBorder="1"/>
    <xf numFmtId="0" fontId="6" fillId="0" borderId="0" xfId="0" applyFont="1"/>
    <xf numFmtId="3" fontId="2" fillId="0" borderId="0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2" fillId="0" borderId="2" xfId="1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3" fontId="3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2" xfId="0" applyFont="1" applyBorder="1"/>
    <xf numFmtId="0" fontId="11" fillId="0" borderId="0" xfId="0" applyFont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3" fontId="4" fillId="2" borderId="4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3" fontId="2" fillId="0" borderId="7" xfId="1" applyNumberFormat="1" applyFont="1" applyFill="1" applyBorder="1" applyAlignment="1">
      <alignment horizontal="right"/>
    </xf>
    <xf numFmtId="3" fontId="2" fillId="0" borderId="6" xfId="1" applyNumberFormat="1" applyFont="1" applyFill="1" applyBorder="1" applyAlignment="1">
      <alignment horizontal="right"/>
    </xf>
    <xf numFmtId="3" fontId="4" fillId="0" borderId="8" xfId="1" applyNumberFormat="1" applyFont="1" applyFill="1" applyBorder="1" applyAlignment="1">
      <alignment horizontal="right"/>
    </xf>
    <xf numFmtId="3" fontId="4" fillId="0" borderId="6" xfId="1" applyNumberFormat="1" applyFont="1" applyFill="1" applyBorder="1" applyAlignment="1">
      <alignment horizontal="right"/>
    </xf>
    <xf numFmtId="3" fontId="2" fillId="0" borderId="8" xfId="1" applyNumberFormat="1" applyFont="1" applyFill="1" applyBorder="1" applyAlignment="1">
      <alignment horizontal="right"/>
    </xf>
    <xf numFmtId="3" fontId="5" fillId="0" borderId="6" xfId="0" applyNumberFormat="1" applyFont="1" applyFill="1" applyBorder="1"/>
    <xf numFmtId="3" fontId="2" fillId="0" borderId="6" xfId="0" applyNumberFormat="1" applyFont="1" applyFill="1" applyBorder="1"/>
    <xf numFmtId="3" fontId="2" fillId="2" borderId="6" xfId="0" applyNumberFormat="1" applyFont="1" applyFill="1" applyBorder="1"/>
    <xf numFmtId="3" fontId="4" fillId="0" borderId="6" xfId="0" applyNumberFormat="1" applyFont="1" applyFill="1" applyBorder="1"/>
    <xf numFmtId="3" fontId="4" fillId="0" borderId="8" xfId="0" applyNumberFormat="1" applyFont="1" applyFill="1" applyBorder="1"/>
    <xf numFmtId="3" fontId="4" fillId="0" borderId="9" xfId="0" applyNumberFormat="1" applyFont="1" applyFill="1" applyBorder="1"/>
    <xf numFmtId="3" fontId="4" fillId="0" borderId="2" xfId="0" applyNumberFormat="1" applyFont="1" applyBorder="1"/>
    <xf numFmtId="0" fontId="4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5" fillId="0" borderId="6" xfId="0" applyNumberFormat="1" applyFont="1" applyBorder="1"/>
    <xf numFmtId="3" fontId="4" fillId="0" borderId="6" xfId="0" applyNumberFormat="1" applyFont="1" applyBorder="1" applyAlignment="1">
      <alignment horizontal="center"/>
    </xf>
    <xf numFmtId="3" fontId="2" fillId="0" borderId="10" xfId="0" applyNumberFormat="1" applyFont="1" applyBorder="1"/>
    <xf numFmtId="14" fontId="0" fillId="0" borderId="0" xfId="0" applyNumberFormat="1" applyAlignment="1">
      <alignment horizontal="left"/>
    </xf>
    <xf numFmtId="0" fontId="1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" fontId="0" fillId="0" borderId="2" xfId="0" applyNumberFormat="1" applyBorder="1"/>
    <xf numFmtId="0" fontId="15" fillId="0" borderId="0" xfId="0" applyFont="1"/>
    <xf numFmtId="3" fontId="0" fillId="0" borderId="0" xfId="0" applyNumberFormat="1" applyBorder="1"/>
    <xf numFmtId="0" fontId="0" fillId="0" borderId="0" xfId="0" applyBorder="1"/>
    <xf numFmtId="3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left"/>
    </xf>
    <xf numFmtId="3" fontId="0" fillId="0" borderId="0" xfId="0" applyNumberFormat="1"/>
    <xf numFmtId="1" fontId="0" fillId="0" borderId="0" xfId="0" applyNumberFormat="1"/>
    <xf numFmtId="3" fontId="0" fillId="0" borderId="0" xfId="0" applyNumberForma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3" fontId="0" fillId="2" borderId="0" xfId="0" applyNumberForma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left"/>
    </xf>
    <xf numFmtId="3" fontId="1" fillId="2" borderId="0" xfId="0" applyNumberFormat="1" applyFont="1" applyFill="1" applyBorder="1" applyAlignment="1">
      <alignment horizontal="right"/>
    </xf>
    <xf numFmtId="166" fontId="0" fillId="0" borderId="0" xfId="0" applyNumberFormat="1" applyBorder="1" applyAlignment="1">
      <alignment horizontal="left"/>
    </xf>
    <xf numFmtId="0" fontId="0" fillId="0" borderId="2" xfId="0" applyBorder="1"/>
    <xf numFmtId="3" fontId="0" fillId="0" borderId="2" xfId="0" applyNumberForma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165" fontId="0" fillId="0" borderId="0" xfId="0" applyNumberFormat="1"/>
    <xf numFmtId="3" fontId="0" fillId="0" borderId="0" xfId="0" applyNumberFormat="1" applyFont="1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3" fontId="0" fillId="0" borderId="11" xfId="0" applyNumberFormat="1" applyBorder="1" applyAlignment="1">
      <alignment horizontal="right"/>
    </xf>
    <xf numFmtId="0" fontId="0" fillId="0" borderId="0" xfId="0" applyNumberFormat="1" applyAlignment="1">
      <alignment horizontal="center"/>
    </xf>
    <xf numFmtId="5" fontId="0" fillId="0" borderId="0" xfId="0" applyNumberFormat="1"/>
    <xf numFmtId="0" fontId="0" fillId="0" borderId="2" xfId="0" applyNumberFormat="1" applyBorder="1" applyAlignment="1">
      <alignment horizontal="center"/>
    </xf>
    <xf numFmtId="3" fontId="1" fillId="0" borderId="2" xfId="0" applyNumberFormat="1" applyFont="1" applyFill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1" fillId="0" borderId="0" xfId="0" applyFont="1"/>
    <xf numFmtId="165" fontId="0" fillId="0" borderId="0" xfId="0" applyNumberFormat="1" applyAlignment="1">
      <alignment horizontal="right"/>
    </xf>
    <xf numFmtId="165" fontId="0" fillId="0" borderId="0" xfId="3" applyNumberFormat="1" applyFont="1" applyAlignment="1">
      <alignment horizontal="right"/>
    </xf>
    <xf numFmtId="0" fontId="1" fillId="0" borderId="2" xfId="0" applyFont="1" applyBorder="1"/>
    <xf numFmtId="3" fontId="0" fillId="0" borderId="2" xfId="0" applyNumberFormat="1" applyBorder="1"/>
    <xf numFmtId="165" fontId="0" fillId="0" borderId="2" xfId="0" applyNumberFormat="1" applyBorder="1"/>
    <xf numFmtId="3" fontId="0" fillId="0" borderId="0" xfId="0" applyNumberFormat="1" applyFill="1" applyBorder="1" applyAlignment="1">
      <alignment horizontal="left"/>
    </xf>
    <xf numFmtId="1" fontId="0" fillId="0" borderId="2" xfId="0" applyNumberFormat="1" applyBorder="1"/>
    <xf numFmtId="0" fontId="12" fillId="0" borderId="12" xfId="0" applyFont="1" applyBorder="1"/>
    <xf numFmtId="0" fontId="0" fillId="0" borderId="3" xfId="0" applyBorder="1"/>
    <xf numFmtId="3" fontId="0" fillId="0" borderId="3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12" fillId="0" borderId="0" xfId="0" applyFont="1"/>
    <xf numFmtId="165" fontId="0" fillId="0" borderId="0" xfId="0" applyNumberFormat="1" applyBorder="1" applyProtection="1">
      <protection locked="0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0" fontId="15" fillId="0" borderId="0" xfId="0" applyFont="1" applyBorder="1"/>
    <xf numFmtId="10" fontId="0" fillId="0" borderId="0" xfId="3" applyNumberFormat="1" applyFont="1"/>
    <xf numFmtId="0" fontId="16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Fill="1"/>
    <xf numFmtId="0" fontId="17" fillId="0" borderId="0" xfId="0" applyFont="1" applyAlignment="1">
      <alignment horizontal="center"/>
    </xf>
    <xf numFmtId="0" fontId="4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/>
    </xf>
    <xf numFmtId="1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18" fillId="0" borderId="0" xfId="4" applyAlignment="1">
      <alignment horizontal="centerContinuous"/>
    </xf>
    <xf numFmtId="0" fontId="18" fillId="0" borderId="0" xfId="4"/>
    <xf numFmtId="0" fontId="19" fillId="2" borderId="0" xfId="4" applyFont="1" applyFill="1" applyAlignment="1">
      <alignment horizontal="center"/>
    </xf>
    <xf numFmtId="0" fontId="19" fillId="0" borderId="0" xfId="4" applyFont="1" applyAlignment="1">
      <alignment horizontal="center"/>
    </xf>
    <xf numFmtId="0" fontId="18" fillId="0" borderId="0" xfId="4" applyFont="1" applyAlignment="1">
      <alignment horizontal="centerContinuous"/>
    </xf>
    <xf numFmtId="0" fontId="22" fillId="2" borderId="0" xfId="4" applyFont="1" applyFill="1" applyAlignment="1">
      <alignment horizontal="center"/>
    </xf>
    <xf numFmtId="0" fontId="18" fillId="0" borderId="0" xfId="4" applyBorder="1"/>
    <xf numFmtId="0" fontId="19" fillId="0" borderId="0" xfId="4" applyFont="1" applyFill="1"/>
    <xf numFmtId="0" fontId="19" fillId="2" borderId="4" xfId="4" applyFont="1" applyFill="1" applyBorder="1"/>
    <xf numFmtId="167" fontId="23" fillId="0" borderId="0" xfId="5" applyNumberFormat="1" applyFont="1" applyFill="1" applyBorder="1" applyAlignment="1">
      <alignment horizontal="center"/>
    </xf>
    <xf numFmtId="0" fontId="18" fillId="0" borderId="0" xfId="4" applyAlignment="1">
      <alignment horizontal="center"/>
    </xf>
    <xf numFmtId="0" fontId="18" fillId="2" borderId="0" xfId="4" applyFill="1" applyAlignment="1">
      <alignment horizontal="center"/>
    </xf>
    <xf numFmtId="0" fontId="20" fillId="0" borderId="0" xfId="4" applyFont="1" applyAlignment="1">
      <alignment horizontal="center"/>
    </xf>
    <xf numFmtId="16" fontId="20" fillId="0" borderId="0" xfId="4" applyNumberFormat="1" applyFont="1" applyBorder="1" applyAlignment="1">
      <alignment horizontal="left"/>
    </xf>
    <xf numFmtId="0" fontId="20" fillId="2" borderId="0" xfId="4" applyFont="1" applyFill="1" applyAlignment="1">
      <alignment horizontal="center"/>
    </xf>
    <xf numFmtId="10" fontId="0" fillId="0" borderId="0" xfId="6" applyNumberFormat="1" applyFont="1" applyAlignment="1">
      <alignment horizontal="center"/>
    </xf>
    <xf numFmtId="10" fontId="0" fillId="0" borderId="0" xfId="6" applyNumberFormat="1" applyFont="1" applyFill="1" applyAlignment="1">
      <alignment horizontal="center"/>
    </xf>
    <xf numFmtId="10" fontId="18" fillId="0" borderId="0" xfId="6" applyNumberFormat="1" applyFont="1" applyBorder="1" applyAlignment="1">
      <alignment horizontal="left"/>
    </xf>
    <xf numFmtId="165" fontId="18" fillId="2" borderId="0" xfId="4" applyNumberFormat="1" applyFill="1"/>
    <xf numFmtId="165" fontId="18" fillId="0" borderId="0" xfId="4" applyNumberFormat="1"/>
    <xf numFmtId="165" fontId="18" fillId="0" borderId="0" xfId="4" applyNumberFormat="1" applyBorder="1"/>
    <xf numFmtId="3" fontId="18" fillId="0" borderId="0" xfId="4" applyNumberFormat="1"/>
    <xf numFmtId="3" fontId="18" fillId="0" borderId="0" xfId="4" applyNumberFormat="1" applyBorder="1"/>
    <xf numFmtId="3" fontId="18" fillId="2" borderId="0" xfId="4" applyNumberFormat="1" applyFill="1"/>
    <xf numFmtId="165" fontId="18" fillId="0" borderId="0" xfId="4" applyNumberFormat="1" applyFont="1" applyFill="1" applyAlignment="1">
      <alignment horizontal="center"/>
    </xf>
    <xf numFmtId="3" fontId="18" fillId="0" borderId="0" xfId="4" applyNumberFormat="1" applyFill="1"/>
    <xf numFmtId="0" fontId="18" fillId="0" borderId="0" xfId="7" applyFont="1" applyFill="1" applyAlignment="1">
      <alignment horizontal="center"/>
    </xf>
    <xf numFmtId="3" fontId="18" fillId="0" borderId="2" xfId="4" applyNumberFormat="1" applyBorder="1"/>
    <xf numFmtId="165" fontId="25" fillId="0" borderId="0" xfId="4" applyNumberFormat="1" applyFont="1" applyFill="1"/>
    <xf numFmtId="3" fontId="18" fillId="0" borderId="3" xfId="4" applyNumberFormat="1" applyBorder="1"/>
    <xf numFmtId="9" fontId="18" fillId="0" borderId="0" xfId="4" applyNumberFormat="1"/>
    <xf numFmtId="0" fontId="19" fillId="0" borderId="0" xfId="4" applyFont="1"/>
    <xf numFmtId="0" fontId="18" fillId="0" borderId="0" xfId="4" applyFont="1"/>
    <xf numFmtId="0" fontId="26" fillId="0" borderId="0" xfId="4" applyFont="1" applyAlignment="1">
      <alignment horizontal="right"/>
    </xf>
    <xf numFmtId="0" fontId="26" fillId="0" borderId="0" xfId="4" applyFont="1"/>
    <xf numFmtId="5" fontId="18" fillId="2" borderId="14" xfId="4" applyNumberFormat="1" applyFont="1" applyFill="1" applyBorder="1"/>
    <xf numFmtId="0" fontId="22" fillId="0" borderId="0" xfId="4" applyFont="1" applyFill="1"/>
    <xf numFmtId="5" fontId="19" fillId="2" borderId="10" xfId="4" applyNumberFormat="1" applyFont="1" applyFill="1" applyBorder="1"/>
    <xf numFmtId="0" fontId="18" fillId="0" borderId="0" xfId="4" applyFill="1"/>
    <xf numFmtId="3" fontId="18" fillId="0" borderId="0" xfId="4" applyNumberFormat="1" applyFill="1" applyBorder="1"/>
    <xf numFmtId="0" fontId="28" fillId="0" borderId="0" xfId="7" applyFont="1" applyAlignment="1">
      <alignment horizontal="center" wrapText="1"/>
    </xf>
    <xf numFmtId="0" fontId="24" fillId="0" borderId="0" xfId="7"/>
    <xf numFmtId="0" fontId="24" fillId="0" borderId="0" xfId="7" applyAlignment="1">
      <alignment horizontal="center"/>
    </xf>
    <xf numFmtId="0" fontId="19" fillId="2" borderId="0" xfId="7" applyFont="1" applyFill="1" applyAlignment="1">
      <alignment horizontal="left" vertical="top" wrapText="1"/>
    </xf>
    <xf numFmtId="0" fontId="24" fillId="0" borderId="0" xfId="7" applyAlignment="1">
      <alignment horizontal="center"/>
    </xf>
    <xf numFmtId="0" fontId="24" fillId="2" borderId="0" xfId="7" applyFill="1" applyAlignment="1">
      <alignment horizontal="center"/>
    </xf>
    <xf numFmtId="0" fontId="24" fillId="0" borderId="0" xfId="7" applyBorder="1" applyAlignment="1">
      <alignment horizontal="center"/>
    </xf>
    <xf numFmtId="0" fontId="29" fillId="0" borderId="0" xfId="7" applyFont="1" applyAlignment="1">
      <alignment horizontal="center"/>
    </xf>
    <xf numFmtId="0" fontId="29" fillId="0" borderId="0" xfId="7" applyFont="1"/>
    <xf numFmtId="0" fontId="30" fillId="2" borderId="0" xfId="7" applyFont="1" applyFill="1" applyAlignment="1">
      <alignment horizontal="center"/>
    </xf>
    <xf numFmtId="0" fontId="30" fillId="0" borderId="0" xfId="7" applyFont="1" applyAlignment="1">
      <alignment horizontal="center"/>
    </xf>
    <xf numFmtId="0" fontId="19" fillId="2" borderId="2" xfId="4" applyFont="1" applyFill="1" applyBorder="1" applyAlignment="1">
      <alignment horizontal="center"/>
    </xf>
    <xf numFmtId="0" fontId="24" fillId="0" borderId="0" xfId="7" applyFill="1"/>
    <xf numFmtId="0" fontId="24" fillId="2" borderId="0" xfId="7" applyFill="1"/>
    <xf numFmtId="168" fontId="24" fillId="0" borderId="0" xfId="7" applyNumberFormat="1"/>
    <xf numFmtId="3" fontId="24" fillId="0" borderId="0" xfId="7" applyNumberFormat="1" applyFill="1"/>
    <xf numFmtId="167" fontId="31" fillId="2" borderId="0" xfId="5" applyNumberFormat="1" applyFont="1" applyFill="1"/>
    <xf numFmtId="3" fontId="24" fillId="0" borderId="0" xfId="7" applyNumberFormat="1"/>
    <xf numFmtId="3" fontId="24" fillId="2" borderId="0" xfId="7" applyNumberFormat="1" applyFill="1"/>
    <xf numFmtId="3" fontId="24" fillId="0" borderId="11" xfId="7" applyNumberFormat="1" applyBorder="1"/>
    <xf numFmtId="3" fontId="24" fillId="2" borderId="11" xfId="7" applyNumberFormat="1" applyFill="1" applyBorder="1"/>
    <xf numFmtId="3" fontId="24" fillId="2" borderId="2" xfId="7" applyNumberFormat="1" applyFill="1" applyBorder="1"/>
    <xf numFmtId="3" fontId="24" fillId="0" borderId="2" xfId="7" applyNumberFormat="1" applyBorder="1"/>
    <xf numFmtId="168" fontId="24" fillId="0" borderId="0" xfId="7" applyNumberFormat="1" applyFill="1"/>
    <xf numFmtId="3" fontId="24" fillId="0" borderId="3" xfId="7" applyNumberFormat="1" applyBorder="1"/>
    <xf numFmtId="3" fontId="24" fillId="2" borderId="3" xfId="7" applyNumberFormat="1" applyFill="1" applyBorder="1"/>
    <xf numFmtId="0" fontId="32" fillId="0" borderId="0" xfId="7" applyFont="1"/>
    <xf numFmtId="0" fontId="33" fillId="2" borderId="0" xfId="4" applyFont="1" applyFill="1" applyAlignment="1">
      <alignment horizontal="center"/>
    </xf>
    <xf numFmtId="0" fontId="18" fillId="0" borderId="0" xfId="7" applyFont="1" applyFill="1"/>
    <xf numFmtId="0" fontId="18" fillId="0" borderId="0" xfId="4" applyFill="1" applyAlignment="1">
      <alignment horizontal="center"/>
    </xf>
    <xf numFmtId="0" fontId="19" fillId="0" borderId="0" xfId="4" applyFont="1" applyFill="1" applyAlignment="1">
      <alignment horizontal="center"/>
    </xf>
    <xf numFmtId="0" fontId="20" fillId="0" borderId="0" xfId="4" applyFont="1" applyFill="1" applyAlignment="1">
      <alignment horizontal="center"/>
    </xf>
    <xf numFmtId="0" fontId="20" fillId="0" borderId="0" xfId="4" applyFont="1" applyBorder="1" applyAlignment="1">
      <alignment horizontal="center"/>
    </xf>
    <xf numFmtId="0" fontId="19" fillId="0" borderId="0" xfId="4" quotePrefix="1" applyFont="1" applyFill="1" applyAlignment="1">
      <alignment horizontal="center"/>
    </xf>
    <xf numFmtId="165" fontId="18" fillId="0" borderId="0" xfId="4" applyNumberFormat="1" applyFill="1"/>
    <xf numFmtId="3" fontId="18" fillId="0" borderId="2" xfId="4" applyNumberFormat="1" applyFill="1" applyBorder="1"/>
    <xf numFmtId="3" fontId="18" fillId="0" borderId="3" xfId="4" applyNumberFormat="1" applyFill="1" applyBorder="1"/>
    <xf numFmtId="0" fontId="18" fillId="2" borderId="0" xfId="4" applyFont="1" applyFill="1" applyAlignment="1">
      <alignment horizontal="left" vertical="top" wrapText="1"/>
    </xf>
    <xf numFmtId="0" fontId="34" fillId="0" borderId="0" xfId="4" applyFont="1" applyAlignment="1">
      <alignment horizontal="right"/>
    </xf>
    <xf numFmtId="0" fontId="20" fillId="0" borderId="0" xfId="4" applyFont="1" applyAlignment="1">
      <alignment horizontal="centerContinuous"/>
    </xf>
    <xf numFmtId="0" fontId="19" fillId="2" borderId="0" xfId="4" applyFont="1" applyFill="1"/>
    <xf numFmtId="3" fontId="19" fillId="0" borderId="0" xfId="4" applyNumberFormat="1" applyFont="1"/>
    <xf numFmtId="0" fontId="18" fillId="0" borderId="0" xfId="4" applyAlignment="1">
      <alignment horizontal="right"/>
    </xf>
    <xf numFmtId="165" fontId="19" fillId="0" borderId="14" xfId="4" applyNumberFormat="1" applyFont="1" applyFill="1" applyBorder="1"/>
    <xf numFmtId="165" fontId="19" fillId="0" borderId="11" xfId="4" applyNumberFormat="1" applyFont="1" applyFill="1" applyBorder="1"/>
    <xf numFmtId="3" fontId="19" fillId="2" borderId="15" xfId="4" applyNumberFormat="1" applyFont="1" applyFill="1" applyBorder="1"/>
    <xf numFmtId="3" fontId="19" fillId="2" borderId="16" xfId="4" applyNumberFormat="1" applyFont="1" applyFill="1" applyBorder="1"/>
    <xf numFmtId="0" fontId="19" fillId="2" borderId="16" xfId="4" applyFont="1" applyFill="1" applyBorder="1"/>
    <xf numFmtId="3" fontId="19" fillId="2" borderId="17" xfId="4" applyNumberFormat="1" applyFont="1" applyFill="1" applyBorder="1"/>
    <xf numFmtId="0" fontId="18" fillId="2" borderId="0" xfId="7" applyFont="1" applyFill="1" applyAlignment="1">
      <alignment horizontal="left" wrapText="1"/>
    </xf>
    <xf numFmtId="0" fontId="24" fillId="0" borderId="0" xfId="7" applyAlignment="1">
      <alignment horizontal="right"/>
    </xf>
    <xf numFmtId="167" fontId="31" fillId="0" borderId="0" xfId="5" applyNumberFormat="1" applyFont="1" applyFill="1"/>
    <xf numFmtId="165" fontId="19" fillId="2" borderId="4" xfId="4" applyNumberFormat="1" applyFont="1" applyFill="1" applyBorder="1"/>
    <xf numFmtId="165" fontId="19" fillId="2" borderId="17" xfId="4" applyNumberFormat="1" applyFont="1" applyFill="1" applyBorder="1"/>
    <xf numFmtId="0" fontId="34" fillId="0" borderId="0" xfId="4" applyFont="1"/>
    <xf numFmtId="3" fontId="34" fillId="0" borderId="0" xfId="4" applyNumberFormat="1" applyFont="1" applyFill="1"/>
    <xf numFmtId="0" fontId="34" fillId="0" borderId="0" xfId="4" applyFont="1" applyFill="1"/>
    <xf numFmtId="165" fontId="34" fillId="0" borderId="11" xfId="4" applyNumberFormat="1" applyFont="1" applyFill="1" applyBorder="1"/>
  </cellXfs>
  <cellStyles count="8">
    <cellStyle name="Comma" xfId="1" builtinId="3"/>
    <cellStyle name="Comma 2" xfId="5"/>
    <cellStyle name="Currency" xfId="2" builtinId="4"/>
    <cellStyle name="Normal" xfId="0" builtinId="0"/>
    <cellStyle name="Normal 2 3" xfId="4"/>
    <cellStyle name="Normal 8" xfId="7"/>
    <cellStyle name="Percent" xfId="3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98425</xdr:colOff>
      <xdr:row>3</xdr:row>
      <xdr:rowOff>174625</xdr:rowOff>
    </xdr:from>
    <xdr:ext cx="1809750" cy="438151"/>
    <xdr:sp macro="" textlink="">
      <xdr:nvSpPr>
        <xdr:cNvPr id="2" name="TextBox 1"/>
        <xdr:cNvSpPr txBox="1"/>
      </xdr:nvSpPr>
      <xdr:spPr>
        <a:xfrm>
          <a:off x="508000" y="660400"/>
          <a:ext cx="1809750" cy="43815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050" b="1"/>
            <a:t>Including November</a:t>
          </a:r>
          <a:r>
            <a:rPr lang="en-US" sz="1050" b="1" baseline="0"/>
            <a:t> Power Supply Update</a:t>
          </a:r>
          <a:endParaRPr lang="en-US" sz="105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3</xdr:row>
      <xdr:rowOff>66675</xdr:rowOff>
    </xdr:from>
    <xdr:ext cx="1990725" cy="436786"/>
    <xdr:sp macro="" textlink="">
      <xdr:nvSpPr>
        <xdr:cNvPr id="2" name="TextBox 1"/>
        <xdr:cNvSpPr txBox="1"/>
      </xdr:nvSpPr>
      <xdr:spPr>
        <a:xfrm>
          <a:off x="390525" y="552450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182218</xdr:colOff>
      <xdr:row>4</xdr:row>
      <xdr:rowOff>82826</xdr:rowOff>
    </xdr:from>
    <xdr:ext cx="1990725" cy="436786"/>
    <xdr:sp macro="" textlink="">
      <xdr:nvSpPr>
        <xdr:cNvPr id="2" name="TextBox 1"/>
        <xdr:cNvSpPr txBox="1"/>
      </xdr:nvSpPr>
      <xdr:spPr>
        <a:xfrm>
          <a:off x="182218" y="768626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</xdr:colOff>
      <xdr:row>0</xdr:row>
      <xdr:rowOff>38100</xdr:rowOff>
    </xdr:from>
    <xdr:ext cx="1990725" cy="436786"/>
    <xdr:sp macro="" textlink="">
      <xdr:nvSpPr>
        <xdr:cNvPr id="2" name="TextBox 1"/>
        <xdr:cNvSpPr txBox="1"/>
      </xdr:nvSpPr>
      <xdr:spPr>
        <a:xfrm>
          <a:off x="5753100" y="38100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57150</xdr:rowOff>
    </xdr:from>
    <xdr:ext cx="1990725" cy="436786"/>
    <xdr:sp macro="" textlink="">
      <xdr:nvSpPr>
        <xdr:cNvPr id="2" name="TextBox 1"/>
        <xdr:cNvSpPr txBox="1"/>
      </xdr:nvSpPr>
      <xdr:spPr>
        <a:xfrm>
          <a:off x="95250" y="742950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590550</xdr:colOff>
      <xdr:row>40</xdr:row>
      <xdr:rowOff>66675</xdr:rowOff>
    </xdr:from>
    <xdr:ext cx="1990725" cy="436786"/>
    <xdr:sp macro="" textlink="">
      <xdr:nvSpPr>
        <xdr:cNvPr id="2" name="TextBox 1"/>
        <xdr:cNvSpPr txBox="1"/>
      </xdr:nvSpPr>
      <xdr:spPr>
        <a:xfrm>
          <a:off x="2676525" y="6572250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209550</xdr:colOff>
      <xdr:row>0</xdr:row>
      <xdr:rowOff>333375</xdr:rowOff>
    </xdr:from>
    <xdr:ext cx="1990725" cy="436786"/>
    <xdr:sp macro="" textlink="">
      <xdr:nvSpPr>
        <xdr:cNvPr id="2" name="TextBox 1"/>
        <xdr:cNvSpPr txBox="1"/>
      </xdr:nvSpPr>
      <xdr:spPr>
        <a:xfrm>
          <a:off x="7286625" y="333375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539750</xdr:colOff>
      <xdr:row>39</xdr:row>
      <xdr:rowOff>111125</xdr:rowOff>
    </xdr:from>
    <xdr:ext cx="1990725" cy="436786"/>
    <xdr:sp macro="" textlink="">
      <xdr:nvSpPr>
        <xdr:cNvPr id="2" name="TextBox 1"/>
        <xdr:cNvSpPr txBox="1"/>
      </xdr:nvSpPr>
      <xdr:spPr>
        <a:xfrm>
          <a:off x="2711450" y="6454775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2012%20WA%20Electric%20CBR%20Model%20%20(revised%20FI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A%20and%20C.%20pg%201%20-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A%20and%20C.%20pg%202%20-%20%20Jun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E%20-%20Nov.%20Update%20-Andrews%20Exhibit%207%20WA%202017%20Electri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F%20-%20Nov.%20Update%20-Andrews%20Exhibit%209%20WA%202018%20Electr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2011 CBR FIT fix"/>
      <sheetName val="LEAD SHEETS-DO NOT ENTER"/>
      <sheetName val="CF "/>
      <sheetName val="ROO INPUT"/>
      <sheetName val="DEBT CALC"/>
      <sheetName val="not used PROPOSED RATES"/>
      <sheetName val="not used RR SUMMARY"/>
      <sheetName val="not used RETAIL REVENUE CREDIT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A-pg 1"/>
      <sheetName val="Attachment C-pg1"/>
      <sheetName val="Attachment G-PS net expense"/>
      <sheetName val="WGJ-4"/>
      <sheetName val="Index"/>
      <sheetName val="Aurora"/>
    </sheetNames>
    <sheetDataSet>
      <sheetData sheetId="0"/>
      <sheetData sheetId="1"/>
      <sheetData sheetId="2"/>
      <sheetData sheetId="3">
        <row r="9">
          <cell r="C9">
            <v>-39339655.34965986</v>
          </cell>
          <cell r="D9">
            <v>-5500837.6831054604</v>
          </cell>
          <cell r="E9">
            <v>-4229790.65341949</v>
          </cell>
          <cell r="F9">
            <v>-3050725.1289129201</v>
          </cell>
          <cell r="G9">
            <v>-3975187.0182037302</v>
          </cell>
          <cell r="H9">
            <v>-3608121.0014343201</v>
          </cell>
          <cell r="I9">
            <v>-2216592.8236007597</v>
          </cell>
          <cell r="J9">
            <v>-2890904.5322418199</v>
          </cell>
          <cell r="K9">
            <v>-1667142.02017784</v>
          </cell>
          <cell r="L9">
            <v>-2771399.0316390898</v>
          </cell>
          <cell r="M9">
            <v>-1997572.15309143</v>
          </cell>
          <cell r="N9">
            <v>-3081041.5893554599</v>
          </cell>
          <cell r="O9">
            <v>-4350341.7144775307</v>
          </cell>
        </row>
        <row r="13">
          <cell r="C13">
            <v>8035122.1034855489</v>
          </cell>
          <cell r="D13">
            <v>167916.42821431099</v>
          </cell>
          <cell r="E13">
            <v>186256.09850771702</v>
          </cell>
          <cell r="F13">
            <v>386602.97990925604</v>
          </cell>
          <cell r="G13">
            <v>138744.66988518799</v>
          </cell>
          <cell r="H13">
            <v>21923.518932424402</v>
          </cell>
          <cell r="I13">
            <v>448152.57007479604</v>
          </cell>
          <cell r="J13">
            <v>994662.84832954395</v>
          </cell>
          <cell r="K13">
            <v>2295339.81351852</v>
          </cell>
          <cell r="L13">
            <v>986610.35695783701</v>
          </cell>
          <cell r="M13">
            <v>957912.55381992005</v>
          </cell>
          <cell r="N13">
            <v>845349.97408389999</v>
          </cell>
          <cell r="O13">
            <v>605650.291252136</v>
          </cell>
        </row>
        <row r="23">
          <cell r="C23">
            <v>23409578.922149152</v>
          </cell>
          <cell r="D23">
            <v>2074525.7081883329</v>
          </cell>
          <cell r="E23">
            <v>1936111.6945164567</v>
          </cell>
          <cell r="F23">
            <v>2037191.1615269559</v>
          </cell>
          <cell r="G23">
            <v>1846530.3480046168</v>
          </cell>
          <cell r="H23">
            <v>1664850.9874241727</v>
          </cell>
          <cell r="I23">
            <v>1569174.5733158956</v>
          </cell>
          <cell r="J23">
            <v>1991852.768506326</v>
          </cell>
          <cell r="K23">
            <v>2055938.9173405548</v>
          </cell>
          <cell r="L23">
            <v>2042240.5515568627</v>
          </cell>
          <cell r="M23">
            <v>2078655.6959050077</v>
          </cell>
          <cell r="N23">
            <v>2035459.0436833277</v>
          </cell>
          <cell r="O23">
            <v>2077047.4721806417</v>
          </cell>
        </row>
        <row r="27">
          <cell r="C27">
            <v>5553588.9364480907</v>
          </cell>
          <cell r="D27">
            <v>585952.98461914004</v>
          </cell>
          <cell r="E27">
            <v>516232.07855224598</v>
          </cell>
          <cell r="F27">
            <v>479478.68461608799</v>
          </cell>
          <cell r="G27">
            <v>392351.48944854701</v>
          </cell>
          <cell r="H27">
            <v>279329.41436767497</v>
          </cell>
          <cell r="I27">
            <v>15743.600106239301</v>
          </cell>
          <cell r="J27">
            <v>426713.43841552699</v>
          </cell>
          <cell r="K27">
            <v>553466.72782897891</v>
          </cell>
          <cell r="L27">
            <v>575436.82365417399</v>
          </cell>
          <cell r="M27">
            <v>574329.43382263102</v>
          </cell>
          <cell r="N27">
            <v>558587.00332641602</v>
          </cell>
          <cell r="O27">
            <v>595967.25769042911</v>
          </cell>
        </row>
        <row r="31">
          <cell r="C31">
            <v>35490246.374632537</v>
          </cell>
          <cell r="D31">
            <v>4490942.8955666926</v>
          </cell>
          <cell r="E31">
            <v>3737640.8581083007</v>
          </cell>
          <cell r="F31">
            <v>3254387.7231341302</v>
          </cell>
          <cell r="G31">
            <v>1902175.4371210088</v>
          </cell>
          <cell r="H31">
            <v>1106665.7203850066</v>
          </cell>
          <cell r="I31">
            <v>754297.05267189781</v>
          </cell>
          <cell r="J31">
            <v>2299589.1299760477</v>
          </cell>
          <cell r="K31">
            <v>3158453.790913193</v>
          </cell>
          <cell r="L31">
            <v>3402317.6483097719</v>
          </cell>
          <cell r="M31">
            <v>3426780.7638494209</v>
          </cell>
          <cell r="N31">
            <v>3610165.0990818636</v>
          </cell>
          <cell r="O31">
            <v>4346830.2555151954</v>
          </cell>
        </row>
        <row r="33">
          <cell r="D33">
            <v>176315.98385009699</v>
          </cell>
          <cell r="E33">
            <v>146111.724243164</v>
          </cell>
          <cell r="F33">
            <v>140950.544105529</v>
          </cell>
          <cell r="G33">
            <v>92367.72317085258</v>
          </cell>
          <cell r="H33">
            <v>50794.362654113698</v>
          </cell>
          <cell r="I33">
            <v>39641.4875030517</v>
          </cell>
          <cell r="J33">
            <v>96693.079309081993</v>
          </cell>
          <cell r="K33">
            <v>131325.83395996</v>
          </cell>
          <cell r="L33">
            <v>143283.11026611301</v>
          </cell>
          <cell r="M33">
            <v>155851.076757812</v>
          </cell>
          <cell r="N33">
            <v>154211.45400390599</v>
          </cell>
          <cell r="O33">
            <v>175033.98261718699</v>
          </cell>
        </row>
        <row r="35">
          <cell r="C35">
            <v>32813083.996488161</v>
          </cell>
          <cell r="D35">
            <v>4154730.6344800671</v>
          </cell>
          <cell r="E35">
            <v>3427120.6191106047</v>
          </cell>
          <cell r="F35">
            <v>3115581.9329912183</v>
          </cell>
          <cell r="G35">
            <v>1855290.8062769857</v>
          </cell>
          <cell r="H35">
            <v>1023324.7939322065</v>
          </cell>
          <cell r="I35">
            <v>812929.06899446016</v>
          </cell>
          <cell r="J35">
            <v>2025110.9227658138</v>
          </cell>
          <cell r="K35">
            <v>2762136.5510292966</v>
          </cell>
          <cell r="L35">
            <v>2979441.4598679291</v>
          </cell>
          <cell r="M35">
            <v>3231572.3880353705</v>
          </cell>
          <cell r="N35">
            <v>3401386.8078674534</v>
          </cell>
          <cell r="O35">
            <v>4024458.0111367572</v>
          </cell>
        </row>
        <row r="39">
          <cell r="C39">
            <v>816800.94979740505</v>
          </cell>
          <cell r="D39">
            <v>110522.640800476</v>
          </cell>
          <cell r="E39">
            <v>78962.620574235902</v>
          </cell>
          <cell r="F39">
            <v>25176.299937814398</v>
          </cell>
          <cell r="G39">
            <v>13970.815948024301</v>
          </cell>
          <cell r="H39">
            <v>4900.2626761793999</v>
          </cell>
          <cell r="I39">
            <v>16599.979019909999</v>
          </cell>
          <cell r="J39">
            <v>103918.32976341201</v>
          </cell>
          <cell r="K39">
            <v>130244.46487426701</v>
          </cell>
          <cell r="L39">
            <v>98703.137814998598</v>
          </cell>
          <cell r="M39">
            <v>47283.614324033202</v>
          </cell>
          <cell r="N39">
            <v>79635.4097604751</v>
          </cell>
          <cell r="O39">
            <v>106883.37430357901</v>
          </cell>
        </row>
        <row r="43">
          <cell r="C43">
            <v>230999.26800373889</v>
          </cell>
          <cell r="D43">
            <v>24025.863613188201</v>
          </cell>
          <cell r="E43">
            <v>19114.1430534422</v>
          </cell>
          <cell r="F43">
            <v>1023.6696287989599</v>
          </cell>
          <cell r="G43">
            <v>625.74037406593493</v>
          </cell>
          <cell r="H43">
            <v>781.78769368678297</v>
          </cell>
          <cell r="I43">
            <v>5994.3498734384693</v>
          </cell>
          <cell r="J43">
            <v>30054.843801818697</v>
          </cell>
          <cell r="K43">
            <v>49501.919382810498</v>
          </cell>
          <cell r="L43">
            <v>34598.216171562599</v>
          </cell>
          <cell r="M43">
            <v>14228.0048798769</v>
          </cell>
          <cell r="N43">
            <v>20326.053287088802</v>
          </cell>
          <cell r="O43">
            <v>30724.676243960799</v>
          </cell>
        </row>
        <row r="47">
          <cell r="C47">
            <v>1622188.0316833048</v>
          </cell>
          <cell r="D47">
            <v>190919.44356260297</v>
          </cell>
          <cell r="E47">
            <v>151972.51939859384</v>
          </cell>
          <cell r="F47">
            <v>400.51750020980722</v>
          </cell>
          <cell r="G47">
            <v>0</v>
          </cell>
          <cell r="H47">
            <v>185.90781764984121</v>
          </cell>
          <cell r="I47">
            <v>39288.355364674288</v>
          </cell>
          <cell r="J47">
            <v>243127.18568071007</v>
          </cell>
          <cell r="K47">
            <v>446889.32261028216</v>
          </cell>
          <cell r="L47">
            <v>213999.71307141715</v>
          </cell>
          <cell r="M47">
            <v>48421.902417540463</v>
          </cell>
          <cell r="N47">
            <v>104505.79675500379</v>
          </cell>
          <cell r="O47">
            <v>182477.36750462043</v>
          </cell>
        </row>
        <row r="51">
          <cell r="C51">
            <v>76216.144836321284</v>
          </cell>
          <cell r="D51">
            <v>15139.964365959158</v>
          </cell>
          <cell r="E51">
            <v>8806.7804813384992</v>
          </cell>
          <cell r="F51">
            <v>0</v>
          </cell>
          <cell r="G51">
            <v>0</v>
          </cell>
          <cell r="H51">
            <v>0</v>
          </cell>
          <cell r="I51">
            <v>3456.7372798919596</v>
          </cell>
          <cell r="J51">
            <v>10681.998816505069</v>
          </cell>
          <cell r="K51">
            <v>21802.160653471801</v>
          </cell>
          <cell r="L51">
            <v>8832.8393861651293</v>
          </cell>
          <cell r="M51">
            <v>802.22812294959999</v>
          </cell>
          <cell r="N51">
            <v>1822.9186981916419</v>
          </cell>
          <cell r="O51">
            <v>4870.5170318484206</v>
          </cell>
        </row>
      </sheetData>
      <sheetData sheetId="4">
        <row r="16">
          <cell r="C16">
            <v>1362480.7752916478</v>
          </cell>
          <cell r="D16">
            <v>143434.94372887147</v>
          </cell>
          <cell r="E16">
            <v>122043.77206660497</v>
          </cell>
          <cell r="F16">
            <v>109417.89681485231</v>
          </cell>
          <cell r="G16">
            <v>79900.7419876106</v>
          </cell>
          <cell r="H16">
            <v>68917.308542956467</v>
          </cell>
          <cell r="I16">
            <v>68973.36400578561</v>
          </cell>
          <cell r="J16">
            <v>119524.81075188291</v>
          </cell>
          <cell r="K16">
            <v>133288.54307814708</v>
          </cell>
          <cell r="L16">
            <v>127491.29222335327</v>
          </cell>
          <cell r="M16">
            <v>121066.03088995304</v>
          </cell>
          <cell r="N16">
            <v>126939.24867661203</v>
          </cell>
          <cell r="O16">
            <v>141482.82252501784</v>
          </cell>
        </row>
        <row r="21">
          <cell r="C21">
            <v>12353837.554457175</v>
          </cell>
          <cell r="D21">
            <v>1252444.5598983758</v>
          </cell>
          <cell r="E21">
            <v>1077627.4546909325</v>
          </cell>
          <cell r="F21">
            <v>1003616.4484190929</v>
          </cell>
          <cell r="G21">
            <v>774593.45601797022</v>
          </cell>
          <cell r="H21">
            <v>705792.56393194059</v>
          </cell>
          <cell r="I21">
            <v>699540.80486297479</v>
          </cell>
          <cell r="J21">
            <v>1072781.4886665335</v>
          </cell>
          <cell r="K21">
            <v>1182912.1384048455</v>
          </cell>
          <cell r="L21">
            <v>1131755.4176330559</v>
          </cell>
          <cell r="M21">
            <v>1087391.1776161185</v>
          </cell>
          <cell r="N21">
            <v>1127938.4616851795</v>
          </cell>
          <cell r="O21">
            <v>1237443.5826301568</v>
          </cell>
        </row>
        <row r="53">
          <cell r="C53">
            <v>8002844.7964693122</v>
          </cell>
          <cell r="D53">
            <v>818526.60514649597</v>
          </cell>
          <cell r="E53">
            <v>673887.24474140257</v>
          </cell>
          <cell r="F53">
            <v>621498.5368936921</v>
          </cell>
          <cell r="G53">
            <v>622613.37014739891</v>
          </cell>
          <cell r="H53">
            <v>720425.69205338613</v>
          </cell>
          <cell r="I53">
            <v>697747.65608810331</v>
          </cell>
          <cell r="J53">
            <v>773481.77581780183</v>
          </cell>
          <cell r="K53">
            <v>683442.61873856559</v>
          </cell>
          <cell r="L53">
            <v>493631.5322150765</v>
          </cell>
          <cell r="M53">
            <v>480341.07474600425</v>
          </cell>
          <cell r="N53">
            <v>649524.49520845129</v>
          </cell>
          <cell r="O53">
            <v>767724.19467293238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A-pg 2"/>
      <sheetName val="PF Power Supply 09.2015 load"/>
      <sheetName val="Attachment G"/>
      <sheetName val="WGJ-4"/>
      <sheetName val="Index"/>
      <sheetName val="Aurora"/>
    </sheetNames>
    <sheetDataSet>
      <sheetData sheetId="0"/>
      <sheetData sheetId="1"/>
      <sheetData sheetId="2"/>
      <sheetData sheetId="3">
        <row r="9">
          <cell r="J9">
            <v>-2890904.5322418199</v>
          </cell>
          <cell r="K9">
            <v>-1667142.02017784</v>
          </cell>
          <cell r="L9">
            <v>-2771399.0316390898</v>
          </cell>
          <cell r="M9">
            <v>-1997572.15309143</v>
          </cell>
          <cell r="N9">
            <v>-3081041.5893554599</v>
          </cell>
          <cell r="O9">
            <v>-4350341.7144775307</v>
          </cell>
        </row>
        <row r="13">
          <cell r="J13">
            <v>994662.84832954395</v>
          </cell>
          <cell r="K13">
            <v>2295339.81351852</v>
          </cell>
          <cell r="L13">
            <v>986610.35695783701</v>
          </cell>
          <cell r="M13">
            <v>957912.55381992005</v>
          </cell>
          <cell r="N13">
            <v>845349.97408389999</v>
          </cell>
          <cell r="O13">
            <v>605650.291252136</v>
          </cell>
        </row>
        <row r="23">
          <cell r="J23">
            <v>1991852.768506326</v>
          </cell>
          <cell r="K23">
            <v>2055938.9173405548</v>
          </cell>
          <cell r="L23">
            <v>2042240.5515568627</v>
          </cell>
          <cell r="M23">
            <v>2078655.6959050077</v>
          </cell>
          <cell r="N23">
            <v>2035459.0436833277</v>
          </cell>
          <cell r="O23">
            <v>2077047.4721806417</v>
          </cell>
        </row>
        <row r="27">
          <cell r="J27">
            <v>426713.43841552699</v>
          </cell>
          <cell r="K27">
            <v>553466.72782897891</v>
          </cell>
          <cell r="L27">
            <v>575436.82365417399</v>
          </cell>
          <cell r="M27">
            <v>574329.43382263102</v>
          </cell>
          <cell r="N27">
            <v>558587.00332641602</v>
          </cell>
          <cell r="O27">
            <v>595967.25769042911</v>
          </cell>
        </row>
        <row r="31">
          <cell r="J31">
            <v>2299589.1299760477</v>
          </cell>
          <cell r="K31">
            <v>3158453.790913193</v>
          </cell>
          <cell r="L31">
            <v>3402317.6483097719</v>
          </cell>
          <cell r="M31">
            <v>3426780.7638494209</v>
          </cell>
          <cell r="N31">
            <v>3610165.0990818636</v>
          </cell>
          <cell r="O31">
            <v>4346830.2555151954</v>
          </cell>
        </row>
        <row r="33">
          <cell r="J33">
            <v>96693.079309081993</v>
          </cell>
          <cell r="K33">
            <v>131325.83395996</v>
          </cell>
          <cell r="L33">
            <v>143283.11026611301</v>
          </cell>
          <cell r="M33">
            <v>155851.076757812</v>
          </cell>
          <cell r="N33">
            <v>154211.45400390599</v>
          </cell>
          <cell r="O33">
            <v>175033.98261718699</v>
          </cell>
        </row>
        <row r="35">
          <cell r="J35">
            <v>2025110.9227658138</v>
          </cell>
          <cell r="K35">
            <v>2762136.5510292966</v>
          </cell>
          <cell r="L35">
            <v>2979441.4598679291</v>
          </cell>
          <cell r="M35">
            <v>3231572.3880353705</v>
          </cell>
          <cell r="N35">
            <v>3401386.8078674534</v>
          </cell>
          <cell r="O35">
            <v>4024458.0111367572</v>
          </cell>
        </row>
        <row r="39">
          <cell r="J39">
            <v>103918.32976341201</v>
          </cell>
          <cell r="K39">
            <v>130244.46487426701</v>
          </cell>
          <cell r="L39">
            <v>98703.137814998598</v>
          </cell>
          <cell r="M39">
            <v>47283.614324033202</v>
          </cell>
          <cell r="N39">
            <v>79635.4097604751</v>
          </cell>
          <cell r="O39">
            <v>106883.37430357901</v>
          </cell>
        </row>
        <row r="43">
          <cell r="J43">
            <v>30054.843801818697</v>
          </cell>
          <cell r="K43">
            <v>49501.919382810498</v>
          </cell>
          <cell r="L43">
            <v>34598.216171562599</v>
          </cell>
          <cell r="M43">
            <v>14228.0048798769</v>
          </cell>
          <cell r="N43">
            <v>20326.053287088802</v>
          </cell>
          <cell r="O43">
            <v>30724.676243960799</v>
          </cell>
        </row>
        <row r="47">
          <cell r="J47">
            <v>243127.18568071007</v>
          </cell>
          <cell r="K47">
            <v>446889.32261028216</v>
          </cell>
          <cell r="L47">
            <v>213999.71307141715</v>
          </cell>
          <cell r="M47">
            <v>48421.902417540463</v>
          </cell>
          <cell r="N47">
            <v>104505.79675500379</v>
          </cell>
          <cell r="O47">
            <v>182477.36750462043</v>
          </cell>
        </row>
        <row r="51">
          <cell r="J51">
            <v>10681.998816505069</v>
          </cell>
          <cell r="K51">
            <v>21802.160653471801</v>
          </cell>
          <cell r="L51">
            <v>8832.8393861651293</v>
          </cell>
          <cell r="M51">
            <v>802.22812294959999</v>
          </cell>
          <cell r="N51">
            <v>1822.9186981916419</v>
          </cell>
          <cell r="O51">
            <v>4870.5170318484206</v>
          </cell>
        </row>
      </sheetData>
      <sheetData sheetId="4">
        <row r="16">
          <cell r="J16">
            <v>119524.81075188291</v>
          </cell>
          <cell r="K16">
            <v>133288.54307814708</v>
          </cell>
          <cell r="L16">
            <v>127491.29222335327</v>
          </cell>
          <cell r="M16">
            <v>121066.03088995304</v>
          </cell>
          <cell r="N16">
            <v>126939.24867661203</v>
          </cell>
          <cell r="O16">
            <v>141482.82252501784</v>
          </cell>
        </row>
        <row r="21">
          <cell r="J21">
            <v>1072781.4886665335</v>
          </cell>
          <cell r="K21">
            <v>1182912.1384048455</v>
          </cell>
          <cell r="L21">
            <v>1131755.4176330559</v>
          </cell>
          <cell r="M21">
            <v>1087391.1776161185</v>
          </cell>
          <cell r="N21">
            <v>1127938.4616851795</v>
          </cell>
          <cell r="O21">
            <v>1237443.5826301568</v>
          </cell>
        </row>
        <row r="53">
          <cell r="J53">
            <v>773481.77581780183</v>
          </cell>
          <cell r="K53">
            <v>683442.61873856559</v>
          </cell>
          <cell r="L53">
            <v>493631.5322150765</v>
          </cell>
          <cell r="M53">
            <v>480341.07474600425</v>
          </cell>
          <cell r="N53">
            <v>649524.49520845129</v>
          </cell>
          <cell r="O53">
            <v>767724.19467293238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Trends"/>
      <sheetName val="Summary"/>
      <sheetName val="ROR"/>
      <sheetName val="Attrition 12.2015 to 2017"/>
      <sheetName val="Cost Trends"/>
      <sheetName val="Net Plant"/>
      <sheetName val="Dep-Amort"/>
      <sheetName val="Adj Taxes"/>
      <sheetName val="Adj Operating Exp-2007-2015"/>
      <sheetName val="Weighted Revenue Growth"/>
      <sheetName val="Nov PF Power Supply 09.15 load"/>
      <sheetName val="incremental load expense"/>
      <sheetName val="Nov PF Power Supply 2017 load"/>
      <sheetName val="Other Revenue"/>
      <sheetName val="09.2015 Rev Model"/>
      <sheetName val="2017-18 Forecast Billing Determ"/>
      <sheetName val="12.2015 CB Power Supply"/>
      <sheetName val="456 Revenue"/>
      <sheetName val="CS2-Colstrip 2016 Incrmntl Exp"/>
      <sheetName val="Reg Amorts"/>
      <sheetName val="DSM"/>
      <sheetName val="ResX"/>
      <sheetName val="PS Consolidated"/>
      <sheetName val="Other Rev"/>
      <sheetName val="CBR Hist"/>
      <sheetName val="Sheet1"/>
    </sheetNames>
    <sheetDataSet>
      <sheetData sheetId="0"/>
      <sheetData sheetId="1"/>
      <sheetData sheetId="2">
        <row r="12">
          <cell r="L12">
            <v>6.7390000000000002E-3</v>
          </cell>
        </row>
        <row r="14">
          <cell r="L14">
            <v>2E-3</v>
          </cell>
        </row>
        <row r="16">
          <cell r="L16">
            <v>3.8473E-2</v>
          </cell>
        </row>
      </sheetData>
      <sheetData sheetId="3">
        <row r="7">
          <cell r="M7">
            <v>1.5631666381604074E-2</v>
          </cell>
          <cell r="P7">
            <v>494136</v>
          </cell>
        </row>
        <row r="8">
          <cell r="M8">
            <v>1.5631666381604074E-2</v>
          </cell>
          <cell r="P8">
            <v>928</v>
          </cell>
        </row>
        <row r="11">
          <cell r="M11">
            <v>0</v>
          </cell>
          <cell r="P11">
            <v>2450</v>
          </cell>
        </row>
        <row r="90">
          <cell r="V90">
            <v>1.0156316663816041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Trends"/>
      <sheetName val="Summary"/>
      <sheetName val="ROR"/>
      <sheetName val="Attrition 12.2015 to 2018"/>
      <sheetName val="Cost Trends"/>
      <sheetName val="Net Plant"/>
      <sheetName val="Dep-Amort"/>
      <sheetName val="Adj Taxes"/>
      <sheetName val="Adj Operating Exp-2007-2015"/>
      <sheetName val="Weighted Revenue Growth"/>
      <sheetName val="PF Power Supply 09.2015 load"/>
      <sheetName val="incremental load expense"/>
      <sheetName val="PF Power Supply 2018 load"/>
      <sheetName val="Other Revenue"/>
      <sheetName val="09.2015 Rev Model"/>
      <sheetName val="2017-18 Forecast Billing Determ"/>
      <sheetName val="12.2015 CB Power Supply"/>
      <sheetName val="456 Revenue"/>
      <sheetName val="CS2-Colstrip 2016 Incrmntl Exp"/>
      <sheetName val="Reg Amorts"/>
      <sheetName val="DSM"/>
      <sheetName val="ResX"/>
      <sheetName val="PS Consolidated"/>
      <sheetName val="Other Rev"/>
      <sheetName val="CBR Hist"/>
      <sheetName val="Sheet1"/>
    </sheetNames>
    <sheetDataSet>
      <sheetData sheetId="0"/>
      <sheetData sheetId="1"/>
      <sheetData sheetId="2">
        <row r="12">
          <cell r="L12">
            <v>6.7390000000000002E-3</v>
          </cell>
        </row>
        <row r="14">
          <cell r="L14">
            <v>2E-3</v>
          </cell>
        </row>
        <row r="16">
          <cell r="L16">
            <v>3.8473E-2</v>
          </cell>
        </row>
      </sheetData>
      <sheetData sheetId="3">
        <row r="7">
          <cell r="M7">
            <v>1.8985698272210333E-2</v>
          </cell>
          <cell r="P7">
            <v>494136</v>
          </cell>
        </row>
        <row r="8">
          <cell r="M8">
            <v>1.8985698272210333E-2</v>
          </cell>
          <cell r="P8">
            <v>928</v>
          </cell>
        </row>
        <row r="11">
          <cell r="M11">
            <v>0</v>
          </cell>
          <cell r="P11">
            <v>2450</v>
          </cell>
        </row>
        <row r="89">
          <cell r="V89">
            <v>1.0189856982722103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84"/>
  <sheetViews>
    <sheetView tabSelected="1" view="pageBreakPreview" zoomScale="115" zoomScaleNormal="100" zoomScaleSheetLayoutView="115" workbookViewId="0">
      <selection activeCell="I37" activeCellId="1" sqref="C29 I37"/>
    </sheetView>
  </sheetViews>
  <sheetFormatPr defaultColWidth="11.42578125" defaultRowHeight="12.75"/>
  <cols>
    <col min="1" max="1" width="6.140625" style="154" customWidth="1"/>
    <col min="2" max="2" width="37.7109375" customWidth="1"/>
    <col min="3" max="3" width="9" customWidth="1"/>
    <col min="4" max="4" width="15.28515625" customWidth="1"/>
    <col min="5" max="5" width="13" customWidth="1"/>
    <col min="6" max="6" width="14.28515625" style="109" customWidth="1"/>
    <col min="7" max="7" width="13.140625" style="109" customWidth="1"/>
    <col min="8" max="8" width="14.7109375" style="109" hidden="1" customWidth="1"/>
    <col min="9" max="9" width="18.7109375" style="149" customWidth="1"/>
    <col min="10" max="10" width="15.85546875" customWidth="1"/>
    <col min="11" max="11" width="12" customWidth="1"/>
    <col min="17" max="17" width="11.5703125" customWidth="1"/>
  </cols>
  <sheetData>
    <row r="1" spans="1:22">
      <c r="A1" s="87"/>
      <c r="B1" s="87"/>
      <c r="C1" s="88" t="s">
        <v>112</v>
      </c>
      <c r="F1"/>
      <c r="G1"/>
      <c r="H1"/>
      <c r="I1"/>
    </row>
    <row r="2" spans="1:22">
      <c r="A2" s="87"/>
      <c r="B2" s="87"/>
      <c r="C2" s="88" t="s">
        <v>113</v>
      </c>
      <c r="F2"/>
      <c r="G2"/>
      <c r="H2"/>
      <c r="I2"/>
      <c r="Q2" s="156"/>
      <c r="S2" s="156"/>
    </row>
    <row r="3" spans="1:22">
      <c r="A3" s="89"/>
      <c r="B3" s="87"/>
      <c r="C3" s="88" t="s">
        <v>215</v>
      </c>
      <c r="F3"/>
      <c r="G3"/>
      <c r="H3"/>
      <c r="I3" s="90"/>
      <c r="K3">
        <v>-367.49129001798519</v>
      </c>
      <c r="L3">
        <v>-217.95841131731828</v>
      </c>
      <c r="M3">
        <v>95.716790636442511</v>
      </c>
      <c r="N3">
        <v>20.853349544480498</v>
      </c>
      <c r="O3">
        <v>151.78331407271318</v>
      </c>
      <c r="P3">
        <v>164.82384604662656</v>
      </c>
      <c r="Q3">
        <v>13.003959042578842</v>
      </c>
      <c r="R3">
        <v>-68.733011397978302</v>
      </c>
      <c r="S3">
        <v>-73.169138980656712</v>
      </c>
      <c r="T3">
        <v>-65.480886194761695</v>
      </c>
      <c r="U3">
        <v>-67.801545360684301</v>
      </c>
      <c r="V3">
        <v>-104.7795808488502</v>
      </c>
    </row>
    <row r="4" spans="1:22" ht="15">
      <c r="A4" s="89"/>
      <c r="B4" s="87"/>
      <c r="C4" s="157" t="s">
        <v>115</v>
      </c>
      <c r="F4"/>
      <c r="G4"/>
      <c r="H4"/>
      <c r="I4" s="90"/>
    </row>
    <row r="5" spans="1:22" ht="12.75" customHeight="1">
      <c r="A5" s="92"/>
      <c r="C5" s="91"/>
      <c r="D5" s="93"/>
      <c r="E5" s="93"/>
      <c r="F5" s="93"/>
      <c r="G5" s="93"/>
      <c r="H5" s="93" t="s">
        <v>116</v>
      </c>
      <c r="I5" s="94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92" t="s">
        <v>93</v>
      </c>
      <c r="D6" s="93" t="s">
        <v>117</v>
      </c>
      <c r="E6" s="93"/>
      <c r="F6" s="93">
        <v>2017</v>
      </c>
      <c r="G6" s="95"/>
      <c r="H6" s="95" t="s">
        <v>119</v>
      </c>
      <c r="I6" s="96"/>
    </row>
    <row r="7" spans="1:22">
      <c r="A7" s="97" t="s">
        <v>86</v>
      </c>
      <c r="D7" s="98" t="s">
        <v>120</v>
      </c>
      <c r="E7" s="99" t="s">
        <v>121</v>
      </c>
      <c r="F7" s="98" t="s">
        <v>89</v>
      </c>
      <c r="G7" s="98"/>
      <c r="H7" s="98" t="s">
        <v>122</v>
      </c>
      <c r="I7" s="100" t="s">
        <v>123</v>
      </c>
      <c r="J7" s="101" t="s">
        <v>124</v>
      </c>
      <c r="K7" s="102">
        <v>41274</v>
      </c>
      <c r="L7" s="102">
        <v>41305</v>
      </c>
      <c r="M7" s="102">
        <v>41333</v>
      </c>
      <c r="N7" s="102">
        <v>41364</v>
      </c>
      <c r="O7" s="102">
        <v>41394</v>
      </c>
      <c r="P7" s="102">
        <v>41425</v>
      </c>
      <c r="Q7" s="102">
        <v>41455</v>
      </c>
      <c r="R7" s="102">
        <v>41486</v>
      </c>
      <c r="S7" s="102">
        <v>41517</v>
      </c>
      <c r="T7" s="102">
        <v>41547</v>
      </c>
      <c r="U7" s="102">
        <v>41578</v>
      </c>
      <c r="V7" s="102">
        <v>41608</v>
      </c>
    </row>
    <row r="8" spans="1:22">
      <c r="A8" s="92"/>
      <c r="B8" s="103" t="s">
        <v>125</v>
      </c>
      <c r="D8" s="104"/>
      <c r="E8" s="105"/>
      <c r="F8" s="104"/>
      <c r="G8" s="104"/>
      <c r="H8" s="104"/>
      <c r="I8" s="106"/>
    </row>
    <row r="9" spans="1:22">
      <c r="A9" s="92">
        <f t="shared" ref="A9:A27" si="0">A8+1</f>
        <v>1</v>
      </c>
      <c r="B9" t="s">
        <v>126</v>
      </c>
      <c r="D9" s="107">
        <v>0</v>
      </c>
      <c r="E9" s="107">
        <f t="shared" ref="E9:E28" si="1">F9-D9</f>
        <v>8035.1221034855489</v>
      </c>
      <c r="F9" s="107">
        <f>'[6]WGJ-4'!C13/1000</f>
        <v>8035.1221034855489</v>
      </c>
      <c r="G9" s="107"/>
      <c r="H9" s="107">
        <v>20917.018981429192</v>
      </c>
      <c r="I9" s="108" t="s">
        <v>127</v>
      </c>
      <c r="J9" s="109">
        <f t="shared" ref="J9:J14" si="2">SUM(K9:V9)/1000</f>
        <v>8035.1221034855489</v>
      </c>
      <c r="K9" s="110">
        <f>'[6]WGJ-4'!D13</f>
        <v>167916.42821431099</v>
      </c>
      <c r="L9" s="110">
        <f>'[6]WGJ-4'!E13</f>
        <v>186256.09850771702</v>
      </c>
      <c r="M9" s="110">
        <f>'[6]WGJ-4'!F13</f>
        <v>386602.97990925604</v>
      </c>
      <c r="N9" s="110">
        <f>'[6]WGJ-4'!G13</f>
        <v>138744.66988518799</v>
      </c>
      <c r="O9" s="110">
        <f>'[6]WGJ-4'!H13</f>
        <v>21923.518932424402</v>
      </c>
      <c r="P9" s="110">
        <f>'[6]WGJ-4'!I13</f>
        <v>448152.57007479604</v>
      </c>
      <c r="Q9" s="110">
        <f>'[6]WGJ-4'!J13</f>
        <v>994662.84832954395</v>
      </c>
      <c r="R9" s="110">
        <f>'[6]WGJ-4'!K13</f>
        <v>2295339.81351852</v>
      </c>
      <c r="S9" s="110">
        <f>'[6]WGJ-4'!L13</f>
        <v>986610.35695783701</v>
      </c>
      <c r="T9" s="110">
        <f>'[6]WGJ-4'!M13</f>
        <v>957912.55381992005</v>
      </c>
      <c r="U9" s="110">
        <f>'[6]WGJ-4'!N13</f>
        <v>845349.97408389999</v>
      </c>
      <c r="V9" s="110">
        <f>'[6]WGJ-4'!O13</f>
        <v>605650.291252136</v>
      </c>
    </row>
    <row r="10" spans="1:22">
      <c r="A10" s="92">
        <f t="shared" si="0"/>
        <v>2</v>
      </c>
      <c r="B10" t="s">
        <v>128</v>
      </c>
      <c r="D10" s="111">
        <f>84386+1</f>
        <v>84387</v>
      </c>
      <c r="E10" s="106">
        <f t="shared" si="1"/>
        <v>-81010</v>
      </c>
      <c r="F10" s="112">
        <v>3377</v>
      </c>
      <c r="G10" s="107"/>
      <c r="H10" s="107"/>
      <c r="I10" s="108"/>
      <c r="J10" s="109">
        <f t="shared" si="2"/>
        <v>3377.1600036621085</v>
      </c>
      <c r="K10" s="110">
        <v>1603679.962158202</v>
      </c>
      <c r="L10" s="110">
        <v>1139520.01953125</v>
      </c>
      <c r="M10" s="110">
        <v>633960.02197265602</v>
      </c>
      <c r="N10" s="110">
        <v>0</v>
      </c>
      <c r="O10" s="110">
        <v>0</v>
      </c>
      <c r="P10" s="110">
        <v>0</v>
      </c>
      <c r="Q10" s="110">
        <v>0</v>
      </c>
      <c r="R10" s="110">
        <v>0</v>
      </c>
      <c r="S10" s="110">
        <v>0</v>
      </c>
      <c r="T10" s="110">
        <v>0</v>
      </c>
      <c r="U10" s="110">
        <v>0</v>
      </c>
      <c r="V10" s="110">
        <v>0</v>
      </c>
    </row>
    <row r="11" spans="1:22">
      <c r="A11" s="92">
        <f t="shared" si="0"/>
        <v>3</v>
      </c>
      <c r="B11" t="s">
        <v>129</v>
      </c>
      <c r="D11" s="111">
        <v>0</v>
      </c>
      <c r="E11" s="106">
        <f t="shared" si="1"/>
        <v>-519</v>
      </c>
      <c r="F11" s="112">
        <v>-519</v>
      </c>
      <c r="G11" s="107"/>
      <c r="H11" s="107"/>
      <c r="I11" s="108"/>
      <c r="J11" s="109">
        <f t="shared" si="2"/>
        <v>-519.23260477539316</v>
      </c>
      <c r="K11" s="110">
        <v>-367491.29001798521</v>
      </c>
      <c r="L11" s="110">
        <v>-217958.41131731827</v>
      </c>
      <c r="M11" s="110">
        <v>95716.790636442514</v>
      </c>
      <c r="N11" s="110">
        <v>20853.349544480498</v>
      </c>
      <c r="O11" s="110">
        <v>151783.31407271317</v>
      </c>
      <c r="P11" s="110">
        <v>164823.84604662657</v>
      </c>
      <c r="Q11" s="110">
        <v>13003.959042578841</v>
      </c>
      <c r="R11" s="110">
        <v>-68733.011397978305</v>
      </c>
      <c r="S11" s="110">
        <v>-73169.138980656717</v>
      </c>
      <c r="T11" s="110">
        <v>-65480.886194761697</v>
      </c>
      <c r="U11" s="110">
        <v>-67801.545360684308</v>
      </c>
      <c r="V11" s="110">
        <v>-104779.58084885021</v>
      </c>
    </row>
    <row r="12" spans="1:22">
      <c r="A12" s="92">
        <f t="shared" si="0"/>
        <v>4</v>
      </c>
      <c r="B12" t="s">
        <v>130</v>
      </c>
      <c r="D12" s="111">
        <v>13315</v>
      </c>
      <c r="E12" s="106">
        <f t="shared" si="1"/>
        <v>558</v>
      </c>
      <c r="F12" s="111">
        <v>13873</v>
      </c>
      <c r="G12" s="113"/>
      <c r="H12" s="113"/>
      <c r="I12" s="106"/>
      <c r="J12" s="109">
        <f t="shared" si="2"/>
        <v>13873.093199999998</v>
      </c>
      <c r="K12" s="114">
        <v>1156091.0999999999</v>
      </c>
      <c r="L12" s="114">
        <v>1156091.0999999999</v>
      </c>
      <c r="M12" s="114">
        <v>1156091.0999999999</v>
      </c>
      <c r="N12" s="114">
        <v>1156091.0999999999</v>
      </c>
      <c r="O12" s="114">
        <v>1156091.0999999999</v>
      </c>
      <c r="P12" s="114">
        <v>1156091.0999999999</v>
      </c>
      <c r="Q12" s="114">
        <v>1156091.0999999999</v>
      </c>
      <c r="R12" s="114">
        <v>1156091.0999999999</v>
      </c>
      <c r="S12" s="114">
        <v>1156091.0999999999</v>
      </c>
      <c r="T12" s="114">
        <v>1156091.0999999999</v>
      </c>
      <c r="U12" s="114">
        <v>1156091.0999999999</v>
      </c>
      <c r="V12" s="114">
        <v>1156091.0999999999</v>
      </c>
    </row>
    <row r="13" spans="1:22">
      <c r="A13" s="92">
        <f t="shared" si="0"/>
        <v>5</v>
      </c>
      <c r="B13" t="s">
        <v>131</v>
      </c>
      <c r="D13" s="111">
        <v>1703</v>
      </c>
      <c r="E13" s="106">
        <f t="shared" si="1"/>
        <v>185</v>
      </c>
      <c r="F13" s="115">
        <v>1888</v>
      </c>
      <c r="G13" s="113"/>
      <c r="H13" s="113">
        <v>1177</v>
      </c>
      <c r="I13" s="106"/>
      <c r="J13" s="109">
        <f t="shared" si="2"/>
        <v>1888.1049999999998</v>
      </c>
      <c r="K13" s="114">
        <f>1888105/12</f>
        <v>157342.08333333334</v>
      </c>
      <c r="L13" s="114">
        <f t="shared" ref="L13:V13" si="3">1888105/12</f>
        <v>157342.08333333334</v>
      </c>
      <c r="M13" s="114">
        <f t="shared" si="3"/>
        <v>157342.08333333334</v>
      </c>
      <c r="N13" s="114">
        <f t="shared" si="3"/>
        <v>157342.08333333334</v>
      </c>
      <c r="O13" s="114">
        <f t="shared" si="3"/>
        <v>157342.08333333334</v>
      </c>
      <c r="P13" s="114">
        <f t="shared" si="3"/>
        <v>157342.08333333334</v>
      </c>
      <c r="Q13" s="114">
        <f t="shared" si="3"/>
        <v>157342.08333333334</v>
      </c>
      <c r="R13" s="114">
        <f t="shared" si="3"/>
        <v>157342.08333333334</v>
      </c>
      <c r="S13" s="114">
        <f t="shared" si="3"/>
        <v>157342.08333333334</v>
      </c>
      <c r="T13" s="114">
        <f t="shared" si="3"/>
        <v>157342.08333333334</v>
      </c>
      <c r="U13" s="114">
        <f t="shared" si="3"/>
        <v>157342.08333333334</v>
      </c>
      <c r="V13" s="114">
        <f t="shared" si="3"/>
        <v>157342.08333333334</v>
      </c>
    </row>
    <row r="14" spans="1:22">
      <c r="A14" s="92">
        <f t="shared" si="0"/>
        <v>6</v>
      </c>
      <c r="B14" t="s">
        <v>132</v>
      </c>
      <c r="D14" s="111">
        <v>2482</v>
      </c>
      <c r="E14" s="106">
        <f t="shared" si="1"/>
        <v>-2482</v>
      </c>
      <c r="F14" s="116">
        <v>0</v>
      </c>
      <c r="G14" s="113"/>
      <c r="H14" s="113"/>
      <c r="I14" s="106"/>
      <c r="J14" s="109">
        <f t="shared" si="2"/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</row>
    <row r="15" spans="1:22">
      <c r="A15" s="92">
        <f t="shared" si="0"/>
        <v>7</v>
      </c>
      <c r="B15" t="s">
        <v>133</v>
      </c>
      <c r="D15" s="111">
        <v>7118</v>
      </c>
      <c r="E15" s="106">
        <f t="shared" si="1"/>
        <v>884.84479646931231</v>
      </c>
      <c r="F15" s="115">
        <f>[6]Index!C53/1000</f>
        <v>8002.8447964693123</v>
      </c>
      <c r="G15" s="117"/>
      <c r="H15" s="106">
        <v>0</v>
      </c>
      <c r="I15" s="117" t="s">
        <v>134</v>
      </c>
      <c r="J15" s="109">
        <f t="shared" ref="J15:J28" si="4">SUM(K15:V15)/1000</f>
        <v>8002.8447964693123</v>
      </c>
      <c r="K15" s="114">
        <f>[6]Index!D53</f>
        <v>818526.60514649597</v>
      </c>
      <c r="L15" s="114">
        <f>[6]Index!E53</f>
        <v>673887.24474140257</v>
      </c>
      <c r="M15" s="114">
        <f>[6]Index!F53</f>
        <v>621498.5368936921</v>
      </c>
      <c r="N15" s="114">
        <f>[6]Index!G53</f>
        <v>622613.37014739891</v>
      </c>
      <c r="O15" s="114">
        <f>[6]Index!H53</f>
        <v>720425.69205338613</v>
      </c>
      <c r="P15" s="114">
        <f>[6]Index!I53</f>
        <v>697747.65608810331</v>
      </c>
      <c r="Q15" s="114">
        <f>[6]Index!J53</f>
        <v>773481.77581780183</v>
      </c>
      <c r="R15" s="114">
        <f>[6]Index!K53</f>
        <v>683442.61873856559</v>
      </c>
      <c r="S15" s="114">
        <f>[6]Index!L53</f>
        <v>493631.5322150765</v>
      </c>
      <c r="T15" s="114">
        <f>[6]Index!M53</f>
        <v>480341.07474600425</v>
      </c>
      <c r="U15" s="114">
        <f>[6]Index!N53</f>
        <v>649524.49520845129</v>
      </c>
      <c r="V15" s="114">
        <f>[6]Index!O53</f>
        <v>767724.19467293238</v>
      </c>
    </row>
    <row r="16" spans="1:22">
      <c r="A16" s="92">
        <f t="shared" si="0"/>
        <v>8</v>
      </c>
      <c r="B16" t="s">
        <v>135</v>
      </c>
      <c r="D16" s="111">
        <v>1211</v>
      </c>
      <c r="E16" s="111">
        <f t="shared" si="1"/>
        <v>120</v>
      </c>
      <c r="F16" s="115">
        <v>1331</v>
      </c>
      <c r="G16" s="111" t="s">
        <v>136</v>
      </c>
      <c r="H16" s="116">
        <v>5512</v>
      </c>
      <c r="I16" s="106"/>
      <c r="J16" s="109">
        <f t="shared" si="4"/>
        <v>1331.4131140720376</v>
      </c>
      <c r="K16" s="114">
        <v>53014.371016286459</v>
      </c>
      <c r="L16" s="114">
        <v>40118.444150656811</v>
      </c>
      <c r="M16" s="114">
        <v>94456.393511434289</v>
      </c>
      <c r="N16" s="114">
        <v>168474.50040786478</v>
      </c>
      <c r="O16" s="114">
        <v>209505.18704959075</v>
      </c>
      <c r="P16" s="114">
        <v>226512.68200613206</v>
      </c>
      <c r="Q16" s="114">
        <v>192940.87648729995</v>
      </c>
      <c r="R16" s="114">
        <v>137423.8842732975</v>
      </c>
      <c r="S16" s="114">
        <v>56311.915220387622</v>
      </c>
      <c r="T16" s="114">
        <v>61593.304430255128</v>
      </c>
      <c r="U16" s="114">
        <v>43005.025598436056</v>
      </c>
      <c r="V16" s="114">
        <v>48056.529920396053</v>
      </c>
    </row>
    <row r="17" spans="1:22">
      <c r="A17" s="92">
        <f t="shared" si="0"/>
        <v>9</v>
      </c>
      <c r="B17" t="s">
        <v>137</v>
      </c>
      <c r="D17" s="111">
        <v>22737</v>
      </c>
      <c r="E17" s="111">
        <f t="shared" si="1"/>
        <v>533</v>
      </c>
      <c r="F17" s="118">
        <v>23270</v>
      </c>
      <c r="G17" s="116"/>
      <c r="H17" s="116"/>
      <c r="I17" s="106"/>
      <c r="J17" s="109">
        <f t="shared" si="4"/>
        <v>23269.887947623996</v>
      </c>
      <c r="K17" s="114">
        <v>1939157.3289686665</v>
      </c>
      <c r="L17" s="114">
        <v>1939157.3289686665</v>
      </c>
      <c r="M17" s="114">
        <v>1939157.3289686665</v>
      </c>
      <c r="N17" s="114">
        <v>1939157.3289686665</v>
      </c>
      <c r="O17" s="114">
        <v>1939157.3289686665</v>
      </c>
      <c r="P17" s="114">
        <v>1939157.3289686665</v>
      </c>
      <c r="Q17" s="114">
        <v>1939157.3289686665</v>
      </c>
      <c r="R17" s="114">
        <v>1939157.3289686665</v>
      </c>
      <c r="S17" s="114">
        <v>1939157.3289686665</v>
      </c>
      <c r="T17" s="114">
        <v>1939157.3289686665</v>
      </c>
      <c r="U17" s="114">
        <v>1939157.3289686665</v>
      </c>
      <c r="V17" s="114">
        <v>1939157.3289686665</v>
      </c>
    </row>
    <row r="18" spans="1:22">
      <c r="A18" s="92">
        <f t="shared" si="0"/>
        <v>10</v>
      </c>
      <c r="B18" t="s">
        <v>138</v>
      </c>
      <c r="D18" s="111">
        <v>2745</v>
      </c>
      <c r="E18" s="111">
        <f t="shared" si="1"/>
        <v>385.93872186093631</v>
      </c>
      <c r="F18" s="118">
        <f>J18</f>
        <v>3130.9387218609363</v>
      </c>
      <c r="G18" s="116"/>
      <c r="H18" s="116"/>
      <c r="I18" s="106"/>
      <c r="J18" s="109">
        <f t="shared" si="4"/>
        <v>3130.9387218609363</v>
      </c>
      <c r="K18" s="114">
        <f>'[6]WGJ-4'!D33*(2.059*1.012)</f>
        <v>367391.02607631794</v>
      </c>
      <c r="L18" s="114">
        <f>'[6]WGJ-4'!E33*(2.059*1.012)</f>
        <v>304454.16869927477</v>
      </c>
      <c r="M18" s="114">
        <f>'[6]WGJ-4'!F33*(2.059*1.012)</f>
        <v>293699.77635704365</v>
      </c>
      <c r="N18" s="114">
        <f>'[6]WGJ-4'!G33*(2.059*1.012)</f>
        <v>192467.36371289089</v>
      </c>
      <c r="O18" s="114">
        <f>'[6]WGJ-4'!H33*(2.059*1.012)</f>
        <v>105840.61981727796</v>
      </c>
      <c r="P18" s="114">
        <f>'[6]WGJ-4'!I33*(2.059*1.012)</f>
        <v>82601.284642008861</v>
      </c>
      <c r="Q18" s="114">
        <f>'[6]WGJ-4'!J33*(2.059*1.012)</f>
        <v>201480.14290096864</v>
      </c>
      <c r="R18" s="114">
        <f>'[6]WGJ-4'!K33*(2.059*1.012)</f>
        <v>273644.69082904037</v>
      </c>
      <c r="S18" s="114">
        <f>'[6]WGJ-4'!L33*(2.059*1.012)</f>
        <v>298560.16312638181</v>
      </c>
      <c r="T18" s="114">
        <f>'[6]WGJ-4'!M33*(2.059*1.012)</f>
        <v>324748.13544886693</v>
      </c>
      <c r="U18" s="114">
        <f>'[6]WGJ-4'!N33*(2.059*1.012)</f>
        <v>321331.64039957098</v>
      </c>
      <c r="V18" s="114">
        <f>'[6]WGJ-4'!O33*(2.059*1.012)</f>
        <v>364719.70985129348</v>
      </c>
    </row>
    <row r="19" spans="1:22">
      <c r="A19" s="92">
        <f t="shared" si="0"/>
        <v>11</v>
      </c>
      <c r="B19" t="s">
        <v>139</v>
      </c>
      <c r="D19" s="111">
        <v>13302</v>
      </c>
      <c r="E19" s="106">
        <f t="shared" si="1"/>
        <v>4458</v>
      </c>
      <c r="F19" s="115">
        <v>17760</v>
      </c>
      <c r="G19" s="106" t="s">
        <v>136</v>
      </c>
      <c r="H19" s="106">
        <v>-2690</v>
      </c>
      <c r="I19" s="119" t="s">
        <v>140</v>
      </c>
      <c r="J19" s="109">
        <f t="shared" si="4"/>
        <v>17759.539066500001</v>
      </c>
      <c r="K19" s="110">
        <v>3636467.3250000002</v>
      </c>
      <c r="L19" s="110">
        <v>3244590</v>
      </c>
      <c r="M19" s="110">
        <v>1797334.425</v>
      </c>
      <c r="N19" s="110">
        <v>1767237.75</v>
      </c>
      <c r="O19" s="110"/>
      <c r="P19" s="110"/>
      <c r="Q19" s="110"/>
      <c r="R19" s="110"/>
      <c r="S19" s="110"/>
      <c r="T19" s="110"/>
      <c r="U19" s="110">
        <v>3598202.4390000002</v>
      </c>
      <c r="V19" s="110">
        <v>3715707.1274999999</v>
      </c>
    </row>
    <row r="20" spans="1:22">
      <c r="A20" s="92">
        <f t="shared" si="0"/>
        <v>12</v>
      </c>
      <c r="B20" t="s">
        <v>141</v>
      </c>
      <c r="D20" s="111">
        <v>7</v>
      </c>
      <c r="E20" s="106">
        <f t="shared" si="1"/>
        <v>0</v>
      </c>
      <c r="F20" s="106">
        <v>7</v>
      </c>
      <c r="G20" s="106"/>
      <c r="H20" s="106">
        <v>6679.5</v>
      </c>
      <c r="I20" s="106"/>
      <c r="J20" s="109">
        <f t="shared" si="4"/>
        <v>6.9999999999999991</v>
      </c>
      <c r="K20" s="114">
        <f t="shared" ref="K20:V20" si="5">$F20/12*1000</f>
        <v>583.33333333333337</v>
      </c>
      <c r="L20" s="114">
        <f t="shared" si="5"/>
        <v>583.33333333333337</v>
      </c>
      <c r="M20" s="114">
        <f t="shared" si="5"/>
        <v>583.33333333333337</v>
      </c>
      <c r="N20" s="114">
        <f t="shared" si="5"/>
        <v>583.33333333333337</v>
      </c>
      <c r="O20" s="114">
        <f t="shared" si="5"/>
        <v>583.33333333333337</v>
      </c>
      <c r="P20" s="114">
        <f t="shared" si="5"/>
        <v>583.33333333333337</v>
      </c>
      <c r="Q20" s="114">
        <f t="shared" si="5"/>
        <v>583.33333333333337</v>
      </c>
      <c r="R20" s="114">
        <f t="shared" si="5"/>
        <v>583.33333333333337</v>
      </c>
      <c r="S20" s="114">
        <f t="shared" si="5"/>
        <v>583.33333333333337</v>
      </c>
      <c r="T20" s="114">
        <f t="shared" si="5"/>
        <v>583.33333333333337</v>
      </c>
      <c r="U20" s="114">
        <f t="shared" si="5"/>
        <v>583.33333333333337</v>
      </c>
      <c r="V20" s="114">
        <f t="shared" si="5"/>
        <v>583.33333333333337</v>
      </c>
    </row>
    <row r="21" spans="1:22">
      <c r="A21" s="92">
        <f t="shared" si="0"/>
        <v>13</v>
      </c>
      <c r="B21" t="s">
        <v>142</v>
      </c>
      <c r="D21" s="111">
        <v>1290</v>
      </c>
      <c r="E21" s="106">
        <f t="shared" si="1"/>
        <v>68</v>
      </c>
      <c r="F21" s="116">
        <v>1358</v>
      </c>
      <c r="G21" s="106" t="s">
        <v>136</v>
      </c>
      <c r="H21" s="116">
        <v>6132</v>
      </c>
      <c r="I21" s="106"/>
      <c r="J21" s="109">
        <f t="shared" si="4"/>
        <v>1358.4641244904462</v>
      </c>
      <c r="K21" s="114">
        <v>101777.21716415261</v>
      </c>
      <c r="L21" s="114">
        <v>122124.18402414545</v>
      </c>
      <c r="M21" s="114">
        <v>156259.97529834532</v>
      </c>
      <c r="N21" s="114">
        <v>174470.60051249905</v>
      </c>
      <c r="O21" s="114">
        <v>168952.86594441361</v>
      </c>
      <c r="P21" s="114">
        <v>147730.86448487977</v>
      </c>
      <c r="Q21" s="114">
        <v>128692.68468434841</v>
      </c>
      <c r="R21" s="114">
        <v>78476.746595809935</v>
      </c>
      <c r="S21" s="114">
        <v>53427.096850076006</v>
      </c>
      <c r="T21" s="114">
        <v>57263.917042848785</v>
      </c>
      <c r="U21" s="114">
        <v>75352.367671043787</v>
      </c>
      <c r="V21" s="114">
        <v>93935.604217883098</v>
      </c>
    </row>
    <row r="22" spans="1:22">
      <c r="A22" s="92">
        <f t="shared" si="0"/>
        <v>14</v>
      </c>
      <c r="B22" t="s">
        <v>143</v>
      </c>
      <c r="D22" s="111">
        <v>1346</v>
      </c>
      <c r="E22" s="106">
        <f t="shared" si="1"/>
        <v>388</v>
      </c>
      <c r="F22" s="112">
        <v>1734</v>
      </c>
      <c r="G22" s="106" t="s">
        <v>136</v>
      </c>
      <c r="H22" s="111">
        <v>6132</v>
      </c>
      <c r="I22" s="119" t="s">
        <v>144</v>
      </c>
      <c r="J22" s="109">
        <f t="shared" si="4"/>
        <v>1733.5599861421867</v>
      </c>
      <c r="K22" s="114">
        <v>157035.12496787083</v>
      </c>
      <c r="L22" s="114">
        <v>137359.07725429689</v>
      </c>
      <c r="M22" s="114">
        <v>107031.83786777344</v>
      </c>
      <c r="N22" s="114">
        <v>95491.928261132809</v>
      </c>
      <c r="O22" s="114">
        <v>118924.26546943338</v>
      </c>
      <c r="P22" s="114">
        <v>91137.255738867185</v>
      </c>
      <c r="Q22" s="114">
        <v>170259.1400592771</v>
      </c>
      <c r="R22" s="114">
        <v>185136.1570371094</v>
      </c>
      <c r="S22" s="114">
        <v>155568.75823212863</v>
      </c>
      <c r="T22" s="114">
        <v>175218.1457185547</v>
      </c>
      <c r="U22" s="114">
        <v>164766.90273574222</v>
      </c>
      <c r="V22" s="114">
        <v>175631.3928</v>
      </c>
    </row>
    <row r="23" spans="1:22">
      <c r="A23" s="92">
        <f t="shared" si="0"/>
        <v>15</v>
      </c>
      <c r="B23" t="s">
        <v>145</v>
      </c>
      <c r="D23" s="111">
        <v>2330</v>
      </c>
      <c r="E23" s="106">
        <f t="shared" si="1"/>
        <v>540</v>
      </c>
      <c r="F23" s="111">
        <v>2870</v>
      </c>
      <c r="G23" s="106" t="s">
        <v>136</v>
      </c>
      <c r="H23" s="106">
        <v>6953.25</v>
      </c>
      <c r="I23" s="106"/>
      <c r="J23" s="109">
        <f t="shared" si="4"/>
        <v>2870.0777956958027</v>
      </c>
      <c r="K23" s="114">
        <v>351340.85650390631</v>
      </c>
      <c r="L23" s="114">
        <v>351203.12511474651</v>
      </c>
      <c r="M23" s="114">
        <v>473037.6889111331</v>
      </c>
      <c r="N23" s="114">
        <v>369796.11731404619</v>
      </c>
      <c r="O23" s="114">
        <v>342852.57934366894</v>
      </c>
      <c r="P23" s="114">
        <v>264551.06925374374</v>
      </c>
      <c r="Q23" s="114">
        <v>94880.820286458329</v>
      </c>
      <c r="R23" s="114">
        <v>-33904.298968098956</v>
      </c>
      <c r="S23" s="114">
        <v>8925.8123209635414</v>
      </c>
      <c r="T23" s="114">
        <v>107947.21971354166</v>
      </c>
      <c r="U23" s="114">
        <v>205954.81366699244</v>
      </c>
      <c r="V23" s="114">
        <v>333491.99223470083</v>
      </c>
    </row>
    <row r="24" spans="1:22">
      <c r="A24" s="92">
        <f t="shared" si="0"/>
        <v>16</v>
      </c>
      <c r="B24" t="s">
        <v>146</v>
      </c>
      <c r="D24" s="111">
        <v>5562</v>
      </c>
      <c r="E24" s="106">
        <f t="shared" si="1"/>
        <v>755</v>
      </c>
      <c r="F24" s="111">
        <v>6317</v>
      </c>
      <c r="G24" s="106" t="s">
        <v>136</v>
      </c>
      <c r="H24" s="106"/>
      <c r="I24" s="106"/>
      <c r="J24" s="109">
        <f t="shared" si="4"/>
        <v>6317.0099181225441</v>
      </c>
      <c r="K24" s="114">
        <v>507486.46364587406</v>
      </c>
      <c r="L24" s="114">
        <v>504989.29648803675</v>
      </c>
      <c r="M24" s="114">
        <v>461586.11395788298</v>
      </c>
      <c r="N24" s="114">
        <v>472591.65381969843</v>
      </c>
      <c r="O24" s="114">
        <v>488344.6847548809</v>
      </c>
      <c r="P24" s="114">
        <v>427274.59018847457</v>
      </c>
      <c r="Q24" s="114">
        <v>533290.85440172988</v>
      </c>
      <c r="R24" s="114">
        <v>619305.51740234368</v>
      </c>
      <c r="S24" s="114">
        <v>574355.96270507807</v>
      </c>
      <c r="T24" s="114">
        <v>636508.46778320312</v>
      </c>
      <c r="U24" s="114">
        <v>549383.94918945315</v>
      </c>
      <c r="V24" s="114">
        <v>541892.36378588679</v>
      </c>
    </row>
    <row r="25" spans="1:22">
      <c r="A25" s="92">
        <f t="shared" si="0"/>
        <v>17</v>
      </c>
      <c r="B25" t="s">
        <v>147</v>
      </c>
      <c r="D25" s="111">
        <v>34</v>
      </c>
      <c r="E25" s="106">
        <f t="shared" si="1"/>
        <v>-34</v>
      </c>
      <c r="F25" s="106">
        <v>0</v>
      </c>
      <c r="G25" s="106"/>
      <c r="H25" s="106">
        <v>921</v>
      </c>
      <c r="I25" s="117" t="s">
        <v>148</v>
      </c>
      <c r="J25" s="109">
        <f t="shared" si="4"/>
        <v>0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</row>
    <row r="26" spans="1:22">
      <c r="A26" s="92">
        <f t="shared" si="0"/>
        <v>18</v>
      </c>
      <c r="B26" t="s">
        <v>149</v>
      </c>
      <c r="D26" s="111">
        <v>1654</v>
      </c>
      <c r="E26" s="106">
        <f t="shared" si="1"/>
        <v>-1654</v>
      </c>
      <c r="F26" s="106">
        <v>0</v>
      </c>
      <c r="G26" s="106"/>
      <c r="H26" s="106"/>
      <c r="I26" s="106"/>
      <c r="J26" s="109">
        <f t="shared" si="4"/>
        <v>0</v>
      </c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</row>
    <row r="27" spans="1:22">
      <c r="A27" s="92">
        <f t="shared" si="0"/>
        <v>19</v>
      </c>
      <c r="B27" s="120" t="s">
        <v>150</v>
      </c>
      <c r="C27" s="120"/>
      <c r="D27" s="121">
        <v>16541</v>
      </c>
      <c r="E27" s="122">
        <f t="shared" si="1"/>
        <v>4181</v>
      </c>
      <c r="F27" s="121">
        <v>20722</v>
      </c>
      <c r="G27" s="106" t="s">
        <v>136</v>
      </c>
      <c r="H27" s="106"/>
      <c r="I27" s="106"/>
      <c r="J27" s="109">
        <f t="shared" si="4"/>
        <v>20721.590181093754</v>
      </c>
      <c r="K27" s="114">
        <v>2321260.3050000002</v>
      </c>
      <c r="L27" s="114">
        <v>1812340.69453125</v>
      </c>
      <c r="M27" s="114">
        <v>2126185.3396875001</v>
      </c>
      <c r="N27" s="114">
        <v>1817524.2210937501</v>
      </c>
      <c r="O27" s="114">
        <v>1599399.1771874998</v>
      </c>
      <c r="P27" s="114">
        <v>1282675.1681250001</v>
      </c>
      <c r="Q27" s="114">
        <v>1098639.9450000001</v>
      </c>
      <c r="R27" s="114">
        <v>1155240.9984375001</v>
      </c>
      <c r="S27" s="114">
        <v>1332899.80078125</v>
      </c>
      <c r="T27" s="114">
        <v>1638197.4740625003</v>
      </c>
      <c r="U27" s="114">
        <v>2113291.4765625</v>
      </c>
      <c r="V27" s="114">
        <v>2423935.5806249999</v>
      </c>
    </row>
    <row r="28" spans="1:22">
      <c r="A28" s="92">
        <f>A27+1</f>
        <v>20</v>
      </c>
      <c r="B28" t="s">
        <v>151</v>
      </c>
      <c r="D28" s="111">
        <f>SUM(D9:D27)</f>
        <v>177764</v>
      </c>
      <c r="E28" s="106">
        <f t="shared" si="1"/>
        <v>-64607.094378184207</v>
      </c>
      <c r="F28" s="106">
        <f>SUM(F9:F27)</f>
        <v>113156.90562181579</v>
      </c>
      <c r="G28" s="106"/>
      <c r="H28" s="106">
        <v>0</v>
      </c>
      <c r="I28" s="106"/>
      <c r="J28" s="109">
        <f t="shared" si="4"/>
        <v>113156.57335444329</v>
      </c>
      <c r="K28" s="123">
        <f t="shared" ref="K28:V28" si="6">SUM(K9:K27)</f>
        <v>12971578.240510765</v>
      </c>
      <c r="L28" s="123">
        <f t="shared" si="6"/>
        <v>11552057.787360795</v>
      </c>
      <c r="M28" s="123">
        <f t="shared" si="6"/>
        <v>10500543.725638492</v>
      </c>
      <c r="N28" s="123">
        <f t="shared" si="6"/>
        <v>9093439.3703342825</v>
      </c>
      <c r="O28" s="123">
        <f t="shared" si="6"/>
        <v>7181125.7502606222</v>
      </c>
      <c r="P28" s="123">
        <f t="shared" si="6"/>
        <v>7086380.8322839653</v>
      </c>
      <c r="Q28" s="123">
        <f t="shared" si="6"/>
        <v>7454506.8926453404</v>
      </c>
      <c r="R28" s="123">
        <f t="shared" si="6"/>
        <v>8578546.9621014427</v>
      </c>
      <c r="S28" s="123">
        <f t="shared" si="6"/>
        <v>7140296.1050638556</v>
      </c>
      <c r="T28" s="123">
        <f t="shared" si="6"/>
        <v>7627423.2522062669</v>
      </c>
      <c r="U28" s="123">
        <f t="shared" si="6"/>
        <v>11751535.384390738</v>
      </c>
      <c r="V28" s="123">
        <f t="shared" si="6"/>
        <v>12219139.051646713</v>
      </c>
    </row>
    <row r="29" spans="1:22">
      <c r="A29" s="92"/>
      <c r="D29" s="111"/>
      <c r="E29" s="106"/>
      <c r="F29" s="106"/>
      <c r="G29" s="106"/>
      <c r="H29" s="122">
        <v>3186</v>
      </c>
      <c r="I29" s="106"/>
      <c r="J29" s="109"/>
    </row>
    <row r="30" spans="1:22">
      <c r="A30" s="92"/>
      <c r="B30" s="103" t="s">
        <v>152</v>
      </c>
      <c r="D30" s="106"/>
      <c r="E30" s="106"/>
      <c r="F30" s="106"/>
      <c r="G30" s="106"/>
      <c r="H30" s="106">
        <v>0</v>
      </c>
      <c r="I30" s="106"/>
      <c r="J30" s="109"/>
    </row>
    <row r="31" spans="1:22">
      <c r="A31" s="92">
        <f>A28+1</f>
        <v>21</v>
      </c>
      <c r="B31" t="s">
        <v>153</v>
      </c>
      <c r="D31" s="111">
        <v>407</v>
      </c>
      <c r="E31" s="111">
        <f>F31-D31</f>
        <v>0</v>
      </c>
      <c r="F31" s="124">
        <v>407</v>
      </c>
      <c r="G31" s="117"/>
      <c r="H31" s="121">
        <v>150</v>
      </c>
      <c r="I31" s="117"/>
      <c r="J31" s="109">
        <f>SUM(K31:V31)/1000</f>
        <v>407.00000000000006</v>
      </c>
      <c r="K31" s="114">
        <f>407000/12</f>
        <v>33916.666666666664</v>
      </c>
      <c r="L31" s="114">
        <f t="shared" ref="L31:V31" si="7">407000/12</f>
        <v>33916.666666666664</v>
      </c>
      <c r="M31" s="114">
        <f t="shared" si="7"/>
        <v>33916.666666666664</v>
      </c>
      <c r="N31" s="114">
        <f t="shared" si="7"/>
        <v>33916.666666666664</v>
      </c>
      <c r="O31" s="114">
        <f t="shared" si="7"/>
        <v>33916.666666666664</v>
      </c>
      <c r="P31" s="114">
        <f t="shared" si="7"/>
        <v>33916.666666666664</v>
      </c>
      <c r="Q31" s="114">
        <f t="shared" si="7"/>
        <v>33916.666666666664</v>
      </c>
      <c r="R31" s="114">
        <f t="shared" si="7"/>
        <v>33916.666666666664</v>
      </c>
      <c r="S31" s="114">
        <f t="shared" si="7"/>
        <v>33916.666666666664</v>
      </c>
      <c r="T31" s="114">
        <f t="shared" si="7"/>
        <v>33916.666666666664</v>
      </c>
      <c r="U31" s="114">
        <f t="shared" si="7"/>
        <v>33916.666666666664</v>
      </c>
      <c r="V31" s="114">
        <f t="shared" si="7"/>
        <v>33916.666666666664</v>
      </c>
    </row>
    <row r="32" spans="1:22">
      <c r="A32" s="92">
        <f>A31+1</f>
        <v>22</v>
      </c>
      <c r="B32" t="s">
        <v>154</v>
      </c>
      <c r="D32" s="111">
        <v>645</v>
      </c>
      <c r="E32" s="111">
        <f t="shared" ref="E32:E35" si="8">F32-D32</f>
        <v>-645</v>
      </c>
      <c r="F32" s="111">
        <v>0</v>
      </c>
      <c r="G32" s="111"/>
      <c r="H32" s="111"/>
      <c r="I32" s="106"/>
      <c r="J32" s="109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</row>
    <row r="33" spans="1:22">
      <c r="A33" s="92">
        <f>A32+1</f>
        <v>23</v>
      </c>
      <c r="B33" t="s">
        <v>155</v>
      </c>
      <c r="D33" s="111">
        <v>109</v>
      </c>
      <c r="E33" s="111">
        <f t="shared" si="8"/>
        <v>-109</v>
      </c>
      <c r="F33" s="111">
        <v>0</v>
      </c>
      <c r="G33" s="111"/>
      <c r="H33" s="111"/>
      <c r="I33" s="106"/>
      <c r="J33" s="109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</row>
    <row r="34" spans="1:22">
      <c r="A34" s="92">
        <f t="shared" ref="A34:A36" si="9">A33+1</f>
        <v>24</v>
      </c>
      <c r="B34" t="s">
        <v>156</v>
      </c>
      <c r="D34" s="111">
        <v>-5310</v>
      </c>
      <c r="E34" s="111">
        <f t="shared" si="8"/>
        <v>5310</v>
      </c>
      <c r="F34" s="111">
        <v>0</v>
      </c>
      <c r="G34" s="111"/>
      <c r="H34" s="111"/>
      <c r="I34" s="106"/>
      <c r="J34" s="109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</row>
    <row r="35" spans="1:22">
      <c r="A35" s="92">
        <f t="shared" si="9"/>
        <v>25</v>
      </c>
      <c r="B35" t="s">
        <v>157</v>
      </c>
      <c r="D35" s="111">
        <v>1</v>
      </c>
      <c r="E35" s="111">
        <f t="shared" si="8"/>
        <v>-1</v>
      </c>
      <c r="F35" s="111">
        <v>0</v>
      </c>
      <c r="G35" s="111"/>
      <c r="H35" s="111"/>
      <c r="I35" s="106"/>
      <c r="J35" s="109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</row>
    <row r="36" spans="1:22">
      <c r="A36" s="92">
        <f t="shared" si="9"/>
        <v>26</v>
      </c>
      <c r="B36" s="120" t="s">
        <v>158</v>
      </c>
      <c r="C36" s="120"/>
      <c r="D36" s="111">
        <v>86543</v>
      </c>
      <c r="E36" s="122">
        <f>F36-D36</f>
        <v>-86543</v>
      </c>
      <c r="F36" s="106">
        <v>0</v>
      </c>
      <c r="G36" s="106"/>
      <c r="H36" s="106">
        <v>152</v>
      </c>
      <c r="I36" s="117" t="s">
        <v>159</v>
      </c>
      <c r="J36" s="109">
        <f>SUM(K36:V36)/1000</f>
        <v>0</v>
      </c>
    </row>
    <row r="37" spans="1:22">
      <c r="A37" s="92">
        <f>A36+1</f>
        <v>27</v>
      </c>
      <c r="B37" t="s">
        <v>160</v>
      </c>
      <c r="D37" s="125">
        <f>SUM(D31:D36)</f>
        <v>82395</v>
      </c>
      <c r="E37" s="106">
        <f>F37-D37</f>
        <v>-81988</v>
      </c>
      <c r="F37" s="126">
        <f>SUM(F31:F36)</f>
        <v>407</v>
      </c>
      <c r="G37" s="106"/>
      <c r="H37" s="106"/>
      <c r="I37" s="106"/>
      <c r="J37" s="109">
        <f>SUM(K37:V37)/1000</f>
        <v>407.00000000000006</v>
      </c>
      <c r="K37" s="110">
        <f>SUM(K31:K36)</f>
        <v>33916.666666666664</v>
      </c>
      <c r="L37" s="110">
        <f t="shared" ref="L37:V37" si="10">SUM(L31:L36)</f>
        <v>33916.666666666664</v>
      </c>
      <c r="M37" s="110">
        <f t="shared" si="10"/>
        <v>33916.666666666664</v>
      </c>
      <c r="N37" s="110">
        <f t="shared" si="10"/>
        <v>33916.666666666664</v>
      </c>
      <c r="O37" s="110">
        <f t="shared" si="10"/>
        <v>33916.666666666664</v>
      </c>
      <c r="P37" s="110">
        <f t="shared" si="10"/>
        <v>33916.666666666664</v>
      </c>
      <c r="Q37" s="110">
        <f t="shared" si="10"/>
        <v>33916.666666666664</v>
      </c>
      <c r="R37" s="110">
        <f t="shared" si="10"/>
        <v>33916.666666666664</v>
      </c>
      <c r="S37" s="110">
        <f t="shared" si="10"/>
        <v>33916.666666666664</v>
      </c>
      <c r="T37" s="110">
        <f t="shared" si="10"/>
        <v>33916.666666666664</v>
      </c>
      <c r="U37" s="110">
        <f t="shared" si="10"/>
        <v>33916.666666666664</v>
      </c>
      <c r="V37" s="110">
        <f t="shared" si="10"/>
        <v>33916.666666666664</v>
      </c>
    </row>
    <row r="38" spans="1:22">
      <c r="A38" s="92"/>
      <c r="D38" s="106"/>
      <c r="E38" s="106"/>
      <c r="F38" s="106"/>
      <c r="G38" s="106"/>
      <c r="H38" s="106"/>
      <c r="I38" s="106"/>
      <c r="J38" s="109"/>
    </row>
    <row r="39" spans="1:22">
      <c r="A39" s="92"/>
      <c r="B39" s="103" t="s">
        <v>161</v>
      </c>
      <c r="D39" s="106"/>
      <c r="E39" s="106"/>
      <c r="F39" s="106"/>
      <c r="G39" s="106"/>
      <c r="H39" s="106">
        <v>78</v>
      </c>
      <c r="I39" s="106"/>
      <c r="J39" s="109"/>
    </row>
    <row r="40" spans="1:22">
      <c r="A40" s="92">
        <f>A37+1</f>
        <v>28</v>
      </c>
      <c r="B40" t="s">
        <v>162</v>
      </c>
      <c r="C40" s="127"/>
      <c r="D40" s="111">
        <v>6231</v>
      </c>
      <c r="E40" s="106">
        <f>F40-D40</f>
        <v>-677.41106355190914</v>
      </c>
      <c r="F40" s="111">
        <f>'[6]WGJ-4'!C27/1000</f>
        <v>5553.5889364480909</v>
      </c>
      <c r="G40" s="111"/>
      <c r="H40" s="121">
        <v>0</v>
      </c>
      <c r="I40" s="117" t="s">
        <v>127</v>
      </c>
      <c r="J40" s="109">
        <f>SUM(K40:V40)/1000</f>
        <v>5553.5889364480909</v>
      </c>
      <c r="K40" s="123">
        <f>'[6]WGJ-4'!D27</f>
        <v>585952.98461914004</v>
      </c>
      <c r="L40" s="123">
        <f>'[6]WGJ-4'!E27</f>
        <v>516232.07855224598</v>
      </c>
      <c r="M40" s="123">
        <f>'[6]WGJ-4'!F27</f>
        <v>479478.68461608799</v>
      </c>
      <c r="N40" s="123">
        <f>'[6]WGJ-4'!G27</f>
        <v>392351.48944854701</v>
      </c>
      <c r="O40" s="123">
        <f>'[6]WGJ-4'!H27</f>
        <v>279329.41436767497</v>
      </c>
      <c r="P40" s="123">
        <f>'[6]WGJ-4'!I27</f>
        <v>15743.600106239301</v>
      </c>
      <c r="Q40" s="123">
        <f>'[6]WGJ-4'!J27</f>
        <v>426713.43841552699</v>
      </c>
      <c r="R40" s="123">
        <f>'[6]WGJ-4'!K27</f>
        <v>553466.72782897891</v>
      </c>
      <c r="S40" s="123">
        <f>'[6]WGJ-4'!L27</f>
        <v>575436.82365417399</v>
      </c>
      <c r="T40" s="123">
        <f>'[6]WGJ-4'!M27</f>
        <v>574329.43382263102</v>
      </c>
      <c r="U40" s="123">
        <f>'[6]WGJ-4'!N27</f>
        <v>558587.00332641602</v>
      </c>
      <c r="V40" s="123">
        <f>'[6]WGJ-4'!O27</f>
        <v>595967.25769042911</v>
      </c>
    </row>
    <row r="41" spans="1:22">
      <c r="A41" s="92">
        <f>A40+1</f>
        <v>29</v>
      </c>
      <c r="B41" t="s">
        <v>163</v>
      </c>
      <c r="C41" s="127"/>
      <c r="D41" s="116">
        <v>14</v>
      </c>
      <c r="E41" s="106">
        <f>F41-D41</f>
        <v>0</v>
      </c>
      <c r="F41" s="106">
        <v>14</v>
      </c>
      <c r="G41" s="106"/>
      <c r="H41" s="106">
        <v>78</v>
      </c>
      <c r="I41" s="106"/>
      <c r="J41" s="109">
        <f>SUM(K41:V41)/1000</f>
        <v>13.999999999999998</v>
      </c>
      <c r="K41" s="107">
        <f>$F41/12*1000</f>
        <v>1166.6666666666667</v>
      </c>
      <c r="L41" s="107">
        <f t="shared" ref="L41:V41" si="11">$F41/12*1000</f>
        <v>1166.6666666666667</v>
      </c>
      <c r="M41" s="107">
        <f t="shared" si="11"/>
        <v>1166.6666666666667</v>
      </c>
      <c r="N41" s="107">
        <f t="shared" si="11"/>
        <v>1166.6666666666667</v>
      </c>
      <c r="O41" s="107">
        <f t="shared" si="11"/>
        <v>1166.6666666666667</v>
      </c>
      <c r="P41" s="107">
        <f t="shared" si="11"/>
        <v>1166.6666666666667</v>
      </c>
      <c r="Q41" s="107">
        <f t="shared" si="11"/>
        <v>1166.6666666666667</v>
      </c>
      <c r="R41" s="107">
        <f t="shared" si="11"/>
        <v>1166.6666666666667</v>
      </c>
      <c r="S41" s="107">
        <f t="shared" si="11"/>
        <v>1166.6666666666667</v>
      </c>
      <c r="T41" s="107">
        <f t="shared" si="11"/>
        <v>1166.6666666666667</v>
      </c>
      <c r="U41" s="107">
        <f t="shared" si="11"/>
        <v>1166.6666666666667</v>
      </c>
      <c r="V41" s="107">
        <f t="shared" si="11"/>
        <v>1166.6666666666667</v>
      </c>
    </row>
    <row r="42" spans="1:22">
      <c r="A42" s="92">
        <f>A41+1</f>
        <v>30</v>
      </c>
      <c r="B42" s="105" t="s">
        <v>164</v>
      </c>
      <c r="C42" s="93"/>
      <c r="D42" s="111">
        <v>22168</v>
      </c>
      <c r="E42" s="106">
        <f>F42-D42</f>
        <v>1241.5789221491505</v>
      </c>
      <c r="F42" s="111">
        <f>'[6]WGJ-4'!C23/1000</f>
        <v>23409.57892214915</v>
      </c>
      <c r="G42" s="111"/>
      <c r="H42" s="111"/>
      <c r="I42" s="117" t="s">
        <v>127</v>
      </c>
      <c r="J42" s="109">
        <f>SUM(K42:V42)/1000</f>
        <v>23409.57892214915</v>
      </c>
      <c r="K42" s="128">
        <f>'[6]WGJ-4'!D23</f>
        <v>2074525.7081883329</v>
      </c>
      <c r="L42" s="128">
        <f>'[6]WGJ-4'!E23</f>
        <v>1936111.6945164567</v>
      </c>
      <c r="M42" s="128">
        <f>'[6]WGJ-4'!F23</f>
        <v>2037191.1615269559</v>
      </c>
      <c r="N42" s="128">
        <f>'[6]WGJ-4'!G23</f>
        <v>1846530.3480046168</v>
      </c>
      <c r="O42" s="128">
        <f>'[6]WGJ-4'!H23</f>
        <v>1664850.9874241727</v>
      </c>
      <c r="P42" s="128">
        <f>'[6]WGJ-4'!I23</f>
        <v>1569174.5733158956</v>
      </c>
      <c r="Q42" s="128">
        <f>'[6]WGJ-4'!J23</f>
        <v>1991852.768506326</v>
      </c>
      <c r="R42" s="128">
        <f>'[6]WGJ-4'!K23</f>
        <v>2055938.9173405548</v>
      </c>
      <c r="S42" s="128">
        <f>'[6]WGJ-4'!L23</f>
        <v>2042240.5515568627</v>
      </c>
      <c r="T42" s="128">
        <f>'[6]WGJ-4'!M23</f>
        <v>2078655.6959050077</v>
      </c>
      <c r="U42" s="128">
        <f>'[6]WGJ-4'!N23</f>
        <v>2035459.0436833277</v>
      </c>
      <c r="V42" s="128">
        <f>'[6]WGJ-4'!O23</f>
        <v>2077047.4721806417</v>
      </c>
    </row>
    <row r="43" spans="1:22">
      <c r="A43" s="92">
        <f>A42+1</f>
        <v>31</v>
      </c>
      <c r="B43" s="120" t="s">
        <v>165</v>
      </c>
      <c r="C43" s="129"/>
      <c r="D43" s="130">
        <v>229</v>
      </c>
      <c r="E43" s="122">
        <f>F43-D43</f>
        <v>0</v>
      </c>
      <c r="F43" s="121">
        <v>229</v>
      </c>
      <c r="G43" s="106"/>
      <c r="H43" s="106"/>
      <c r="I43" s="106"/>
      <c r="J43" s="109">
        <f>SUM(K43:V43)/1000</f>
        <v>229.00000000000003</v>
      </c>
      <c r="K43" s="131">
        <f>$F43/12*1000</f>
        <v>19083.333333333332</v>
      </c>
      <c r="L43" s="131">
        <f t="shared" ref="L43:V43" si="12">$F43/12*1000</f>
        <v>19083.333333333332</v>
      </c>
      <c r="M43" s="131">
        <f t="shared" si="12"/>
        <v>19083.333333333332</v>
      </c>
      <c r="N43" s="131">
        <f t="shared" si="12"/>
        <v>19083.333333333332</v>
      </c>
      <c r="O43" s="131">
        <f t="shared" si="12"/>
        <v>19083.333333333332</v>
      </c>
      <c r="P43" s="131">
        <f t="shared" si="12"/>
        <v>19083.333333333332</v>
      </c>
      <c r="Q43" s="131">
        <f t="shared" si="12"/>
        <v>19083.333333333332</v>
      </c>
      <c r="R43" s="131">
        <f t="shared" si="12"/>
        <v>19083.333333333332</v>
      </c>
      <c r="S43" s="131">
        <f t="shared" si="12"/>
        <v>19083.333333333332</v>
      </c>
      <c r="T43" s="131">
        <f t="shared" si="12"/>
        <v>19083.333333333332</v>
      </c>
      <c r="U43" s="131">
        <f t="shared" si="12"/>
        <v>19083.333333333332</v>
      </c>
      <c r="V43" s="131">
        <f t="shared" si="12"/>
        <v>19083.333333333332</v>
      </c>
    </row>
    <row r="44" spans="1:22">
      <c r="A44" s="93">
        <f>A43+1</f>
        <v>32</v>
      </c>
      <c r="B44" t="s">
        <v>166</v>
      </c>
      <c r="D44" s="111">
        <f>SUM(D40:D43)</f>
        <v>28642</v>
      </c>
      <c r="E44" s="106">
        <f>F44-D44</f>
        <v>564.16785859724041</v>
      </c>
      <c r="F44" s="106">
        <f>SUM(F40:F43)</f>
        <v>29206.16785859724</v>
      </c>
      <c r="G44" s="106"/>
      <c r="H44" s="106">
        <v>8095.4688974966612</v>
      </c>
      <c r="I44" s="106"/>
      <c r="J44" s="109">
        <f>SUM(K44:V44)/1000</f>
        <v>29206.167858597248</v>
      </c>
      <c r="K44" s="123">
        <f>SUM(K40:K43)</f>
        <v>2680728.6928074728</v>
      </c>
      <c r="L44" s="123">
        <f t="shared" ref="L44:V44" si="13">SUM(L40:L43)</f>
        <v>2472593.7730687028</v>
      </c>
      <c r="M44" s="123">
        <f t="shared" si="13"/>
        <v>2536919.8461430441</v>
      </c>
      <c r="N44" s="123">
        <f t="shared" si="13"/>
        <v>2259131.8374531642</v>
      </c>
      <c r="O44" s="123">
        <f t="shared" si="13"/>
        <v>1964430.4017918475</v>
      </c>
      <c r="P44" s="123">
        <f t="shared" si="13"/>
        <v>1605168.1734221349</v>
      </c>
      <c r="Q44" s="123">
        <f t="shared" si="13"/>
        <v>2438816.2069218531</v>
      </c>
      <c r="R44" s="123">
        <f t="shared" si="13"/>
        <v>2629655.6451695338</v>
      </c>
      <c r="S44" s="123">
        <f t="shared" si="13"/>
        <v>2637927.3752110368</v>
      </c>
      <c r="T44" s="123">
        <f t="shared" si="13"/>
        <v>2673235.1297276388</v>
      </c>
      <c r="U44" s="123">
        <f t="shared" si="13"/>
        <v>2614296.0470097438</v>
      </c>
      <c r="V44" s="123">
        <f t="shared" si="13"/>
        <v>2693264.7298710709</v>
      </c>
    </row>
    <row r="45" spans="1:22">
      <c r="A45" s="92"/>
      <c r="D45" s="106"/>
      <c r="E45" s="106"/>
      <c r="F45" s="106"/>
      <c r="G45" s="106"/>
      <c r="H45" s="106">
        <v>0</v>
      </c>
      <c r="I45" s="106"/>
      <c r="J45" s="109"/>
    </row>
    <row r="46" spans="1:22">
      <c r="A46" s="92"/>
      <c r="B46" s="103" t="s">
        <v>167</v>
      </c>
      <c r="D46" s="106"/>
      <c r="E46" s="106"/>
      <c r="F46" s="106"/>
      <c r="G46" s="106"/>
      <c r="H46" s="106">
        <v>10682.990036010742</v>
      </c>
      <c r="I46" s="106"/>
      <c r="J46" s="109"/>
    </row>
    <row r="47" spans="1:22">
      <c r="A47" s="92">
        <f>A44+1</f>
        <v>33</v>
      </c>
      <c r="B47" s="132" t="s">
        <v>168</v>
      </c>
      <c r="D47" s="111">
        <v>42752</v>
      </c>
      <c r="E47" s="106">
        <f t="shared" ref="E47:E57" si="14">F47-D47</f>
        <v>-7261.7536253674625</v>
      </c>
      <c r="F47" s="111">
        <f>'[6]WGJ-4'!C31/1000</f>
        <v>35490.246374632537</v>
      </c>
      <c r="G47" s="111"/>
      <c r="H47" s="121">
        <v>188</v>
      </c>
      <c r="I47" s="117" t="s">
        <v>127</v>
      </c>
      <c r="J47" s="109">
        <f t="shared" ref="J47:J57" si="15">SUM(K47:V47)/1000</f>
        <v>35490.246374632537</v>
      </c>
      <c r="K47" s="123">
        <f>'[6]WGJ-4'!D31</f>
        <v>4490942.8955666926</v>
      </c>
      <c r="L47" s="123">
        <f>'[6]WGJ-4'!E31</f>
        <v>3737640.8581083007</v>
      </c>
      <c r="M47" s="123">
        <f>'[6]WGJ-4'!F31</f>
        <v>3254387.7231341302</v>
      </c>
      <c r="N47" s="123">
        <f>'[6]WGJ-4'!G31</f>
        <v>1902175.4371210088</v>
      </c>
      <c r="O47" s="123">
        <f>'[6]WGJ-4'!H31</f>
        <v>1106665.7203850066</v>
      </c>
      <c r="P47" s="123">
        <f>'[6]WGJ-4'!I31</f>
        <v>754297.05267189781</v>
      </c>
      <c r="Q47" s="123">
        <f>'[6]WGJ-4'!J31</f>
        <v>2299589.1299760477</v>
      </c>
      <c r="R47" s="123">
        <f>'[6]WGJ-4'!K31</f>
        <v>3158453.790913193</v>
      </c>
      <c r="S47" s="123">
        <f>'[6]WGJ-4'!L31</f>
        <v>3402317.6483097719</v>
      </c>
      <c r="T47" s="123">
        <f>'[6]WGJ-4'!M31</f>
        <v>3426780.7638494209</v>
      </c>
      <c r="U47" s="123">
        <f>'[6]WGJ-4'!N31</f>
        <v>3610165.0990818636</v>
      </c>
      <c r="V47" s="123">
        <f>'[6]WGJ-4'!O31</f>
        <v>4346830.2555151954</v>
      </c>
    </row>
    <row r="48" spans="1:22">
      <c r="A48" s="92">
        <f>A47+1</f>
        <v>34</v>
      </c>
      <c r="B48" s="132" t="s">
        <v>169</v>
      </c>
      <c r="D48" s="111">
        <v>6247</v>
      </c>
      <c r="E48" s="106">
        <f t="shared" si="14"/>
        <v>148</v>
      </c>
      <c r="F48" s="115">
        <v>6395</v>
      </c>
      <c r="G48" s="106"/>
      <c r="H48" s="106">
        <v>18966.458933507405</v>
      </c>
      <c r="I48" s="106"/>
      <c r="J48" s="109">
        <f t="shared" si="15"/>
        <v>6395.0000000000009</v>
      </c>
      <c r="K48" s="133">
        <f>$F48/12*1000</f>
        <v>532916.66666666663</v>
      </c>
      <c r="L48" s="133">
        <f t="shared" ref="L48:V48" si="16">$F48/12*1000</f>
        <v>532916.66666666663</v>
      </c>
      <c r="M48" s="133">
        <f t="shared" si="16"/>
        <v>532916.66666666663</v>
      </c>
      <c r="N48" s="133">
        <f t="shared" si="16"/>
        <v>532916.66666666663</v>
      </c>
      <c r="O48" s="133">
        <f t="shared" si="16"/>
        <v>532916.66666666663</v>
      </c>
      <c r="P48" s="133">
        <f t="shared" si="16"/>
        <v>532916.66666666663</v>
      </c>
      <c r="Q48" s="133">
        <f t="shared" si="16"/>
        <v>532916.66666666663</v>
      </c>
      <c r="R48" s="133">
        <f t="shared" si="16"/>
        <v>532916.66666666663</v>
      </c>
      <c r="S48" s="133">
        <f t="shared" si="16"/>
        <v>532916.66666666663</v>
      </c>
      <c r="T48" s="133">
        <f t="shared" si="16"/>
        <v>532916.66666666663</v>
      </c>
      <c r="U48" s="133">
        <f t="shared" si="16"/>
        <v>532916.66666666663</v>
      </c>
      <c r="V48" s="133">
        <f t="shared" si="16"/>
        <v>532916.66666666663</v>
      </c>
    </row>
    <row r="49" spans="1:22">
      <c r="A49" s="92">
        <f t="shared" ref="A49:A58" si="17">A48+1</f>
        <v>35</v>
      </c>
      <c r="B49" s="132" t="s">
        <v>170</v>
      </c>
      <c r="D49" s="111">
        <v>33676</v>
      </c>
      <c r="E49" s="106">
        <f t="shared" si="14"/>
        <v>-862.91600351184024</v>
      </c>
      <c r="F49" s="111">
        <f>'[6]WGJ-4'!C35/1000</f>
        <v>32813.08399648816</v>
      </c>
      <c r="G49" s="106"/>
      <c r="H49" s="106"/>
      <c r="I49" s="106"/>
      <c r="J49" s="109">
        <f t="shared" si="15"/>
        <v>32813.08399648816</v>
      </c>
      <c r="K49" s="133">
        <f>'[6]WGJ-4'!D35</f>
        <v>4154730.6344800671</v>
      </c>
      <c r="L49" s="133">
        <f>'[6]WGJ-4'!E35</f>
        <v>3427120.6191106047</v>
      </c>
      <c r="M49" s="133">
        <f>'[6]WGJ-4'!F35</f>
        <v>3115581.9329912183</v>
      </c>
      <c r="N49" s="133">
        <f>'[6]WGJ-4'!G35</f>
        <v>1855290.8062769857</v>
      </c>
      <c r="O49" s="133">
        <f>'[6]WGJ-4'!H35</f>
        <v>1023324.7939322065</v>
      </c>
      <c r="P49" s="133">
        <f>'[6]WGJ-4'!I35</f>
        <v>812929.06899446016</v>
      </c>
      <c r="Q49" s="133">
        <f>'[6]WGJ-4'!J35</f>
        <v>2025110.9227658138</v>
      </c>
      <c r="R49" s="133">
        <f>'[6]WGJ-4'!K35</f>
        <v>2762136.5510292966</v>
      </c>
      <c r="S49" s="133">
        <f>'[6]WGJ-4'!L35</f>
        <v>2979441.4598679291</v>
      </c>
      <c r="T49" s="133">
        <f>'[6]WGJ-4'!M35</f>
        <v>3231572.3880353705</v>
      </c>
      <c r="U49" s="133">
        <f>'[6]WGJ-4'!N35</f>
        <v>3401386.8078674534</v>
      </c>
      <c r="V49" s="133">
        <f>'[6]WGJ-4'!O35</f>
        <v>4024458.0111367572</v>
      </c>
    </row>
    <row r="50" spans="1:22">
      <c r="A50" s="92">
        <f t="shared" si="17"/>
        <v>36</v>
      </c>
      <c r="B50" s="132" t="s">
        <v>171</v>
      </c>
      <c r="D50" s="111">
        <v>5409</v>
      </c>
      <c r="E50" s="106">
        <f t="shared" si="14"/>
        <v>20</v>
      </c>
      <c r="F50" s="115">
        <v>5429</v>
      </c>
      <c r="G50" s="106"/>
      <c r="H50" s="106"/>
      <c r="I50" s="106"/>
      <c r="J50" s="109">
        <f t="shared" si="15"/>
        <v>5429</v>
      </c>
      <c r="K50" s="133">
        <f>$F50/12*1000</f>
        <v>452416.66666666669</v>
      </c>
      <c r="L50" s="133">
        <f t="shared" ref="L50:V50" si="18">$F50/12*1000</f>
        <v>452416.66666666669</v>
      </c>
      <c r="M50" s="133">
        <f t="shared" si="18"/>
        <v>452416.66666666669</v>
      </c>
      <c r="N50" s="133">
        <f t="shared" si="18"/>
        <v>452416.66666666669</v>
      </c>
      <c r="O50" s="133">
        <f t="shared" si="18"/>
        <v>452416.66666666669</v>
      </c>
      <c r="P50" s="133">
        <f t="shared" si="18"/>
        <v>452416.66666666669</v>
      </c>
      <c r="Q50" s="133">
        <f t="shared" si="18"/>
        <v>452416.66666666669</v>
      </c>
      <c r="R50" s="133">
        <f t="shared" si="18"/>
        <v>452416.66666666669</v>
      </c>
      <c r="S50" s="133">
        <f t="shared" si="18"/>
        <v>452416.66666666669</v>
      </c>
      <c r="T50" s="133">
        <f t="shared" si="18"/>
        <v>452416.66666666669</v>
      </c>
      <c r="U50" s="133">
        <f t="shared" si="18"/>
        <v>452416.66666666669</v>
      </c>
      <c r="V50" s="133">
        <f t="shared" si="18"/>
        <v>452416.66666666669</v>
      </c>
    </row>
    <row r="51" spans="1:22">
      <c r="A51" s="92">
        <f t="shared" si="17"/>
        <v>37</v>
      </c>
      <c r="B51" t="s">
        <v>172</v>
      </c>
      <c r="D51" s="111">
        <v>0</v>
      </c>
      <c r="E51" s="106">
        <f t="shared" si="14"/>
        <v>-861</v>
      </c>
      <c r="F51" s="112">
        <v>-861</v>
      </c>
      <c r="G51" s="106"/>
      <c r="H51" s="106"/>
      <c r="I51" s="106"/>
      <c r="J51" s="109">
        <f t="shared" si="15"/>
        <v>-860.87299999999993</v>
      </c>
      <c r="K51" s="133">
        <f>-860873/12</f>
        <v>-71739.416666666672</v>
      </c>
      <c r="L51" s="133">
        <f t="shared" ref="L51:V51" si="19">-860873/12</f>
        <v>-71739.416666666672</v>
      </c>
      <c r="M51" s="133">
        <f t="shared" si="19"/>
        <v>-71739.416666666672</v>
      </c>
      <c r="N51" s="133">
        <f t="shared" si="19"/>
        <v>-71739.416666666672</v>
      </c>
      <c r="O51" s="133">
        <f t="shared" si="19"/>
        <v>-71739.416666666672</v>
      </c>
      <c r="P51" s="133">
        <f t="shared" si="19"/>
        <v>-71739.416666666672</v>
      </c>
      <c r="Q51" s="133">
        <f t="shared" si="19"/>
        <v>-71739.416666666672</v>
      </c>
      <c r="R51" s="133">
        <f t="shared" si="19"/>
        <v>-71739.416666666672</v>
      </c>
      <c r="S51" s="133">
        <f t="shared" si="19"/>
        <v>-71739.416666666672</v>
      </c>
      <c r="T51" s="133">
        <f t="shared" si="19"/>
        <v>-71739.416666666672</v>
      </c>
      <c r="U51" s="133">
        <f t="shared" si="19"/>
        <v>-71739.416666666672</v>
      </c>
      <c r="V51" s="133">
        <f t="shared" si="19"/>
        <v>-71739.416666666672</v>
      </c>
    </row>
    <row r="52" spans="1:22">
      <c r="A52" s="92">
        <f t="shared" si="17"/>
        <v>38</v>
      </c>
      <c r="B52" t="s">
        <v>173</v>
      </c>
      <c r="D52" s="111">
        <v>0</v>
      </c>
      <c r="E52" s="106">
        <f t="shared" si="14"/>
        <v>-9000</v>
      </c>
      <c r="F52" s="111">
        <v>-9000</v>
      </c>
      <c r="G52" s="106"/>
      <c r="H52" s="106"/>
      <c r="I52" s="106"/>
      <c r="J52" s="109">
        <f t="shared" si="15"/>
        <v>-9000</v>
      </c>
      <c r="K52" s="133">
        <f>$F52*1000/12</f>
        <v>-750000</v>
      </c>
      <c r="L52" s="133">
        <f t="shared" ref="L52:V52" si="20">$F52*1000/12</f>
        <v>-750000</v>
      </c>
      <c r="M52" s="133">
        <f t="shared" si="20"/>
        <v>-750000</v>
      </c>
      <c r="N52" s="133">
        <f t="shared" si="20"/>
        <v>-750000</v>
      </c>
      <c r="O52" s="133">
        <f t="shared" si="20"/>
        <v>-750000</v>
      </c>
      <c r="P52" s="133">
        <f t="shared" si="20"/>
        <v>-750000</v>
      </c>
      <c r="Q52" s="133">
        <f t="shared" si="20"/>
        <v>-750000</v>
      </c>
      <c r="R52" s="133">
        <f t="shared" si="20"/>
        <v>-750000</v>
      </c>
      <c r="S52" s="133">
        <f t="shared" si="20"/>
        <v>-750000</v>
      </c>
      <c r="T52" s="133">
        <f t="shared" si="20"/>
        <v>-750000</v>
      </c>
      <c r="U52" s="133">
        <f t="shared" si="20"/>
        <v>-750000</v>
      </c>
      <c r="V52" s="133">
        <f t="shared" si="20"/>
        <v>-750000</v>
      </c>
    </row>
    <row r="53" spans="1:22">
      <c r="A53" s="92">
        <f t="shared" si="17"/>
        <v>39</v>
      </c>
      <c r="B53" t="s">
        <v>174</v>
      </c>
      <c r="D53" s="111">
        <v>53</v>
      </c>
      <c r="E53" s="106">
        <f t="shared" si="14"/>
        <v>0</v>
      </c>
      <c r="F53" s="124">
        <v>53</v>
      </c>
      <c r="G53" s="106"/>
      <c r="H53" s="106"/>
      <c r="I53" s="106"/>
      <c r="J53" s="109">
        <f t="shared" si="15"/>
        <v>52.999999999999993</v>
      </c>
      <c r="K53" s="134">
        <f>53000/12</f>
        <v>4416.666666666667</v>
      </c>
      <c r="L53" s="134">
        <f t="shared" ref="L53:V53" si="21">53000/12</f>
        <v>4416.666666666667</v>
      </c>
      <c r="M53" s="134">
        <f t="shared" si="21"/>
        <v>4416.666666666667</v>
      </c>
      <c r="N53" s="134">
        <f t="shared" si="21"/>
        <v>4416.666666666667</v>
      </c>
      <c r="O53" s="134">
        <f t="shared" si="21"/>
        <v>4416.666666666667</v>
      </c>
      <c r="P53" s="134">
        <f t="shared" si="21"/>
        <v>4416.666666666667</v>
      </c>
      <c r="Q53" s="134">
        <f t="shared" si="21"/>
        <v>4416.666666666667</v>
      </c>
      <c r="R53" s="134">
        <f t="shared" si="21"/>
        <v>4416.666666666667</v>
      </c>
      <c r="S53" s="134">
        <f t="shared" si="21"/>
        <v>4416.666666666667</v>
      </c>
      <c r="T53" s="134">
        <f t="shared" si="21"/>
        <v>4416.666666666667</v>
      </c>
      <c r="U53" s="134">
        <f t="shared" si="21"/>
        <v>4416.666666666667</v>
      </c>
      <c r="V53" s="134">
        <f t="shared" si="21"/>
        <v>4416.666666666667</v>
      </c>
    </row>
    <row r="54" spans="1:22">
      <c r="A54" s="92">
        <f t="shared" si="17"/>
        <v>40</v>
      </c>
      <c r="B54" s="105" t="s">
        <v>175</v>
      </c>
      <c r="C54" s="105"/>
      <c r="D54" s="111">
        <v>1832</v>
      </c>
      <c r="E54" s="106">
        <f t="shared" si="14"/>
        <v>-209.81196831669513</v>
      </c>
      <c r="F54" s="111">
        <f>'[6]WGJ-4'!C47/1000</f>
        <v>1622.1880316833049</v>
      </c>
      <c r="G54" s="111"/>
      <c r="H54" s="111"/>
      <c r="I54" s="117" t="s">
        <v>127</v>
      </c>
      <c r="J54" s="109">
        <f t="shared" si="15"/>
        <v>1622.1880316833049</v>
      </c>
      <c r="K54" s="123">
        <f>'[6]WGJ-4'!D47</f>
        <v>190919.44356260297</v>
      </c>
      <c r="L54" s="123">
        <f>'[6]WGJ-4'!E47</f>
        <v>151972.51939859384</v>
      </c>
      <c r="M54" s="123">
        <f>'[6]WGJ-4'!F47</f>
        <v>400.51750020980722</v>
      </c>
      <c r="N54" s="123">
        <f>'[6]WGJ-4'!G47</f>
        <v>0</v>
      </c>
      <c r="O54" s="123">
        <f>'[6]WGJ-4'!H47</f>
        <v>185.90781764984121</v>
      </c>
      <c r="P54" s="123">
        <f>'[6]WGJ-4'!I47</f>
        <v>39288.355364674288</v>
      </c>
      <c r="Q54" s="123">
        <f>'[6]WGJ-4'!J47</f>
        <v>243127.18568071007</v>
      </c>
      <c r="R54" s="123">
        <f>'[6]WGJ-4'!K47</f>
        <v>446889.32261028216</v>
      </c>
      <c r="S54" s="123">
        <f>'[6]WGJ-4'!L47</f>
        <v>213999.71307141715</v>
      </c>
      <c r="T54" s="123">
        <f>'[6]WGJ-4'!M47</f>
        <v>48421.902417540463</v>
      </c>
      <c r="U54" s="123">
        <f>'[6]WGJ-4'!N47</f>
        <v>104505.79675500379</v>
      </c>
      <c r="V54" s="123">
        <f>'[6]WGJ-4'!O47</f>
        <v>182477.36750462043</v>
      </c>
    </row>
    <row r="55" spans="1:22">
      <c r="A55" s="92">
        <f t="shared" si="17"/>
        <v>41</v>
      </c>
      <c r="B55" t="s">
        <v>176</v>
      </c>
      <c r="D55" s="111">
        <v>50</v>
      </c>
      <c r="E55" s="106">
        <f t="shared" si="14"/>
        <v>26.216144836321277</v>
      </c>
      <c r="F55" s="111">
        <f>'[6]WGJ-4'!C51/1000</f>
        <v>76.216144836321277</v>
      </c>
      <c r="G55" s="111"/>
      <c r="H55" s="111"/>
      <c r="I55" s="117" t="s">
        <v>127</v>
      </c>
      <c r="J55" s="109">
        <f t="shared" si="15"/>
        <v>76.216144836321277</v>
      </c>
      <c r="K55" s="123">
        <f>'[6]WGJ-4'!D51</f>
        <v>15139.964365959158</v>
      </c>
      <c r="L55" s="123">
        <f>'[6]WGJ-4'!E51</f>
        <v>8806.7804813384992</v>
      </c>
      <c r="M55" s="123">
        <f>'[6]WGJ-4'!F51</f>
        <v>0</v>
      </c>
      <c r="N55" s="123">
        <f>'[6]WGJ-4'!G51</f>
        <v>0</v>
      </c>
      <c r="O55" s="123">
        <f>'[6]WGJ-4'!H51</f>
        <v>0</v>
      </c>
      <c r="P55" s="123">
        <f>'[6]WGJ-4'!I51</f>
        <v>3456.7372798919596</v>
      </c>
      <c r="Q55" s="123">
        <f>'[6]WGJ-4'!J51</f>
        <v>10681.998816505069</v>
      </c>
      <c r="R55" s="123">
        <f>'[6]WGJ-4'!K51</f>
        <v>21802.160653471801</v>
      </c>
      <c r="S55" s="123">
        <f>'[6]WGJ-4'!L51</f>
        <v>8832.8393861651293</v>
      </c>
      <c r="T55" s="123">
        <f>'[6]WGJ-4'!M51</f>
        <v>802.22812294959999</v>
      </c>
      <c r="U55" s="123">
        <f>'[6]WGJ-4'!N51</f>
        <v>1822.9186981916419</v>
      </c>
      <c r="V55" s="123">
        <f>'[6]WGJ-4'!O51</f>
        <v>4870.5170318484206</v>
      </c>
    </row>
    <row r="56" spans="1:22">
      <c r="A56" s="92">
        <f t="shared" si="17"/>
        <v>42</v>
      </c>
      <c r="B56" t="s">
        <v>177</v>
      </c>
      <c r="D56" s="111">
        <v>613</v>
      </c>
      <c r="E56" s="106">
        <f t="shared" si="14"/>
        <v>203.800949797405</v>
      </c>
      <c r="F56" s="111">
        <f>'[6]WGJ-4'!C39/1000</f>
        <v>816.800949797405</v>
      </c>
      <c r="G56" s="111"/>
      <c r="H56" s="111">
        <v>59394.366704579188</v>
      </c>
      <c r="I56" s="117" t="s">
        <v>127</v>
      </c>
      <c r="J56" s="109">
        <f t="shared" si="15"/>
        <v>816.800949797405</v>
      </c>
      <c r="K56" s="123">
        <f>'[6]WGJ-4'!D39</f>
        <v>110522.640800476</v>
      </c>
      <c r="L56" s="123">
        <f>'[6]WGJ-4'!E39</f>
        <v>78962.620574235902</v>
      </c>
      <c r="M56" s="123">
        <f>'[6]WGJ-4'!F39</f>
        <v>25176.299937814398</v>
      </c>
      <c r="N56" s="123">
        <f>'[6]WGJ-4'!G39</f>
        <v>13970.815948024301</v>
      </c>
      <c r="O56" s="123">
        <f>'[6]WGJ-4'!H39</f>
        <v>4900.2626761793999</v>
      </c>
      <c r="P56" s="123">
        <f>'[6]WGJ-4'!I39</f>
        <v>16599.979019909999</v>
      </c>
      <c r="Q56" s="123">
        <f>'[6]WGJ-4'!J39</f>
        <v>103918.32976341201</v>
      </c>
      <c r="R56" s="123">
        <f>'[6]WGJ-4'!K39</f>
        <v>130244.46487426701</v>
      </c>
      <c r="S56" s="123">
        <f>'[6]WGJ-4'!L39</f>
        <v>98703.137814998598</v>
      </c>
      <c r="T56" s="123">
        <f>'[6]WGJ-4'!M39</f>
        <v>47283.614324033202</v>
      </c>
      <c r="U56" s="123">
        <f>'[6]WGJ-4'!N39</f>
        <v>79635.4097604751</v>
      </c>
      <c r="V56" s="123">
        <f>'[6]WGJ-4'!O39</f>
        <v>106883.37430357901</v>
      </c>
    </row>
    <row r="57" spans="1:22">
      <c r="A57" s="92">
        <f t="shared" si="17"/>
        <v>43</v>
      </c>
      <c r="B57" s="135" t="s">
        <v>178</v>
      </c>
      <c r="C57" s="120"/>
      <c r="D57" s="121">
        <v>156</v>
      </c>
      <c r="E57" s="122">
        <f t="shared" si="14"/>
        <v>74.999268003738905</v>
      </c>
      <c r="F57" s="121">
        <f>'[6]WGJ-4'!C43/1000</f>
        <v>230.99926800373891</v>
      </c>
      <c r="G57" s="111"/>
      <c r="H57" s="111">
        <v>6240</v>
      </c>
      <c r="I57" s="117" t="s">
        <v>127</v>
      </c>
      <c r="J57" s="136">
        <f t="shared" si="15"/>
        <v>230.99926800373891</v>
      </c>
      <c r="K57" s="137">
        <f>'[6]WGJ-4'!D43</f>
        <v>24025.863613188201</v>
      </c>
      <c r="L57" s="137">
        <f>'[6]WGJ-4'!E43</f>
        <v>19114.1430534422</v>
      </c>
      <c r="M57" s="137">
        <f>'[6]WGJ-4'!F43</f>
        <v>1023.6696287989599</v>
      </c>
      <c r="N57" s="137">
        <f>'[6]WGJ-4'!G43</f>
        <v>625.74037406593493</v>
      </c>
      <c r="O57" s="137">
        <f>'[6]WGJ-4'!H43</f>
        <v>781.78769368678297</v>
      </c>
      <c r="P57" s="137">
        <f>'[6]WGJ-4'!I43</f>
        <v>5994.3498734384693</v>
      </c>
      <c r="Q57" s="137">
        <f>'[6]WGJ-4'!J43</f>
        <v>30054.843801818697</v>
      </c>
      <c r="R57" s="137">
        <f>'[6]WGJ-4'!K43</f>
        <v>49501.919382810498</v>
      </c>
      <c r="S57" s="137">
        <f>'[6]WGJ-4'!L43</f>
        <v>34598.216171562599</v>
      </c>
      <c r="T57" s="137">
        <f>'[6]WGJ-4'!M43</f>
        <v>14228.0048798769</v>
      </c>
      <c r="U57" s="137">
        <f>'[6]WGJ-4'!N43</f>
        <v>20326.053287088802</v>
      </c>
      <c r="V57" s="137">
        <f>'[6]WGJ-4'!O43</f>
        <v>30724.676243960799</v>
      </c>
    </row>
    <row r="58" spans="1:22">
      <c r="A58" s="92">
        <f t="shared" si="17"/>
        <v>44</v>
      </c>
      <c r="B58" t="s">
        <v>179</v>
      </c>
      <c r="D58" s="111">
        <f>SUM(D47:D57)</f>
        <v>90788</v>
      </c>
      <c r="E58" s="106">
        <f>F58-D58</f>
        <v>-17722.465234558535</v>
      </c>
      <c r="F58" s="106">
        <f>SUM(F47:F57)</f>
        <v>73065.534765441465</v>
      </c>
      <c r="G58" s="106"/>
      <c r="H58" s="106">
        <v>0.11360950271288535</v>
      </c>
      <c r="I58" s="106"/>
      <c r="J58" s="109">
        <f t="shared" ref="J58:V58" si="22">SUM(J47:J57)</f>
        <v>73065.661765441444</v>
      </c>
      <c r="K58" s="123">
        <f t="shared" si="22"/>
        <v>9154292.0257223193</v>
      </c>
      <c r="L58" s="123">
        <f t="shared" si="22"/>
        <v>7591628.1240598504</v>
      </c>
      <c r="M58" s="123">
        <f t="shared" si="22"/>
        <v>6564580.7265255051</v>
      </c>
      <c r="N58" s="123">
        <f t="shared" si="22"/>
        <v>3940073.3830534178</v>
      </c>
      <c r="O58" s="123">
        <f t="shared" si="22"/>
        <v>2303869.055838062</v>
      </c>
      <c r="P58" s="123">
        <f t="shared" si="22"/>
        <v>1800576.1265376064</v>
      </c>
      <c r="Q58" s="123">
        <f t="shared" si="22"/>
        <v>4880492.994137641</v>
      </c>
      <c r="R58" s="123">
        <f t="shared" si="22"/>
        <v>6737038.7927966546</v>
      </c>
      <c r="S58" s="123">
        <f t="shared" si="22"/>
        <v>6905903.5979551775</v>
      </c>
      <c r="T58" s="123">
        <f t="shared" si="22"/>
        <v>6937099.4849625258</v>
      </c>
      <c r="U58" s="123">
        <f t="shared" si="22"/>
        <v>7385852.6687834095</v>
      </c>
      <c r="V58" s="123">
        <f t="shared" si="22"/>
        <v>8864254.7850692943</v>
      </c>
    </row>
    <row r="59" spans="1:22">
      <c r="A59" s="92"/>
      <c r="D59" s="106"/>
      <c r="E59" s="106"/>
      <c r="F59" s="106"/>
      <c r="G59" s="106"/>
      <c r="H59" s="106">
        <v>3237.8010523088278</v>
      </c>
      <c r="I59" s="106"/>
      <c r="J59" s="109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</row>
    <row r="60" spans="1:22">
      <c r="A60" s="92"/>
      <c r="D60" s="106"/>
      <c r="E60" s="106"/>
      <c r="F60" s="106"/>
      <c r="G60" s="106"/>
      <c r="H60" s="106"/>
      <c r="I60" s="106"/>
      <c r="J60" s="109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</row>
    <row r="61" spans="1:22">
      <c r="A61" s="92"/>
      <c r="D61" s="106"/>
      <c r="E61" s="106"/>
      <c r="F61" s="106"/>
      <c r="G61" s="106"/>
      <c r="H61" s="106"/>
      <c r="I61" s="106"/>
      <c r="J61" s="109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</row>
    <row r="62" spans="1:22">
      <c r="A62" s="92"/>
      <c r="D62" s="106"/>
      <c r="E62" s="106"/>
      <c r="F62" s="106"/>
      <c r="G62" s="106"/>
      <c r="H62" s="106">
        <v>592.63582339628294</v>
      </c>
      <c r="I62" s="106"/>
      <c r="J62" s="109"/>
    </row>
    <row r="63" spans="1:22">
      <c r="A63" s="92"/>
      <c r="B63" s="103" t="s">
        <v>180</v>
      </c>
      <c r="D63" s="106"/>
      <c r="E63" s="106" t="s">
        <v>0</v>
      </c>
      <c r="F63" s="106"/>
      <c r="G63" s="106"/>
      <c r="H63" s="122">
        <v>480</v>
      </c>
      <c r="I63" s="106"/>
      <c r="J63" s="109"/>
    </row>
    <row r="64" spans="1:22">
      <c r="A64" s="92">
        <f>A58+1</f>
        <v>45</v>
      </c>
      <c r="B64" t="s">
        <v>139</v>
      </c>
      <c r="C64" s="105"/>
      <c r="D64" s="111">
        <v>894</v>
      </c>
      <c r="E64" s="106">
        <f t="shared" ref="E64:E72" si="23">F64-D64</f>
        <v>49</v>
      </c>
      <c r="F64" s="111">
        <v>943</v>
      </c>
      <c r="G64" s="106"/>
      <c r="H64" s="106">
        <v>70026.232758276092</v>
      </c>
      <c r="I64" s="106"/>
      <c r="J64" s="109">
        <f t="shared" ref="J64:J73" si="24">SUM(K64:V64)/1000</f>
        <v>943.00000000000011</v>
      </c>
      <c r="K64" s="110">
        <f>$F64*1000/12</f>
        <v>78583.333333333328</v>
      </c>
      <c r="L64" s="110">
        <f t="shared" ref="L64:V65" si="25">$F64*1000/12</f>
        <v>78583.333333333328</v>
      </c>
      <c r="M64" s="110">
        <f t="shared" si="25"/>
        <v>78583.333333333328</v>
      </c>
      <c r="N64" s="110">
        <f t="shared" si="25"/>
        <v>78583.333333333328</v>
      </c>
      <c r="O64" s="110">
        <f t="shared" si="25"/>
        <v>78583.333333333328</v>
      </c>
      <c r="P64" s="110">
        <f t="shared" si="25"/>
        <v>78583.333333333328</v>
      </c>
      <c r="Q64" s="110">
        <f t="shared" si="25"/>
        <v>78583.333333333328</v>
      </c>
      <c r="R64" s="110">
        <f t="shared" si="25"/>
        <v>78583.333333333328</v>
      </c>
      <c r="S64" s="110">
        <f t="shared" si="25"/>
        <v>78583.333333333328</v>
      </c>
      <c r="T64" s="110">
        <f t="shared" si="25"/>
        <v>78583.333333333328</v>
      </c>
      <c r="U64" s="110">
        <f t="shared" si="25"/>
        <v>78583.333333333328</v>
      </c>
      <c r="V64" s="110">
        <f t="shared" si="25"/>
        <v>78583.333333333328</v>
      </c>
    </row>
    <row r="65" spans="1:22">
      <c r="A65" s="92">
        <f>A64+1</f>
        <v>46</v>
      </c>
      <c r="B65" t="s">
        <v>181</v>
      </c>
      <c r="D65" s="111">
        <f>136+2</f>
        <v>138</v>
      </c>
      <c r="E65" s="106">
        <f t="shared" si="23"/>
        <v>0</v>
      </c>
      <c r="F65" s="111">
        <v>138</v>
      </c>
      <c r="G65" s="106"/>
      <c r="H65" s="106"/>
      <c r="I65" s="106"/>
      <c r="J65" s="109">
        <f t="shared" si="24"/>
        <v>138</v>
      </c>
      <c r="K65" s="110">
        <f>$F65*1000/12</f>
        <v>11500</v>
      </c>
      <c r="L65" s="110">
        <f t="shared" si="25"/>
        <v>11500</v>
      </c>
      <c r="M65" s="110">
        <f t="shared" si="25"/>
        <v>11500</v>
      </c>
      <c r="N65" s="110">
        <f t="shared" si="25"/>
        <v>11500</v>
      </c>
      <c r="O65" s="110">
        <f t="shared" si="25"/>
        <v>11500</v>
      </c>
      <c r="P65" s="110">
        <f t="shared" si="25"/>
        <v>11500</v>
      </c>
      <c r="Q65" s="110">
        <f t="shared" si="25"/>
        <v>11500</v>
      </c>
      <c r="R65" s="110">
        <f t="shared" si="25"/>
        <v>11500</v>
      </c>
      <c r="S65" s="110">
        <f t="shared" si="25"/>
        <v>11500</v>
      </c>
      <c r="T65" s="110">
        <f t="shared" si="25"/>
        <v>11500</v>
      </c>
      <c r="U65" s="110">
        <f t="shared" si="25"/>
        <v>11500</v>
      </c>
      <c r="V65" s="110">
        <f t="shared" si="25"/>
        <v>11500</v>
      </c>
    </row>
    <row r="66" spans="1:22">
      <c r="A66" s="92">
        <f t="shared" ref="A66:A73" si="26">A65+1</f>
        <v>47</v>
      </c>
      <c r="B66" t="s">
        <v>182</v>
      </c>
      <c r="D66" s="111">
        <v>12067</v>
      </c>
      <c r="E66" s="106">
        <f t="shared" si="23"/>
        <v>151</v>
      </c>
      <c r="F66" s="115">
        <v>12218</v>
      </c>
      <c r="G66" s="111"/>
      <c r="H66" s="111">
        <v>772</v>
      </c>
      <c r="I66" s="138"/>
      <c r="J66" s="109">
        <f t="shared" si="24"/>
        <v>12217.68</v>
      </c>
      <c r="K66" s="110">
        <v>1016720</v>
      </c>
      <c r="L66" s="110">
        <v>1016720</v>
      </c>
      <c r="M66" s="110">
        <v>1016720</v>
      </c>
      <c r="N66" s="110">
        <v>1016720</v>
      </c>
      <c r="O66" s="110">
        <v>1016720</v>
      </c>
      <c r="P66" s="110">
        <v>1016720</v>
      </c>
      <c r="Q66" s="110">
        <v>1016720</v>
      </c>
      <c r="R66" s="110">
        <v>1016720</v>
      </c>
      <c r="S66" s="110">
        <v>1016720</v>
      </c>
      <c r="T66" s="110">
        <v>1022400</v>
      </c>
      <c r="U66" s="110">
        <v>1022400</v>
      </c>
      <c r="V66" s="110">
        <v>1022400</v>
      </c>
    </row>
    <row r="67" spans="1:22">
      <c r="A67" s="92">
        <f t="shared" si="26"/>
        <v>48</v>
      </c>
      <c r="B67" t="s">
        <v>183</v>
      </c>
      <c r="D67" s="111">
        <v>1501</v>
      </c>
      <c r="E67" s="106">
        <f t="shared" si="23"/>
        <v>7</v>
      </c>
      <c r="F67" s="115">
        <v>1508</v>
      </c>
      <c r="G67" s="106" t="s">
        <v>184</v>
      </c>
      <c r="H67" s="106">
        <v>49</v>
      </c>
      <c r="I67" s="106"/>
      <c r="J67" s="109">
        <f t="shared" si="24"/>
        <v>1507.7159999999999</v>
      </c>
      <c r="K67" s="110">
        <v>125643</v>
      </c>
      <c r="L67" s="110">
        <v>125643</v>
      </c>
      <c r="M67" s="110">
        <v>125643</v>
      </c>
      <c r="N67" s="110">
        <v>125643</v>
      </c>
      <c r="O67" s="110">
        <v>125643</v>
      </c>
      <c r="P67" s="110">
        <v>125643</v>
      </c>
      <c r="Q67" s="110">
        <v>125643</v>
      </c>
      <c r="R67" s="110">
        <v>125643</v>
      </c>
      <c r="S67" s="110">
        <v>125643</v>
      </c>
      <c r="T67" s="110">
        <v>125643</v>
      </c>
      <c r="U67" s="110">
        <v>125643</v>
      </c>
      <c r="V67" s="110">
        <v>125643</v>
      </c>
    </row>
    <row r="68" spans="1:22">
      <c r="A68" s="92">
        <f t="shared" si="26"/>
        <v>49</v>
      </c>
      <c r="B68" t="s">
        <v>185</v>
      </c>
      <c r="D68" s="111">
        <v>1373</v>
      </c>
      <c r="E68" s="106">
        <f t="shared" si="23"/>
        <v>30</v>
      </c>
      <c r="F68" s="115">
        <v>1403</v>
      </c>
      <c r="G68" s="117"/>
      <c r="H68" s="106">
        <v>348</v>
      </c>
      <c r="I68" s="106"/>
      <c r="J68" s="109">
        <f t="shared" si="24"/>
        <v>1402.9346752000001</v>
      </c>
      <c r="K68" s="110">
        <v>152421.69840000002</v>
      </c>
      <c r="L68" s="110">
        <v>133564.00443200002</v>
      </c>
      <c r="M68" s="110">
        <v>121321.00700800002</v>
      </c>
      <c r="N68" s="110">
        <v>127511.46372000001</v>
      </c>
      <c r="O68" s="110">
        <v>111882.20964</v>
      </c>
      <c r="P68" s="110">
        <v>83672.462360000005</v>
      </c>
      <c r="Q68" s="110">
        <v>132712.63364000001</v>
      </c>
      <c r="R68" s="110">
        <v>127312.81360000001</v>
      </c>
      <c r="S68" s="110">
        <v>108514.70956000002</v>
      </c>
      <c r="T68" s="110">
        <v>79664.010439999998</v>
      </c>
      <c r="U68" s="110">
        <v>86352.80363200001</v>
      </c>
      <c r="V68" s="110">
        <v>138004.85876799998</v>
      </c>
    </row>
    <row r="69" spans="1:22">
      <c r="A69" s="92">
        <f t="shared" si="26"/>
        <v>50</v>
      </c>
      <c r="B69" t="s">
        <v>186</v>
      </c>
      <c r="D69" s="111">
        <v>45</v>
      </c>
      <c r="E69" s="106">
        <f t="shared" si="23"/>
        <v>0</v>
      </c>
      <c r="F69" s="111">
        <v>45</v>
      </c>
      <c r="G69" s="106"/>
      <c r="H69" s="106">
        <v>8315</v>
      </c>
      <c r="I69" s="106"/>
      <c r="J69" s="109">
        <f t="shared" si="24"/>
        <v>45.222000000000001</v>
      </c>
      <c r="K69" s="110">
        <v>3768.5</v>
      </c>
      <c r="L69" s="110">
        <v>3768.5</v>
      </c>
      <c r="M69" s="110">
        <v>3768.5</v>
      </c>
      <c r="N69" s="110">
        <v>3768.5</v>
      </c>
      <c r="O69" s="110">
        <v>3768.5</v>
      </c>
      <c r="P69" s="110">
        <v>3768.5</v>
      </c>
      <c r="Q69" s="110">
        <v>3768.5</v>
      </c>
      <c r="R69" s="110">
        <v>3768.5</v>
      </c>
      <c r="S69" s="110">
        <v>3768.5</v>
      </c>
      <c r="T69" s="110">
        <v>3768.5</v>
      </c>
      <c r="U69" s="110">
        <v>3768.5</v>
      </c>
      <c r="V69" s="110">
        <v>3768.5</v>
      </c>
    </row>
    <row r="70" spans="1:22">
      <c r="A70" s="92">
        <f t="shared" si="26"/>
        <v>51</v>
      </c>
      <c r="B70" t="s">
        <v>187</v>
      </c>
      <c r="D70" s="111">
        <v>135</v>
      </c>
      <c r="E70" s="106">
        <f t="shared" si="23"/>
        <v>5</v>
      </c>
      <c r="F70" s="111">
        <v>140</v>
      </c>
      <c r="G70" s="106"/>
      <c r="H70" s="106">
        <v>1245</v>
      </c>
      <c r="I70" s="106"/>
      <c r="J70" s="109">
        <f t="shared" si="24"/>
        <v>140.00000000000003</v>
      </c>
      <c r="K70" s="110">
        <f>$F70*1000/12</f>
        <v>11666.666666666666</v>
      </c>
      <c r="L70" s="110">
        <f t="shared" ref="L70:V70" si="27">$F70*1000/12</f>
        <v>11666.666666666666</v>
      </c>
      <c r="M70" s="110">
        <f t="shared" si="27"/>
        <v>11666.666666666666</v>
      </c>
      <c r="N70" s="110">
        <f t="shared" si="27"/>
        <v>11666.666666666666</v>
      </c>
      <c r="O70" s="110">
        <f t="shared" si="27"/>
        <v>11666.666666666666</v>
      </c>
      <c r="P70" s="110">
        <f t="shared" si="27"/>
        <v>11666.666666666666</v>
      </c>
      <c r="Q70" s="110">
        <f t="shared" si="27"/>
        <v>11666.666666666666</v>
      </c>
      <c r="R70" s="110">
        <f t="shared" si="27"/>
        <v>11666.666666666666</v>
      </c>
      <c r="S70" s="110">
        <f t="shared" si="27"/>
        <v>11666.666666666666</v>
      </c>
      <c r="T70" s="110">
        <f t="shared" si="27"/>
        <v>11666.666666666666</v>
      </c>
      <c r="U70" s="110">
        <f t="shared" si="27"/>
        <v>11666.666666666666</v>
      </c>
      <c r="V70" s="110">
        <f t="shared" si="27"/>
        <v>11666.666666666666</v>
      </c>
    </row>
    <row r="71" spans="1:22">
      <c r="A71" s="92">
        <f t="shared" si="26"/>
        <v>52</v>
      </c>
      <c r="B71" t="s">
        <v>188</v>
      </c>
      <c r="C71" s="105"/>
      <c r="D71" s="111">
        <v>558</v>
      </c>
      <c r="E71" s="106">
        <f t="shared" si="23"/>
        <v>0</v>
      </c>
      <c r="F71" s="111">
        <v>558</v>
      </c>
      <c r="G71" s="117"/>
      <c r="H71" s="106">
        <v>1689</v>
      </c>
      <c r="I71" s="106"/>
      <c r="J71" s="109">
        <f t="shared" si="24"/>
        <v>558</v>
      </c>
      <c r="K71" s="110">
        <f>558000/12</f>
        <v>46500</v>
      </c>
      <c r="L71" s="110">
        <f t="shared" ref="L71:V71" si="28">558000/12</f>
        <v>46500</v>
      </c>
      <c r="M71" s="110">
        <f t="shared" si="28"/>
        <v>46500</v>
      </c>
      <c r="N71" s="110">
        <f t="shared" si="28"/>
        <v>46500</v>
      </c>
      <c r="O71" s="110">
        <f t="shared" si="28"/>
        <v>46500</v>
      </c>
      <c r="P71" s="110">
        <f t="shared" si="28"/>
        <v>46500</v>
      </c>
      <c r="Q71" s="110">
        <f t="shared" si="28"/>
        <v>46500</v>
      </c>
      <c r="R71" s="110">
        <f t="shared" si="28"/>
        <v>46500</v>
      </c>
      <c r="S71" s="110">
        <f t="shared" si="28"/>
        <v>46500</v>
      </c>
      <c r="T71" s="110">
        <f t="shared" si="28"/>
        <v>46500</v>
      </c>
      <c r="U71" s="110">
        <f t="shared" si="28"/>
        <v>46500</v>
      </c>
      <c r="V71" s="110">
        <f t="shared" si="28"/>
        <v>46500</v>
      </c>
    </row>
    <row r="72" spans="1:22">
      <c r="A72" s="92">
        <f t="shared" si="26"/>
        <v>53</v>
      </c>
      <c r="B72" s="120" t="s">
        <v>189</v>
      </c>
      <c r="C72" s="120"/>
      <c r="D72" s="121">
        <v>643</v>
      </c>
      <c r="E72" s="122">
        <f t="shared" si="23"/>
        <v>0</v>
      </c>
      <c r="F72" s="121">
        <v>643</v>
      </c>
      <c r="G72" s="106"/>
      <c r="H72" s="106">
        <v>32.112000000000002</v>
      </c>
      <c r="I72" s="106"/>
      <c r="J72" s="136">
        <f t="shared" si="24"/>
        <v>642.58799999999997</v>
      </c>
      <c r="K72" s="139">
        <v>53549</v>
      </c>
      <c r="L72" s="139">
        <v>53549</v>
      </c>
      <c r="M72" s="139">
        <v>53549</v>
      </c>
      <c r="N72" s="139">
        <v>53549</v>
      </c>
      <c r="O72" s="139">
        <v>53549</v>
      </c>
      <c r="P72" s="139">
        <v>53549</v>
      </c>
      <c r="Q72" s="139">
        <v>53549</v>
      </c>
      <c r="R72" s="139">
        <v>53549</v>
      </c>
      <c r="S72" s="139">
        <v>53549</v>
      </c>
      <c r="T72" s="139">
        <v>53549</v>
      </c>
      <c r="U72" s="139">
        <v>53549</v>
      </c>
      <c r="V72" s="139">
        <v>53549</v>
      </c>
    </row>
    <row r="73" spans="1:22">
      <c r="A73" s="92">
        <f t="shared" si="26"/>
        <v>54</v>
      </c>
      <c r="B73" t="s">
        <v>190</v>
      </c>
      <c r="D73" s="111">
        <f>SUM(D64:D72)</f>
        <v>17354</v>
      </c>
      <c r="E73" s="106">
        <f>F73-D73</f>
        <v>242</v>
      </c>
      <c r="F73" s="106">
        <f>SUM(F64:F72)</f>
        <v>17596</v>
      </c>
      <c r="G73" s="106"/>
      <c r="H73" s="106">
        <v>214</v>
      </c>
      <c r="I73" s="106"/>
      <c r="J73" s="109">
        <f t="shared" si="24"/>
        <v>17595.1406752</v>
      </c>
      <c r="K73" s="123">
        <f t="shared" ref="K73:V73" si="29">SUM(K64:K72)</f>
        <v>1500352.1984000001</v>
      </c>
      <c r="L73" s="123">
        <f t="shared" si="29"/>
        <v>1481494.504432</v>
      </c>
      <c r="M73" s="123">
        <f t="shared" si="29"/>
        <v>1469251.507008</v>
      </c>
      <c r="N73" s="123">
        <f t="shared" si="29"/>
        <v>1475441.9637200001</v>
      </c>
      <c r="O73" s="123">
        <f t="shared" si="29"/>
        <v>1459812.70964</v>
      </c>
      <c r="P73" s="123">
        <f t="shared" si="29"/>
        <v>1431602.96236</v>
      </c>
      <c r="Q73" s="123">
        <f t="shared" si="29"/>
        <v>1480643.1336399999</v>
      </c>
      <c r="R73" s="123">
        <f t="shared" si="29"/>
        <v>1475243.3136</v>
      </c>
      <c r="S73" s="123">
        <f t="shared" si="29"/>
        <v>1456445.2095600001</v>
      </c>
      <c r="T73" s="123">
        <f t="shared" si="29"/>
        <v>1433274.5104400001</v>
      </c>
      <c r="U73" s="123">
        <f t="shared" si="29"/>
        <v>1439963.303632</v>
      </c>
      <c r="V73" s="123">
        <f t="shared" si="29"/>
        <v>1491615.358768</v>
      </c>
    </row>
    <row r="74" spans="1:22" ht="12.95" customHeight="1">
      <c r="A74" s="92"/>
      <c r="D74" s="106"/>
      <c r="E74" s="106"/>
      <c r="F74" s="106"/>
      <c r="G74" s="106"/>
      <c r="H74" s="122">
        <v>643</v>
      </c>
      <c r="I74" s="106"/>
      <c r="J74" s="109"/>
    </row>
    <row r="75" spans="1:22" ht="12" customHeight="1">
      <c r="A75" s="92"/>
      <c r="B75" s="103" t="s">
        <v>191</v>
      </c>
      <c r="D75" s="106"/>
      <c r="E75" s="106"/>
      <c r="F75" s="106"/>
      <c r="G75" s="106"/>
      <c r="H75" s="106">
        <v>13307.111999999999</v>
      </c>
      <c r="I75" s="106"/>
      <c r="J75" s="109"/>
    </row>
    <row r="76" spans="1:22" ht="12" customHeight="1">
      <c r="A76" s="92">
        <f>A73+1</f>
        <v>55</v>
      </c>
      <c r="B76" t="s">
        <v>192</v>
      </c>
      <c r="D76" s="111">
        <v>997</v>
      </c>
      <c r="E76" s="111">
        <f>F76-D76</f>
        <v>32</v>
      </c>
      <c r="F76" s="111">
        <v>1029</v>
      </c>
      <c r="G76" s="111"/>
      <c r="H76" s="111"/>
      <c r="I76" s="106"/>
      <c r="J76" s="109">
        <f t="shared" ref="J76" si="30">SUM(K76:V76)/1000</f>
        <v>1029</v>
      </c>
      <c r="K76" s="110">
        <f>$F76*1000/12</f>
        <v>85750</v>
      </c>
      <c r="L76" s="110">
        <f t="shared" ref="L76:V76" si="31">$F76*1000/12</f>
        <v>85750</v>
      </c>
      <c r="M76" s="110">
        <f t="shared" si="31"/>
        <v>85750</v>
      </c>
      <c r="N76" s="110">
        <f t="shared" si="31"/>
        <v>85750</v>
      </c>
      <c r="O76" s="110">
        <f t="shared" si="31"/>
        <v>85750</v>
      </c>
      <c r="P76" s="110">
        <f t="shared" si="31"/>
        <v>85750</v>
      </c>
      <c r="Q76" s="110">
        <f t="shared" si="31"/>
        <v>85750</v>
      </c>
      <c r="R76" s="110">
        <f t="shared" si="31"/>
        <v>85750</v>
      </c>
      <c r="S76" s="110">
        <f t="shared" si="31"/>
        <v>85750</v>
      </c>
      <c r="T76" s="110">
        <f t="shared" si="31"/>
        <v>85750</v>
      </c>
      <c r="U76" s="110">
        <f t="shared" si="31"/>
        <v>85750</v>
      </c>
      <c r="V76" s="110">
        <f t="shared" si="31"/>
        <v>85750</v>
      </c>
    </row>
    <row r="77" spans="1:22" ht="12" customHeight="1">
      <c r="A77" s="92"/>
      <c r="D77" s="106"/>
      <c r="E77" s="106"/>
      <c r="F77" s="106"/>
      <c r="G77" s="106"/>
      <c r="H77" s="106"/>
      <c r="I77" s="106"/>
      <c r="J77" s="109"/>
    </row>
    <row r="78" spans="1:22" ht="12" customHeight="1">
      <c r="A78" s="92">
        <f>A76+1</f>
        <v>56</v>
      </c>
      <c r="B78" s="140" t="s">
        <v>41</v>
      </c>
      <c r="C78" s="141"/>
      <c r="D78" s="142">
        <f>D28+D37+D44+D58+D73+D76</f>
        <v>397940</v>
      </c>
      <c r="E78" s="142">
        <f>F78-D78</f>
        <v>-163479.3917541455</v>
      </c>
      <c r="F78" s="143">
        <f>F28+F37+F44+F58+F73+F76</f>
        <v>234460.6082458545</v>
      </c>
      <c r="G78" s="106"/>
      <c r="H78" s="106">
        <v>133</v>
      </c>
      <c r="I78" s="106"/>
      <c r="J78" s="109"/>
    </row>
    <row r="79" spans="1:22" ht="12" customHeight="1">
      <c r="A79" s="92"/>
      <c r="B79" s="144"/>
      <c r="D79" s="106"/>
      <c r="E79" s="106"/>
      <c r="F79" s="106"/>
      <c r="G79" s="106"/>
      <c r="H79" s="122"/>
      <c r="I79" s="106"/>
      <c r="J79" s="109"/>
    </row>
    <row r="80" spans="1:22" ht="12" customHeight="1">
      <c r="A80" s="92"/>
      <c r="B80" s="103" t="s">
        <v>193</v>
      </c>
      <c r="D80" s="106"/>
      <c r="E80" s="106"/>
      <c r="F80" s="106"/>
      <c r="G80" s="106"/>
      <c r="H80" s="142">
        <v>188457.26014905036</v>
      </c>
      <c r="I80" s="106"/>
      <c r="J80" s="109"/>
      <c r="K80" s="102">
        <v>41274</v>
      </c>
      <c r="L80" s="102">
        <v>41305</v>
      </c>
      <c r="M80" s="102">
        <v>41333</v>
      </c>
      <c r="N80" s="102">
        <v>41364</v>
      </c>
      <c r="O80" s="102">
        <v>41394</v>
      </c>
      <c r="P80" s="102">
        <v>41425</v>
      </c>
      <c r="Q80" s="102">
        <v>41455</v>
      </c>
      <c r="R80" s="102">
        <v>41486</v>
      </c>
      <c r="S80" s="102">
        <v>41517</v>
      </c>
      <c r="T80" s="102">
        <v>41547</v>
      </c>
      <c r="U80" s="102">
        <v>41578</v>
      </c>
      <c r="V80" s="102">
        <v>41608</v>
      </c>
    </row>
    <row r="81" spans="1:22" ht="12.95" customHeight="1">
      <c r="A81" s="92">
        <f>A78+1</f>
        <v>57</v>
      </c>
      <c r="B81" t="s">
        <v>194</v>
      </c>
      <c r="D81" s="111">
        <v>0</v>
      </c>
      <c r="E81" s="106">
        <f t="shared" ref="E81:E90" si="32">F81-D81</f>
        <v>39339.655349659857</v>
      </c>
      <c r="F81" s="106">
        <f>-'[6]WGJ-4'!C9/1000</f>
        <v>39339.655349659857</v>
      </c>
      <c r="G81" s="106"/>
      <c r="H81" s="106"/>
      <c r="I81" s="107"/>
      <c r="J81" s="109">
        <f>SUM(K81:V81)/1000</f>
        <v>39339.655349659857</v>
      </c>
      <c r="K81" s="123">
        <f>-'[6]WGJ-4'!D9</f>
        <v>5500837.6831054604</v>
      </c>
      <c r="L81" s="123">
        <f>-'[6]WGJ-4'!E9</f>
        <v>4229790.65341949</v>
      </c>
      <c r="M81" s="123">
        <f>-'[6]WGJ-4'!F9</f>
        <v>3050725.1289129201</v>
      </c>
      <c r="N81" s="123">
        <f>-'[6]WGJ-4'!G9</f>
        <v>3975187.0182037302</v>
      </c>
      <c r="O81" s="123">
        <f>-'[6]WGJ-4'!H9</f>
        <v>3608121.0014343201</v>
      </c>
      <c r="P81" s="123">
        <f>-'[6]WGJ-4'!I9</f>
        <v>2216592.8236007597</v>
      </c>
      <c r="Q81" s="123">
        <f>-'[6]WGJ-4'!J9</f>
        <v>2890904.5322418199</v>
      </c>
      <c r="R81" s="123">
        <f>-'[6]WGJ-4'!K9</f>
        <v>1667142.02017784</v>
      </c>
      <c r="S81" s="123">
        <f>-'[6]WGJ-4'!L9</f>
        <v>2771399.0316390898</v>
      </c>
      <c r="T81" s="123">
        <f>-'[6]WGJ-4'!M9</f>
        <v>1997572.15309143</v>
      </c>
      <c r="U81" s="123">
        <f>-'[6]WGJ-4'!N9</f>
        <v>3081041.5893554599</v>
      </c>
      <c r="V81" s="123">
        <f>-'[6]WGJ-4'!O9</f>
        <v>4350341.7144775307</v>
      </c>
    </row>
    <row r="82" spans="1:22" ht="12.95" customHeight="1">
      <c r="A82" s="92">
        <f t="shared" ref="A82:A90" si="33">A81+1</f>
        <v>58</v>
      </c>
      <c r="B82" t="s">
        <v>195</v>
      </c>
      <c r="D82" s="111">
        <v>105602</v>
      </c>
      <c r="E82" s="106">
        <f t="shared" si="32"/>
        <v>-105602</v>
      </c>
      <c r="F82" s="124">
        <v>0</v>
      </c>
      <c r="G82" s="106"/>
      <c r="H82" s="106"/>
      <c r="I82" s="107"/>
      <c r="J82" s="109">
        <f>SUM(K82:V82)/1000</f>
        <v>0</v>
      </c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</row>
    <row r="83" spans="1:22" ht="12.95" customHeight="1">
      <c r="A83" s="92">
        <f t="shared" si="33"/>
        <v>59</v>
      </c>
      <c r="B83" t="s">
        <v>196</v>
      </c>
      <c r="D83" s="111">
        <v>0</v>
      </c>
      <c r="E83" s="106">
        <f t="shared" si="32"/>
        <v>2370</v>
      </c>
      <c r="F83" s="112">
        <v>2370</v>
      </c>
      <c r="G83" s="106"/>
      <c r="H83" s="106"/>
      <c r="I83" s="107"/>
      <c r="J83" s="109">
        <f>SUM(K83:V83)/1000</f>
        <v>2369.6537525201775</v>
      </c>
      <c r="K83" s="123">
        <v>-492939.65546442155</v>
      </c>
      <c r="L83" s="123">
        <v>-230282.64967501108</v>
      </c>
      <c r="M83" s="123">
        <v>602096.3536745311</v>
      </c>
      <c r="N83" s="123">
        <v>674536.48907635186</v>
      </c>
      <c r="O83" s="123">
        <v>889847.81039205694</v>
      </c>
      <c r="P83" s="123">
        <v>846910.71333847684</v>
      </c>
      <c r="Q83" s="123">
        <v>221260.8332958073</v>
      </c>
      <c r="R83" s="123">
        <v>-74259.4805707224</v>
      </c>
      <c r="S83" s="123">
        <v>-20774.81808611194</v>
      </c>
      <c r="T83" s="123">
        <v>115492.34864157636</v>
      </c>
      <c r="U83" s="123">
        <v>-13349.238482630057</v>
      </c>
      <c r="V83" s="123">
        <v>-148884.953619726</v>
      </c>
    </row>
    <row r="84" spans="1:22">
      <c r="A84" s="92">
        <f t="shared" si="33"/>
        <v>60</v>
      </c>
      <c r="B84" s="132" t="s">
        <v>197</v>
      </c>
      <c r="D84" s="111">
        <v>9501</v>
      </c>
      <c r="E84" s="106">
        <f t="shared" si="32"/>
        <v>-9501</v>
      </c>
      <c r="F84" s="111">
        <v>0</v>
      </c>
      <c r="G84" s="106"/>
      <c r="H84" s="106"/>
      <c r="I84" s="106"/>
      <c r="J84" s="109">
        <f t="shared" ref="J84:J91" si="34">SUM(K84:V84)/1000</f>
        <v>0</v>
      </c>
      <c r="K84" s="145">
        <v>0</v>
      </c>
      <c r="L84" s="145">
        <v>0</v>
      </c>
      <c r="M84" s="145">
        <v>0</v>
      </c>
      <c r="N84" s="145">
        <v>0</v>
      </c>
      <c r="O84" s="145">
        <v>0</v>
      </c>
      <c r="P84" s="145">
        <v>0</v>
      </c>
      <c r="Q84" s="145">
        <v>0</v>
      </c>
      <c r="R84" s="145">
        <v>0</v>
      </c>
      <c r="S84" s="145">
        <v>0</v>
      </c>
      <c r="T84" s="145">
        <v>0</v>
      </c>
      <c r="U84" s="145">
        <v>0</v>
      </c>
      <c r="V84" s="145">
        <v>0</v>
      </c>
    </row>
    <row r="85" spans="1:22">
      <c r="A85" s="92">
        <f t="shared" si="33"/>
        <v>61</v>
      </c>
      <c r="B85" t="s">
        <v>198</v>
      </c>
      <c r="D85" s="146">
        <v>1256</v>
      </c>
      <c r="E85" s="106">
        <f t="shared" si="32"/>
        <v>106.48077529164766</v>
      </c>
      <c r="F85" s="111">
        <f>[6]Index!C16/1000</f>
        <v>1362.4807752916477</v>
      </c>
      <c r="G85" s="147" t="s">
        <v>199</v>
      </c>
      <c r="H85" s="146">
        <v>1800</v>
      </c>
      <c r="I85" s="148" t="s">
        <v>199</v>
      </c>
      <c r="J85" s="109">
        <f t="shared" si="34"/>
        <v>1362.4807752916477</v>
      </c>
      <c r="K85" s="123">
        <f>[6]Index!D16</f>
        <v>143434.94372887147</v>
      </c>
      <c r="L85" s="123">
        <f>[6]Index!E16</f>
        <v>122043.77206660497</v>
      </c>
      <c r="M85" s="123">
        <f>[6]Index!F16</f>
        <v>109417.89681485231</v>
      </c>
      <c r="N85" s="123">
        <f>[6]Index!G16</f>
        <v>79900.7419876106</v>
      </c>
      <c r="O85" s="123">
        <f>[6]Index!H16</f>
        <v>68917.308542956467</v>
      </c>
      <c r="P85" s="123">
        <f>[6]Index!I16</f>
        <v>68973.36400578561</v>
      </c>
      <c r="Q85" s="123">
        <f>[6]Index!J16</f>
        <v>119524.81075188291</v>
      </c>
      <c r="R85" s="123">
        <f>[6]Index!K16</f>
        <v>133288.54307814708</v>
      </c>
      <c r="S85" s="123">
        <f>[6]Index!L16</f>
        <v>127491.29222335327</v>
      </c>
      <c r="T85" s="123">
        <f>[6]Index!M16</f>
        <v>121066.03088995304</v>
      </c>
      <c r="U85" s="123">
        <f>[6]Index!N16</f>
        <v>126939.24867661203</v>
      </c>
      <c r="V85" s="123">
        <f>[6]Index!O16</f>
        <v>141482.82252501784</v>
      </c>
    </row>
    <row r="86" spans="1:22">
      <c r="A86" s="92">
        <f t="shared" si="33"/>
        <v>62</v>
      </c>
      <c r="B86" t="s">
        <v>200</v>
      </c>
      <c r="D86" s="146">
        <v>150</v>
      </c>
      <c r="E86" s="106">
        <f t="shared" si="32"/>
        <v>6</v>
      </c>
      <c r="F86" s="111">
        <v>156</v>
      </c>
      <c r="G86" s="149"/>
      <c r="H86" s="149">
        <v>-63</v>
      </c>
      <c r="J86" s="109">
        <f t="shared" si="34"/>
        <v>156</v>
      </c>
      <c r="K86" s="123">
        <f t="shared" ref="K86:V87" si="35">$F86/12*1000</f>
        <v>13000</v>
      </c>
      <c r="L86" s="123">
        <f t="shared" si="35"/>
        <v>13000</v>
      </c>
      <c r="M86" s="123">
        <f t="shared" si="35"/>
        <v>13000</v>
      </c>
      <c r="N86" s="123">
        <f t="shared" si="35"/>
        <v>13000</v>
      </c>
      <c r="O86" s="123">
        <f t="shared" si="35"/>
        <v>13000</v>
      </c>
      <c r="P86" s="123">
        <f t="shared" si="35"/>
        <v>13000</v>
      </c>
      <c r="Q86" s="123">
        <f t="shared" si="35"/>
        <v>13000</v>
      </c>
      <c r="R86" s="123">
        <f t="shared" si="35"/>
        <v>13000</v>
      </c>
      <c r="S86" s="123">
        <f t="shared" si="35"/>
        <v>13000</v>
      </c>
      <c r="T86" s="123">
        <f t="shared" si="35"/>
        <v>13000</v>
      </c>
      <c r="U86" s="123">
        <f t="shared" si="35"/>
        <v>13000</v>
      </c>
      <c r="V86" s="123">
        <f t="shared" si="35"/>
        <v>13000</v>
      </c>
    </row>
    <row r="87" spans="1:22">
      <c r="A87" s="92">
        <f t="shared" si="33"/>
        <v>63</v>
      </c>
      <c r="B87" t="s">
        <v>201</v>
      </c>
      <c r="D87" s="146">
        <v>525</v>
      </c>
      <c r="E87" s="106">
        <f t="shared" si="32"/>
        <v>45</v>
      </c>
      <c r="F87" s="111">
        <v>570</v>
      </c>
      <c r="G87" s="150"/>
      <c r="H87" s="150">
        <v>272</v>
      </c>
      <c r="J87" s="109">
        <f t="shared" si="34"/>
        <v>570</v>
      </c>
      <c r="K87" s="123">
        <f t="shared" si="35"/>
        <v>47500</v>
      </c>
      <c r="L87" s="123">
        <f t="shared" si="35"/>
        <v>47500</v>
      </c>
      <c r="M87" s="123">
        <f t="shared" si="35"/>
        <v>47500</v>
      </c>
      <c r="N87" s="123">
        <f t="shared" si="35"/>
        <v>47500</v>
      </c>
      <c r="O87" s="123">
        <f t="shared" si="35"/>
        <v>47500</v>
      </c>
      <c r="P87" s="123">
        <f t="shared" si="35"/>
        <v>47500</v>
      </c>
      <c r="Q87" s="123">
        <f t="shared" si="35"/>
        <v>47500</v>
      </c>
      <c r="R87" s="123">
        <f t="shared" si="35"/>
        <v>47500</v>
      </c>
      <c r="S87" s="123">
        <f t="shared" si="35"/>
        <v>47500</v>
      </c>
      <c r="T87" s="123">
        <f t="shared" si="35"/>
        <v>47500</v>
      </c>
      <c r="U87" s="123">
        <f t="shared" si="35"/>
        <v>47500</v>
      </c>
      <c r="V87" s="123">
        <f t="shared" si="35"/>
        <v>47500</v>
      </c>
    </row>
    <row r="88" spans="1:22">
      <c r="A88" s="92">
        <f t="shared" si="33"/>
        <v>64</v>
      </c>
      <c r="B88" t="s">
        <v>202</v>
      </c>
      <c r="D88" s="146">
        <v>12149</v>
      </c>
      <c r="E88" s="106">
        <f t="shared" si="32"/>
        <v>204.83755445717543</v>
      </c>
      <c r="F88" s="111">
        <f>[6]Index!C21/1000</f>
        <v>12353.837554457175</v>
      </c>
      <c r="G88" s="149"/>
      <c r="H88" s="149"/>
      <c r="J88" s="109">
        <f t="shared" si="34"/>
        <v>12353.837554457175</v>
      </c>
      <c r="K88" s="123">
        <f>[6]Index!D21</f>
        <v>1252444.5598983758</v>
      </c>
      <c r="L88" s="123">
        <f>[6]Index!E21</f>
        <v>1077627.4546909325</v>
      </c>
      <c r="M88" s="123">
        <f>[6]Index!F21</f>
        <v>1003616.4484190929</v>
      </c>
      <c r="N88" s="123">
        <f>[6]Index!G21</f>
        <v>774593.45601797022</v>
      </c>
      <c r="O88" s="123">
        <f>[6]Index!H21</f>
        <v>705792.56393194059</v>
      </c>
      <c r="P88" s="123">
        <f>[6]Index!I21</f>
        <v>699540.80486297479</v>
      </c>
      <c r="Q88" s="123">
        <f>[6]Index!J21</f>
        <v>1072781.4886665335</v>
      </c>
      <c r="R88" s="123">
        <f>[6]Index!K21</f>
        <v>1182912.1384048455</v>
      </c>
      <c r="S88" s="123">
        <f>[6]Index!L21</f>
        <v>1131755.4176330559</v>
      </c>
      <c r="T88" s="123">
        <f>[6]Index!M21</f>
        <v>1087391.1776161185</v>
      </c>
      <c r="U88" s="123">
        <f>[6]Index!N21</f>
        <v>1127938.4616851795</v>
      </c>
      <c r="V88" s="123">
        <f>[6]Index!O21</f>
        <v>1237443.5826301568</v>
      </c>
    </row>
    <row r="89" spans="1:22">
      <c r="A89" s="92">
        <f t="shared" si="33"/>
        <v>65</v>
      </c>
      <c r="B89" t="s">
        <v>203</v>
      </c>
      <c r="D89" s="146">
        <v>0</v>
      </c>
      <c r="E89" s="106">
        <f t="shared" si="32"/>
        <v>526</v>
      </c>
      <c r="F89" s="111">
        <v>526</v>
      </c>
      <c r="G89" s="149"/>
      <c r="H89" s="149"/>
      <c r="J89" s="109">
        <f t="shared" si="34"/>
        <v>525.64186768531602</v>
      </c>
      <c r="K89" s="123">
        <v>41169.02837753301</v>
      </c>
      <c r="L89" s="123">
        <v>36513.082122801992</v>
      </c>
      <c r="M89" s="123">
        <v>40991.740226746006</v>
      </c>
      <c r="N89" s="123">
        <v>39135.485935210992</v>
      </c>
      <c r="O89" s="123">
        <v>46221.640110015986</v>
      </c>
      <c r="P89" s="123">
        <v>64191.032075882009</v>
      </c>
      <c r="Q89" s="123">
        <v>50951.742553709977</v>
      </c>
      <c r="R89" s="123">
        <v>44806.467247008979</v>
      </c>
      <c r="S89" s="123">
        <v>39912.834739684993</v>
      </c>
      <c r="T89" s="123">
        <v>40562.511157990004</v>
      </c>
      <c r="U89" s="123">
        <v>39637.582778930009</v>
      </c>
      <c r="V89" s="123">
        <v>41548.720359801991</v>
      </c>
    </row>
    <row r="90" spans="1:22">
      <c r="A90" s="92">
        <f t="shared" si="33"/>
        <v>66</v>
      </c>
      <c r="B90" s="120" t="s">
        <v>204</v>
      </c>
      <c r="C90" s="120"/>
      <c r="D90" s="121">
        <v>1654</v>
      </c>
      <c r="E90" s="122">
        <f t="shared" si="32"/>
        <v>-1654</v>
      </c>
      <c r="F90" s="122">
        <v>0</v>
      </c>
      <c r="G90" s="149"/>
      <c r="H90" s="149"/>
      <c r="J90" s="109">
        <f t="shared" si="34"/>
        <v>0</v>
      </c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</row>
    <row r="91" spans="1:22">
      <c r="A91" s="92">
        <f>A90+1</f>
        <v>67</v>
      </c>
      <c r="B91" t="s">
        <v>205</v>
      </c>
      <c r="D91" s="106">
        <f>SUM(D81:D90)</f>
        <v>130837</v>
      </c>
      <c r="E91" s="106">
        <f>F91-D91</f>
        <v>-74159.026320591322</v>
      </c>
      <c r="F91" s="106">
        <f>SUM(F81:F90)</f>
        <v>56677.973679408678</v>
      </c>
      <c r="G91" s="106"/>
      <c r="H91" s="122">
        <v>0</v>
      </c>
      <c r="I91" s="106"/>
      <c r="J91" s="109">
        <f t="shared" si="34"/>
        <v>56677.269299614163</v>
      </c>
      <c r="K91" s="123">
        <f t="shared" ref="K91:V91" si="36">SUM(K81:K90)</f>
        <v>6505446.5596458185</v>
      </c>
      <c r="L91" s="123">
        <f t="shared" si="36"/>
        <v>5296192.3126248177</v>
      </c>
      <c r="M91" s="123">
        <f t="shared" si="36"/>
        <v>4867347.5680481419</v>
      </c>
      <c r="N91" s="123">
        <f t="shared" si="36"/>
        <v>5603853.191220874</v>
      </c>
      <c r="O91" s="123">
        <f t="shared" si="36"/>
        <v>5379400.3244112898</v>
      </c>
      <c r="P91" s="123">
        <f t="shared" si="36"/>
        <v>3956708.7378838784</v>
      </c>
      <c r="Q91" s="123">
        <f t="shared" si="36"/>
        <v>4415923.4075097535</v>
      </c>
      <c r="R91" s="123">
        <f t="shared" si="36"/>
        <v>3014389.6883371188</v>
      </c>
      <c r="S91" s="123">
        <f t="shared" si="36"/>
        <v>4110283.7581490725</v>
      </c>
      <c r="T91" s="123">
        <f t="shared" si="36"/>
        <v>3422584.2213970679</v>
      </c>
      <c r="U91" s="123">
        <f t="shared" si="36"/>
        <v>4422707.6440135511</v>
      </c>
      <c r="V91" s="123">
        <f t="shared" si="36"/>
        <v>5682431.8863727814</v>
      </c>
    </row>
    <row r="92" spans="1:22">
      <c r="A92" s="92"/>
      <c r="D92" s="106">
        <v>130837</v>
      </c>
      <c r="E92" s="106"/>
      <c r="F92" s="106"/>
      <c r="G92" s="106"/>
      <c r="H92" s="106">
        <v>62060.890920372694</v>
      </c>
      <c r="I92" s="106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</row>
    <row r="93" spans="1:22">
      <c r="A93" s="92"/>
      <c r="B93" s="103" t="s">
        <v>40</v>
      </c>
      <c r="D93" s="106"/>
      <c r="E93" s="106" t="s">
        <v>0</v>
      </c>
      <c r="F93" s="106"/>
      <c r="G93" s="106"/>
      <c r="H93" s="106"/>
      <c r="I93" s="106"/>
      <c r="J93" s="109"/>
    </row>
    <row r="94" spans="1:22">
      <c r="A94" s="92">
        <f>A91+1</f>
        <v>68</v>
      </c>
      <c r="B94" t="s">
        <v>206</v>
      </c>
      <c r="D94" s="111">
        <v>3245</v>
      </c>
      <c r="E94" s="111">
        <f>F94-D94</f>
        <v>-3245</v>
      </c>
      <c r="F94" s="111">
        <v>0</v>
      </c>
      <c r="G94" s="111"/>
      <c r="H94" s="111"/>
      <c r="I94" s="106"/>
      <c r="J94" s="109"/>
      <c r="K94" s="123">
        <f>850000/12</f>
        <v>70833.333333333328</v>
      </c>
      <c r="L94" s="123">
        <f t="shared" ref="L94:V94" si="37">850000/12</f>
        <v>70833.333333333328</v>
      </c>
      <c r="M94" s="123">
        <f t="shared" si="37"/>
        <v>70833.333333333328</v>
      </c>
      <c r="N94" s="123">
        <f t="shared" si="37"/>
        <v>70833.333333333328</v>
      </c>
      <c r="O94" s="123">
        <f t="shared" si="37"/>
        <v>70833.333333333328</v>
      </c>
      <c r="P94" s="123">
        <f t="shared" si="37"/>
        <v>70833.333333333328</v>
      </c>
      <c r="Q94" s="123">
        <f t="shared" si="37"/>
        <v>70833.333333333328</v>
      </c>
      <c r="R94" s="123">
        <f t="shared" si="37"/>
        <v>70833.333333333328</v>
      </c>
      <c r="S94" s="123">
        <f t="shared" si="37"/>
        <v>70833.333333333328</v>
      </c>
      <c r="T94" s="123">
        <f t="shared" si="37"/>
        <v>70833.333333333328</v>
      </c>
      <c r="U94" s="123">
        <f t="shared" si="37"/>
        <v>70833.333333333328</v>
      </c>
      <c r="V94" s="123">
        <f t="shared" si="37"/>
        <v>70833.333333333328</v>
      </c>
    </row>
    <row r="95" spans="1:22">
      <c r="A95" s="92">
        <f>A94+1</f>
        <v>69</v>
      </c>
      <c r="B95" t="s">
        <v>207</v>
      </c>
      <c r="D95" s="111">
        <v>163</v>
      </c>
      <c r="E95" s="111">
        <f>F95-D95</f>
        <v>-163</v>
      </c>
      <c r="F95" s="111">
        <v>0</v>
      </c>
      <c r="G95" s="111"/>
      <c r="H95" s="111"/>
      <c r="I95" s="106"/>
      <c r="J95" s="109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</row>
    <row r="96" spans="1:22">
      <c r="A96" s="92">
        <f t="shared" ref="A96:A97" si="38">A95+1</f>
        <v>70</v>
      </c>
      <c r="B96" s="120" t="s">
        <v>208</v>
      </c>
      <c r="C96" s="120"/>
      <c r="D96" s="111">
        <v>95212</v>
      </c>
      <c r="E96" s="122">
        <f>F96-D96</f>
        <v>-95212</v>
      </c>
      <c r="F96" s="106">
        <v>0</v>
      </c>
      <c r="G96" s="106"/>
      <c r="H96" s="106">
        <v>48</v>
      </c>
      <c r="I96" s="106"/>
      <c r="J96" s="109"/>
    </row>
    <row r="97" spans="1:22">
      <c r="A97" s="92">
        <f t="shared" si="38"/>
        <v>71</v>
      </c>
      <c r="B97" t="s">
        <v>209</v>
      </c>
      <c r="D97" s="125">
        <f>SUM(D94:D96)</f>
        <v>98620</v>
      </c>
      <c r="E97" s="106">
        <f>F97-D97</f>
        <v>-98620</v>
      </c>
      <c r="F97" s="126">
        <f>SUM(F94:F96)</f>
        <v>0</v>
      </c>
      <c r="G97" s="106"/>
      <c r="H97" s="106">
        <v>0</v>
      </c>
      <c r="I97" s="106"/>
      <c r="J97" s="109"/>
    </row>
    <row r="98" spans="1:22" ht="7.5" customHeight="1">
      <c r="A98" s="92" t="s">
        <v>0</v>
      </c>
      <c r="D98" s="106"/>
      <c r="E98" s="106"/>
      <c r="F98" s="106"/>
      <c r="G98" s="106"/>
      <c r="H98" s="122">
        <v>0</v>
      </c>
      <c r="I98" s="106"/>
      <c r="J98" s="109"/>
    </row>
    <row r="99" spans="1:22">
      <c r="A99" s="92"/>
      <c r="B99" s="151" t="s">
        <v>210</v>
      </c>
      <c r="D99" s="106"/>
      <c r="E99" s="106"/>
      <c r="F99" s="106" t="s">
        <v>0</v>
      </c>
      <c r="G99" s="106"/>
      <c r="H99" s="106">
        <v>48</v>
      </c>
      <c r="I99" s="106"/>
      <c r="J99" s="109"/>
    </row>
    <row r="100" spans="1:22">
      <c r="A100" s="92">
        <f>A97+1</f>
        <v>72</v>
      </c>
      <c r="B100" t="s">
        <v>211</v>
      </c>
      <c r="D100" s="111">
        <v>418</v>
      </c>
      <c r="E100" s="111">
        <f>F100-D100</f>
        <v>48</v>
      </c>
      <c r="F100" s="111">
        <v>466</v>
      </c>
      <c r="G100" s="111"/>
      <c r="H100" s="111"/>
      <c r="I100" s="106"/>
      <c r="J100" s="109">
        <f t="shared" ref="J100" si="39">SUM(K100:V100)/1000</f>
        <v>465.99999999999994</v>
      </c>
      <c r="K100" s="110">
        <f>$F100*1000/12</f>
        <v>38833.333333333336</v>
      </c>
      <c r="L100" s="110">
        <f t="shared" ref="L100:V100" si="40">$F100*1000/12</f>
        <v>38833.333333333336</v>
      </c>
      <c r="M100" s="110">
        <f t="shared" si="40"/>
        <v>38833.333333333336</v>
      </c>
      <c r="N100" s="110">
        <f t="shared" si="40"/>
        <v>38833.333333333336</v>
      </c>
      <c r="O100" s="110">
        <f t="shared" si="40"/>
        <v>38833.333333333336</v>
      </c>
      <c r="P100" s="110">
        <f t="shared" si="40"/>
        <v>38833.333333333336</v>
      </c>
      <c r="Q100" s="110">
        <f t="shared" si="40"/>
        <v>38833.333333333336</v>
      </c>
      <c r="R100" s="110">
        <f t="shared" si="40"/>
        <v>38833.333333333336</v>
      </c>
      <c r="S100" s="110">
        <f t="shared" si="40"/>
        <v>38833.333333333336</v>
      </c>
      <c r="T100" s="110">
        <f t="shared" si="40"/>
        <v>38833.333333333336</v>
      </c>
      <c r="U100" s="110">
        <f t="shared" si="40"/>
        <v>38833.333333333336</v>
      </c>
      <c r="V100" s="110">
        <f t="shared" si="40"/>
        <v>38833.333333333336</v>
      </c>
    </row>
    <row r="101" spans="1:22" ht="6.75" customHeight="1">
      <c r="A101" s="92"/>
      <c r="D101" s="111"/>
      <c r="E101" s="106"/>
      <c r="F101" s="111"/>
      <c r="G101" s="106"/>
      <c r="H101" s="106" t="s">
        <v>0</v>
      </c>
      <c r="I101" s="106"/>
      <c r="J101" s="109"/>
    </row>
    <row r="102" spans="1:22" ht="6" customHeight="1">
      <c r="A102" s="92"/>
      <c r="D102" s="106"/>
      <c r="E102" s="106"/>
      <c r="F102" s="106"/>
      <c r="G102" s="106"/>
      <c r="H102" s="106"/>
      <c r="I102" s="106"/>
      <c r="J102" s="109"/>
    </row>
    <row r="103" spans="1:22">
      <c r="A103" s="92">
        <f>A100+1</f>
        <v>73</v>
      </c>
      <c r="B103" s="140" t="s">
        <v>4</v>
      </c>
      <c r="C103" s="141"/>
      <c r="D103" s="142">
        <f>D91+D97+D100</f>
        <v>229875</v>
      </c>
      <c r="E103" s="142">
        <f>F103-D103</f>
        <v>-172731.02632059134</v>
      </c>
      <c r="F103" s="143">
        <f>F91+F97+F100</f>
        <v>57143.973679408678</v>
      </c>
      <c r="G103" s="106"/>
      <c r="H103" s="106">
        <v>24</v>
      </c>
      <c r="I103" s="106"/>
      <c r="J103" s="109"/>
    </row>
    <row r="104" spans="1:22" ht="7.5" customHeight="1">
      <c r="A104" s="92"/>
      <c r="D104" s="106"/>
      <c r="E104" s="106"/>
      <c r="F104" s="106"/>
      <c r="G104" s="106"/>
      <c r="H104" s="106"/>
      <c r="I104" s="106"/>
      <c r="J104" s="109"/>
    </row>
    <row r="105" spans="1:22">
      <c r="A105" s="92">
        <f>A103+1</f>
        <v>74</v>
      </c>
      <c r="B105" s="140" t="s">
        <v>212</v>
      </c>
      <c r="C105" s="141"/>
      <c r="D105" s="142">
        <f>D78-D103</f>
        <v>168065</v>
      </c>
      <c r="E105" s="142">
        <f>F105-D105</f>
        <v>9251.6345664458349</v>
      </c>
      <c r="F105" s="143">
        <f>F78-F103</f>
        <v>177316.63456644583</v>
      </c>
      <c r="G105" s="106"/>
      <c r="H105" s="142">
        <v>62497.890920372694</v>
      </c>
      <c r="I105" s="106"/>
      <c r="J105" s="109"/>
    </row>
    <row r="106" spans="1:22" ht="6" customHeight="1">
      <c r="A106" s="92"/>
      <c r="D106" s="106"/>
      <c r="E106" s="106"/>
      <c r="F106" s="106"/>
      <c r="G106" s="106"/>
      <c r="H106" s="106"/>
      <c r="I106" s="106"/>
      <c r="J106" s="109"/>
    </row>
    <row r="107" spans="1:22" ht="12.75" customHeight="1">
      <c r="A107" s="92"/>
      <c r="B107" s="144"/>
      <c r="D107" s="106"/>
      <c r="E107" s="152">
        <f>F105/D105-1</f>
        <v>5.5047955055757214E-2</v>
      </c>
      <c r="G107" s="106"/>
      <c r="H107" s="106"/>
      <c r="I107" s="106"/>
      <c r="J107" s="109"/>
    </row>
    <row r="108" spans="1:22" ht="9" customHeight="1">
      <c r="A108" s="92"/>
      <c r="B108" s="153"/>
      <c r="D108" s="106"/>
      <c r="F108"/>
      <c r="G108" s="106"/>
      <c r="H108" s="106"/>
      <c r="I108" s="106"/>
      <c r="J108" s="109"/>
    </row>
    <row r="109" spans="1:22" ht="12.75" customHeight="1">
      <c r="A109" s="92"/>
      <c r="B109" s="144"/>
      <c r="D109" s="109"/>
      <c r="F109" s="109">
        <v>9300991</v>
      </c>
      <c r="J109" s="109"/>
    </row>
    <row r="110" spans="1:22">
      <c r="J110" s="109"/>
    </row>
    <row r="111" spans="1:22">
      <c r="F111" s="155">
        <f>F105*1000/F109</f>
        <v>19.064273319525395</v>
      </c>
      <c r="I111" s="149" t="s">
        <v>213</v>
      </c>
      <c r="J111" s="123">
        <f>SUM(K111:V111)</f>
        <v>158751133.67886782</v>
      </c>
      <c r="K111" s="123">
        <f t="shared" ref="K111:V111" si="41">K28+K44+K58-K91</f>
        <v>18301152.399394743</v>
      </c>
      <c r="L111" s="123">
        <f t="shared" si="41"/>
        <v>16320087.371864529</v>
      </c>
      <c r="M111" s="123">
        <f t="shared" si="41"/>
        <v>14734696.730258901</v>
      </c>
      <c r="N111" s="123">
        <f t="shared" si="41"/>
        <v>9688791.399619991</v>
      </c>
      <c r="O111" s="123">
        <f t="shared" si="41"/>
        <v>6070024.8834792413</v>
      </c>
      <c r="P111" s="123">
        <f t="shared" si="41"/>
        <v>6535416.394359827</v>
      </c>
      <c r="Q111" s="123">
        <f t="shared" si="41"/>
        <v>10357892.686195081</v>
      </c>
      <c r="R111" s="123">
        <f t="shared" si="41"/>
        <v>14930851.711730512</v>
      </c>
      <c r="S111" s="123">
        <f t="shared" si="41"/>
        <v>12573843.320080999</v>
      </c>
      <c r="T111" s="123">
        <f t="shared" si="41"/>
        <v>13815173.645499364</v>
      </c>
      <c r="U111" s="123">
        <f t="shared" si="41"/>
        <v>17328976.456170339</v>
      </c>
      <c r="V111" s="123">
        <f t="shared" si="41"/>
        <v>18094226.680214297</v>
      </c>
    </row>
    <row r="112" spans="1:22">
      <c r="J112" s="109"/>
    </row>
    <row r="113" spans="9:22">
      <c r="I113" s="149" t="s">
        <v>214</v>
      </c>
      <c r="J113" s="123">
        <f>SUM(K113:V113)</f>
        <v>177316274.35406786</v>
      </c>
      <c r="K113" s="123">
        <f t="shared" ref="K113:V113" si="42">K111+K37+K73+K76-K100</f>
        <v>19882337.931128081</v>
      </c>
      <c r="L113" s="123">
        <f t="shared" si="42"/>
        <v>17882415.209629864</v>
      </c>
      <c r="M113" s="123">
        <f t="shared" si="42"/>
        <v>16284781.570600232</v>
      </c>
      <c r="N113" s="123">
        <f t="shared" si="42"/>
        <v>11245066.696673322</v>
      </c>
      <c r="O113" s="123">
        <f t="shared" si="42"/>
        <v>7610670.9264525753</v>
      </c>
      <c r="P113" s="123">
        <f t="shared" si="42"/>
        <v>8047852.6900531612</v>
      </c>
      <c r="Q113" s="123">
        <f t="shared" si="42"/>
        <v>11919369.153168414</v>
      </c>
      <c r="R113" s="123">
        <f t="shared" si="42"/>
        <v>16486928.358663844</v>
      </c>
      <c r="S113" s="123">
        <f t="shared" si="42"/>
        <v>14111121.862974331</v>
      </c>
      <c r="T113" s="123">
        <f t="shared" si="42"/>
        <v>15329281.489272695</v>
      </c>
      <c r="U113" s="123">
        <f t="shared" si="42"/>
        <v>18849773.093135674</v>
      </c>
      <c r="V113" s="123">
        <f t="shared" si="42"/>
        <v>19666675.372315634</v>
      </c>
    </row>
    <row r="114" spans="9:22">
      <c r="J114" s="109"/>
    </row>
    <row r="115" spans="9:22">
      <c r="J115" s="109"/>
    </row>
    <row r="116" spans="9:22">
      <c r="J116" s="109"/>
    </row>
    <row r="117" spans="9:22">
      <c r="J117" s="109"/>
    </row>
    <row r="118" spans="9:22">
      <c r="J118" s="109"/>
    </row>
    <row r="119" spans="9:22">
      <c r="J119" s="109"/>
    </row>
    <row r="120" spans="9:22">
      <c r="J120" s="109"/>
    </row>
    <row r="121" spans="9:22">
      <c r="J121" s="109"/>
    </row>
    <row r="122" spans="9:22">
      <c r="J122" s="109"/>
    </row>
    <row r="123" spans="9:22">
      <c r="J123" s="109"/>
    </row>
    <row r="124" spans="9:22">
      <c r="J124" s="109"/>
    </row>
    <row r="125" spans="9:22">
      <c r="J125" s="109"/>
    </row>
    <row r="126" spans="9:22">
      <c r="J126" s="109"/>
    </row>
    <row r="127" spans="9:22">
      <c r="J127" s="109"/>
    </row>
    <row r="128" spans="9:22">
      <c r="J128" s="109"/>
    </row>
    <row r="129" spans="10:10">
      <c r="J129" s="109"/>
    </row>
    <row r="130" spans="10:10">
      <c r="J130" s="109"/>
    </row>
    <row r="131" spans="10:10">
      <c r="J131" s="109"/>
    </row>
    <row r="132" spans="10:10">
      <c r="J132" s="109"/>
    </row>
    <row r="133" spans="10:10">
      <c r="J133" s="109"/>
    </row>
    <row r="134" spans="10:10">
      <c r="J134" s="109"/>
    </row>
    <row r="135" spans="10:10">
      <c r="J135" s="109"/>
    </row>
    <row r="136" spans="10:10">
      <c r="J136" s="109"/>
    </row>
    <row r="137" spans="10:10">
      <c r="J137" s="109"/>
    </row>
    <row r="138" spans="10:10">
      <c r="J138" s="109"/>
    </row>
    <row r="139" spans="10:10">
      <c r="J139" s="109"/>
    </row>
    <row r="140" spans="10:10">
      <c r="J140" s="109"/>
    </row>
    <row r="141" spans="10:10">
      <c r="J141" s="109"/>
    </row>
    <row r="142" spans="10:10">
      <c r="J142" s="109"/>
    </row>
    <row r="143" spans="10:10">
      <c r="J143" s="109"/>
    </row>
    <row r="144" spans="10:10">
      <c r="J144" s="109"/>
    </row>
    <row r="145" spans="10:10">
      <c r="J145" s="109"/>
    </row>
    <row r="146" spans="10:10">
      <c r="J146" s="109"/>
    </row>
    <row r="147" spans="10:10">
      <c r="J147" s="109"/>
    </row>
    <row r="148" spans="10:10">
      <c r="J148" s="109"/>
    </row>
    <row r="149" spans="10:10">
      <c r="J149" s="109"/>
    </row>
    <row r="150" spans="10:10">
      <c r="J150" s="109"/>
    </row>
    <row r="151" spans="10:10">
      <c r="J151" s="109"/>
    </row>
    <row r="152" spans="10:10">
      <c r="J152" s="109"/>
    </row>
    <row r="153" spans="10:10">
      <c r="J153" s="109"/>
    </row>
    <row r="154" spans="10:10">
      <c r="J154" s="109"/>
    </row>
    <row r="155" spans="10:10">
      <c r="J155" s="109"/>
    </row>
    <row r="156" spans="10:10">
      <c r="J156" s="109"/>
    </row>
    <row r="157" spans="10:10">
      <c r="J157" s="109"/>
    </row>
    <row r="158" spans="10:10">
      <c r="J158" s="109"/>
    </row>
    <row r="159" spans="10:10">
      <c r="J159" s="109"/>
    </row>
    <row r="160" spans="10:10">
      <c r="J160" s="109"/>
    </row>
    <row r="161" spans="10:10">
      <c r="J161" s="109"/>
    </row>
    <row r="162" spans="10:10">
      <c r="J162" s="109"/>
    </row>
    <row r="163" spans="10:10">
      <c r="J163" s="109"/>
    </row>
    <row r="164" spans="10:10">
      <c r="J164" s="109"/>
    </row>
    <row r="165" spans="10:10">
      <c r="J165" s="109"/>
    </row>
    <row r="166" spans="10:10">
      <c r="J166" s="109"/>
    </row>
    <row r="167" spans="10:10">
      <c r="J167" s="109"/>
    </row>
    <row r="168" spans="10:10">
      <c r="J168" s="109"/>
    </row>
    <row r="169" spans="10:10">
      <c r="J169" s="109"/>
    </row>
    <row r="170" spans="10:10">
      <c r="J170" s="109"/>
    </row>
    <row r="171" spans="10:10">
      <c r="J171" s="109"/>
    </row>
    <row r="172" spans="10:10">
      <c r="J172" s="109"/>
    </row>
    <row r="173" spans="10:10">
      <c r="J173" s="109"/>
    </row>
    <row r="174" spans="10:10">
      <c r="J174" s="109"/>
    </row>
    <row r="175" spans="10:10">
      <c r="J175" s="109"/>
    </row>
    <row r="176" spans="10:10">
      <c r="J176" s="109"/>
    </row>
    <row r="177" spans="10:10">
      <c r="J177" s="109"/>
    </row>
    <row r="178" spans="10:10">
      <c r="J178" s="109"/>
    </row>
    <row r="179" spans="10:10">
      <c r="J179" s="109"/>
    </row>
    <row r="180" spans="10:10">
      <c r="J180" s="109"/>
    </row>
    <row r="181" spans="10:10">
      <c r="J181" s="109"/>
    </row>
    <row r="182" spans="10:10">
      <c r="J182" s="109"/>
    </row>
    <row r="183" spans="10:10">
      <c r="J183" s="109"/>
    </row>
    <row r="184" spans="10:10">
      <c r="J184" s="109"/>
    </row>
    <row r="185" spans="10:10">
      <c r="J185" s="109"/>
    </row>
    <row r="186" spans="10:10">
      <c r="J186" s="109"/>
    </row>
    <row r="187" spans="10:10">
      <c r="J187" s="109"/>
    </row>
    <row r="188" spans="10:10">
      <c r="J188" s="109"/>
    </row>
    <row r="189" spans="10:10">
      <c r="J189" s="109"/>
    </row>
    <row r="190" spans="10:10">
      <c r="J190" s="109"/>
    </row>
    <row r="191" spans="10:10">
      <c r="J191" s="109"/>
    </row>
    <row r="192" spans="10:10">
      <c r="J192" s="109"/>
    </row>
    <row r="193" spans="10:10">
      <c r="J193" s="109"/>
    </row>
    <row r="194" spans="10:10">
      <c r="J194" s="109"/>
    </row>
    <row r="195" spans="10:10">
      <c r="J195" s="109"/>
    </row>
    <row r="196" spans="10:10">
      <c r="J196" s="109"/>
    </row>
    <row r="197" spans="10:10">
      <c r="J197" s="109"/>
    </row>
    <row r="198" spans="10:10">
      <c r="J198" s="109"/>
    </row>
    <row r="199" spans="10:10">
      <c r="J199" s="109"/>
    </row>
    <row r="200" spans="10:10">
      <c r="J200" s="109"/>
    </row>
    <row r="201" spans="10:10">
      <c r="J201" s="109"/>
    </row>
    <row r="202" spans="10:10">
      <c r="J202" s="109"/>
    </row>
    <row r="203" spans="10:10">
      <c r="J203" s="109"/>
    </row>
    <row r="204" spans="10:10">
      <c r="J204" s="109"/>
    </row>
    <row r="205" spans="10:10">
      <c r="J205" s="109"/>
    </row>
    <row r="206" spans="10:10">
      <c r="J206" s="109"/>
    </row>
    <row r="207" spans="10:10">
      <c r="J207" s="109"/>
    </row>
    <row r="208" spans="10:10">
      <c r="J208" s="109"/>
    </row>
    <row r="209" spans="10:10">
      <c r="J209" s="109"/>
    </row>
    <row r="210" spans="10:10">
      <c r="J210" s="109"/>
    </row>
    <row r="211" spans="10:10">
      <c r="J211" s="109"/>
    </row>
    <row r="212" spans="10:10">
      <c r="J212" s="109"/>
    </row>
    <row r="213" spans="10:10">
      <c r="J213" s="109"/>
    </row>
    <row r="214" spans="10:10">
      <c r="J214" s="109"/>
    </row>
    <row r="215" spans="10:10">
      <c r="J215" s="109"/>
    </row>
    <row r="216" spans="10:10">
      <c r="J216" s="109"/>
    </row>
    <row r="217" spans="10:10">
      <c r="J217" s="109"/>
    </row>
    <row r="218" spans="10:10">
      <c r="J218" s="109"/>
    </row>
    <row r="219" spans="10:10">
      <c r="J219" s="109"/>
    </row>
    <row r="220" spans="10:10">
      <c r="J220" s="109"/>
    </row>
    <row r="221" spans="10:10">
      <c r="J221" s="109"/>
    </row>
    <row r="222" spans="10:10">
      <c r="J222" s="109"/>
    </row>
    <row r="223" spans="10:10">
      <c r="J223" s="109"/>
    </row>
    <row r="224" spans="10:10">
      <c r="J224" s="109"/>
    </row>
    <row r="225" spans="10:10">
      <c r="J225" s="109"/>
    </row>
    <row r="226" spans="10:10">
      <c r="J226" s="109"/>
    </row>
    <row r="227" spans="10:10">
      <c r="J227" s="109"/>
    </row>
    <row r="228" spans="10:10">
      <c r="J228" s="109"/>
    </row>
    <row r="229" spans="10:10">
      <c r="J229" s="109"/>
    </row>
    <row r="230" spans="10:10">
      <c r="J230" s="109"/>
    </row>
    <row r="231" spans="10:10">
      <c r="J231" s="109"/>
    </row>
    <row r="232" spans="10:10">
      <c r="J232" s="109"/>
    </row>
    <row r="233" spans="10:10">
      <c r="J233" s="109"/>
    </row>
    <row r="234" spans="10:10">
      <c r="J234" s="109"/>
    </row>
    <row r="235" spans="10:10">
      <c r="J235" s="109"/>
    </row>
    <row r="236" spans="10:10">
      <c r="J236" s="109"/>
    </row>
    <row r="237" spans="10:10">
      <c r="J237" s="109"/>
    </row>
    <row r="238" spans="10:10">
      <c r="J238" s="109"/>
    </row>
    <row r="239" spans="10:10">
      <c r="J239" s="109"/>
    </row>
    <row r="240" spans="10:10">
      <c r="J240" s="109"/>
    </row>
    <row r="241" spans="10:10">
      <c r="J241" s="109"/>
    </row>
    <row r="242" spans="10:10">
      <c r="J242" s="109"/>
    </row>
    <row r="243" spans="10:10">
      <c r="J243" s="109"/>
    </row>
    <row r="244" spans="10:10">
      <c r="J244" s="109"/>
    </row>
    <row r="245" spans="10:10">
      <c r="J245" s="109"/>
    </row>
    <row r="246" spans="10:10">
      <c r="J246" s="109"/>
    </row>
    <row r="247" spans="10:10">
      <c r="J247" s="109"/>
    </row>
    <row r="248" spans="10:10">
      <c r="J248" s="109"/>
    </row>
    <row r="249" spans="10:10">
      <c r="J249" s="109"/>
    </row>
    <row r="250" spans="10:10">
      <c r="J250" s="109"/>
    </row>
    <row r="251" spans="10:10">
      <c r="J251" s="109"/>
    </row>
    <row r="252" spans="10:10">
      <c r="J252" s="109"/>
    </row>
    <row r="253" spans="10:10">
      <c r="J253" s="109"/>
    </row>
    <row r="254" spans="10:10">
      <c r="J254" s="109"/>
    </row>
    <row r="255" spans="10:10">
      <c r="J255" s="109"/>
    </row>
    <row r="256" spans="10:10">
      <c r="J256" s="109"/>
    </row>
    <row r="257" spans="10:10">
      <c r="J257" s="109"/>
    </row>
    <row r="258" spans="10:10">
      <c r="J258" s="109"/>
    </row>
    <row r="259" spans="10:10">
      <c r="J259" s="109"/>
    </row>
    <row r="260" spans="10:10">
      <c r="J260" s="109"/>
    </row>
    <row r="261" spans="10:10">
      <c r="J261" s="109"/>
    </row>
    <row r="262" spans="10:10">
      <c r="J262" s="109"/>
    </row>
    <row r="263" spans="10:10">
      <c r="J263" s="109"/>
    </row>
    <row r="264" spans="10:10">
      <c r="J264" s="109"/>
    </row>
    <row r="265" spans="10:10">
      <c r="J265" s="109"/>
    </row>
    <row r="266" spans="10:10">
      <c r="J266" s="109"/>
    </row>
    <row r="267" spans="10:10">
      <c r="J267" s="109"/>
    </row>
    <row r="268" spans="10:10">
      <c r="J268" s="109"/>
    </row>
    <row r="269" spans="10:10">
      <c r="J269" s="109"/>
    </row>
    <row r="270" spans="10:10">
      <c r="J270" s="109"/>
    </row>
    <row r="271" spans="10:10">
      <c r="J271" s="109"/>
    </row>
    <row r="272" spans="10:10">
      <c r="J272" s="109"/>
    </row>
    <row r="273" spans="10:10">
      <c r="J273" s="109"/>
    </row>
    <row r="274" spans="10:10">
      <c r="J274" s="109"/>
    </row>
    <row r="275" spans="10:10">
      <c r="J275" s="109"/>
    </row>
    <row r="276" spans="10:10">
      <c r="J276" s="109"/>
    </row>
    <row r="277" spans="10:10">
      <c r="J277" s="109"/>
    </row>
    <row r="278" spans="10:10">
      <c r="J278" s="109"/>
    </row>
    <row r="279" spans="10:10">
      <c r="J279" s="109"/>
    </row>
    <row r="280" spans="10:10">
      <c r="J280" s="109"/>
    </row>
    <row r="281" spans="10:10">
      <c r="J281" s="109"/>
    </row>
    <row r="282" spans="10:10">
      <c r="J282" s="109"/>
    </row>
    <row r="283" spans="10:10">
      <c r="J283" s="109"/>
    </row>
    <row r="284" spans="10:10">
      <c r="J284" s="109"/>
    </row>
    <row r="285" spans="10:10">
      <c r="J285" s="109"/>
    </row>
    <row r="286" spans="10:10">
      <c r="J286" s="109"/>
    </row>
    <row r="287" spans="10:10">
      <c r="J287" s="109"/>
    </row>
    <row r="288" spans="10:10">
      <c r="J288" s="109"/>
    </row>
    <row r="289" spans="10:10">
      <c r="J289" s="109"/>
    </row>
    <row r="290" spans="10:10">
      <c r="J290" s="109"/>
    </row>
    <row r="291" spans="10:10">
      <c r="J291" s="109"/>
    </row>
    <row r="292" spans="10:10">
      <c r="J292" s="109"/>
    </row>
    <row r="293" spans="10:10">
      <c r="J293" s="109"/>
    </row>
    <row r="294" spans="10:10">
      <c r="J294" s="109"/>
    </row>
    <row r="295" spans="10:10">
      <c r="J295" s="109"/>
    </row>
    <row r="296" spans="10:10">
      <c r="J296" s="109"/>
    </row>
    <row r="297" spans="10:10">
      <c r="J297" s="109"/>
    </row>
    <row r="298" spans="10:10">
      <c r="J298" s="109"/>
    </row>
    <row r="299" spans="10:10">
      <c r="J299" s="109"/>
    </row>
    <row r="300" spans="10:10">
      <c r="J300" s="109"/>
    </row>
    <row r="301" spans="10:10">
      <c r="J301" s="109"/>
    </row>
    <row r="302" spans="10:10">
      <c r="J302" s="109"/>
    </row>
    <row r="303" spans="10:10">
      <c r="J303" s="109"/>
    </row>
    <row r="304" spans="10:10">
      <c r="J304" s="109"/>
    </row>
    <row r="305" spans="10:10">
      <c r="J305" s="109"/>
    </row>
    <row r="306" spans="10:10">
      <c r="J306" s="109"/>
    </row>
    <row r="307" spans="10:10">
      <c r="J307" s="109"/>
    </row>
    <row r="308" spans="10:10">
      <c r="J308" s="109"/>
    </row>
    <row r="309" spans="10:10">
      <c r="J309" s="109"/>
    </row>
    <row r="310" spans="10:10">
      <c r="J310" s="109"/>
    </row>
    <row r="311" spans="10:10">
      <c r="J311" s="109"/>
    </row>
    <row r="312" spans="10:10">
      <c r="J312" s="109"/>
    </row>
    <row r="313" spans="10:10">
      <c r="J313" s="109"/>
    </row>
    <row r="314" spans="10:10">
      <c r="J314" s="109"/>
    </row>
    <row r="315" spans="10:10">
      <c r="J315" s="109"/>
    </row>
    <row r="316" spans="10:10">
      <c r="J316" s="109"/>
    </row>
    <row r="317" spans="10:10">
      <c r="J317" s="109"/>
    </row>
    <row r="318" spans="10:10">
      <c r="J318" s="109"/>
    </row>
    <row r="319" spans="10:10">
      <c r="J319" s="109"/>
    </row>
    <row r="320" spans="10:10">
      <c r="J320" s="109"/>
    </row>
    <row r="321" spans="10:10">
      <c r="J321" s="109"/>
    </row>
    <row r="322" spans="10:10">
      <c r="J322" s="109"/>
    </row>
    <row r="323" spans="10:10">
      <c r="J323" s="109"/>
    </row>
    <row r="324" spans="10:10">
      <c r="J324" s="109"/>
    </row>
    <row r="325" spans="10:10">
      <c r="J325" s="109"/>
    </row>
    <row r="326" spans="10:10">
      <c r="J326" s="109"/>
    </row>
    <row r="327" spans="10:10">
      <c r="J327" s="109"/>
    </row>
    <row r="328" spans="10:10">
      <c r="J328" s="109"/>
    </row>
    <row r="329" spans="10:10">
      <c r="J329" s="109"/>
    </row>
    <row r="330" spans="10:10">
      <c r="J330" s="109"/>
    </row>
    <row r="331" spans="10:10">
      <c r="J331" s="109"/>
    </row>
    <row r="332" spans="10:10">
      <c r="J332" s="109"/>
    </row>
    <row r="333" spans="10:10">
      <c r="J333" s="109"/>
    </row>
    <row r="334" spans="10:10">
      <c r="J334" s="109"/>
    </row>
    <row r="335" spans="10:10">
      <c r="J335" s="109"/>
    </row>
    <row r="336" spans="10:10">
      <c r="J336" s="109"/>
    </row>
    <row r="337" spans="10:10">
      <c r="J337" s="109"/>
    </row>
    <row r="338" spans="10:10">
      <c r="J338" s="109"/>
    </row>
    <row r="339" spans="10:10">
      <c r="J339" s="109"/>
    </row>
    <row r="340" spans="10:10">
      <c r="J340" s="109"/>
    </row>
    <row r="341" spans="10:10">
      <c r="J341" s="109"/>
    </row>
    <row r="342" spans="10:10">
      <c r="J342" s="109"/>
    </row>
    <row r="343" spans="10:10">
      <c r="J343" s="109"/>
    </row>
    <row r="344" spans="10:10">
      <c r="J344" s="109"/>
    </row>
    <row r="345" spans="10:10">
      <c r="J345" s="109"/>
    </row>
    <row r="346" spans="10:10">
      <c r="J346" s="109"/>
    </row>
    <row r="347" spans="10:10">
      <c r="J347" s="109"/>
    </row>
    <row r="348" spans="10:10">
      <c r="J348" s="109"/>
    </row>
    <row r="349" spans="10:10">
      <c r="J349" s="109"/>
    </row>
    <row r="350" spans="10:10">
      <c r="J350" s="109"/>
    </row>
    <row r="351" spans="10:10">
      <c r="J351" s="109"/>
    </row>
    <row r="352" spans="10:10">
      <c r="J352" s="109"/>
    </row>
    <row r="353" spans="10:10">
      <c r="J353" s="109"/>
    </row>
    <row r="354" spans="10:10">
      <c r="J354" s="109"/>
    </row>
    <row r="355" spans="10:10">
      <c r="J355" s="109"/>
    </row>
    <row r="356" spans="10:10">
      <c r="J356" s="109"/>
    </row>
    <row r="357" spans="10:10">
      <c r="J357" s="109"/>
    </row>
    <row r="358" spans="10:10">
      <c r="J358" s="109"/>
    </row>
    <row r="359" spans="10:10">
      <c r="J359" s="109"/>
    </row>
    <row r="360" spans="10:10">
      <c r="J360" s="109"/>
    </row>
    <row r="361" spans="10:10">
      <c r="J361" s="109"/>
    </row>
    <row r="362" spans="10:10">
      <c r="J362" s="109"/>
    </row>
    <row r="363" spans="10:10">
      <c r="J363" s="109"/>
    </row>
    <row r="364" spans="10:10">
      <c r="J364" s="109"/>
    </row>
    <row r="365" spans="10:10">
      <c r="J365" s="109"/>
    </row>
    <row r="366" spans="10:10">
      <c r="J366" s="109"/>
    </row>
    <row r="367" spans="10:10">
      <c r="J367" s="109"/>
    </row>
    <row r="368" spans="10:10">
      <c r="J368" s="109"/>
    </row>
    <row r="369" spans="10:10">
      <c r="J369" s="109"/>
    </row>
    <row r="370" spans="10:10">
      <c r="J370" s="109"/>
    </row>
    <row r="371" spans="10:10">
      <c r="J371" s="109"/>
    </row>
    <row r="372" spans="10:10">
      <c r="J372" s="109"/>
    </row>
    <row r="373" spans="10:10">
      <c r="J373" s="109"/>
    </row>
    <row r="374" spans="10:10">
      <c r="J374" s="109"/>
    </row>
    <row r="375" spans="10:10">
      <c r="J375" s="109"/>
    </row>
    <row r="376" spans="10:10">
      <c r="J376" s="109"/>
    </row>
    <row r="377" spans="10:10">
      <c r="J377" s="109"/>
    </row>
    <row r="378" spans="10:10">
      <c r="J378" s="109"/>
    </row>
    <row r="379" spans="10:10">
      <c r="J379" s="109"/>
    </row>
    <row r="380" spans="10:10">
      <c r="J380" s="109"/>
    </row>
    <row r="381" spans="10:10">
      <c r="J381" s="109"/>
    </row>
    <row r="382" spans="10:10">
      <c r="J382" s="109"/>
    </row>
    <row r="383" spans="10:10">
      <c r="J383" s="109"/>
    </row>
    <row r="384" spans="10:10">
      <c r="J384" s="109"/>
    </row>
    <row r="385" spans="10:10">
      <c r="J385" s="109"/>
    </row>
    <row r="386" spans="10:10">
      <c r="J386" s="109"/>
    </row>
    <row r="387" spans="10:10">
      <c r="J387" s="109"/>
    </row>
    <row r="388" spans="10:10">
      <c r="J388" s="109"/>
    </row>
    <row r="389" spans="10:10">
      <c r="J389" s="109"/>
    </row>
    <row r="390" spans="10:10">
      <c r="J390" s="109"/>
    </row>
    <row r="391" spans="10:10">
      <c r="J391" s="109"/>
    </row>
    <row r="392" spans="10:10">
      <c r="J392" s="109"/>
    </row>
    <row r="393" spans="10:10">
      <c r="J393" s="109"/>
    </row>
    <row r="394" spans="10:10">
      <c r="J394" s="109"/>
    </row>
    <row r="395" spans="10:10">
      <c r="J395" s="109"/>
    </row>
    <row r="396" spans="10:10">
      <c r="J396" s="109"/>
    </row>
    <row r="397" spans="10:10">
      <c r="J397" s="109"/>
    </row>
    <row r="398" spans="10:10">
      <c r="J398" s="109"/>
    </row>
    <row r="399" spans="10:10">
      <c r="J399" s="109"/>
    </row>
    <row r="400" spans="10:10">
      <c r="J400" s="109"/>
    </row>
    <row r="401" spans="10:10">
      <c r="J401" s="109"/>
    </row>
    <row r="402" spans="10:10">
      <c r="J402" s="109"/>
    </row>
    <row r="403" spans="10:10">
      <c r="J403" s="109"/>
    </row>
    <row r="404" spans="10:10">
      <c r="J404" s="109"/>
    </row>
    <row r="405" spans="10:10">
      <c r="J405" s="109"/>
    </row>
    <row r="406" spans="10:10">
      <c r="J406" s="109"/>
    </row>
    <row r="407" spans="10:10">
      <c r="J407" s="109"/>
    </row>
    <row r="408" spans="10:10">
      <c r="J408" s="109"/>
    </row>
    <row r="409" spans="10:10">
      <c r="J409" s="109"/>
    </row>
    <row r="410" spans="10:10">
      <c r="J410" s="109"/>
    </row>
    <row r="411" spans="10:10">
      <c r="J411" s="109"/>
    </row>
    <row r="412" spans="10:10">
      <c r="J412" s="109"/>
    </row>
    <row r="413" spans="10:10">
      <c r="J413" s="109"/>
    </row>
    <row r="414" spans="10:10">
      <c r="J414" s="109"/>
    </row>
    <row r="415" spans="10:10">
      <c r="J415" s="109"/>
    </row>
    <row r="416" spans="10:10">
      <c r="J416" s="109"/>
    </row>
    <row r="417" spans="10:10">
      <c r="J417" s="109"/>
    </row>
    <row r="418" spans="10:10">
      <c r="J418" s="109"/>
    </row>
    <row r="419" spans="10:10">
      <c r="J419" s="109"/>
    </row>
    <row r="420" spans="10:10">
      <c r="J420" s="109"/>
    </row>
    <row r="421" spans="10:10">
      <c r="J421" s="109"/>
    </row>
    <row r="422" spans="10:10">
      <c r="J422" s="109"/>
    </row>
    <row r="423" spans="10:10">
      <c r="J423" s="109"/>
    </row>
    <row r="424" spans="10:10">
      <c r="J424" s="109"/>
    </row>
    <row r="425" spans="10:10">
      <c r="J425" s="109"/>
    </row>
    <row r="426" spans="10:10">
      <c r="J426" s="109"/>
    </row>
    <row r="427" spans="10:10">
      <c r="J427" s="109"/>
    </row>
    <row r="428" spans="10:10">
      <c r="J428" s="109"/>
    </row>
    <row r="429" spans="10:10">
      <c r="J429" s="109"/>
    </row>
    <row r="430" spans="10:10">
      <c r="J430" s="109"/>
    </row>
    <row r="431" spans="10:10">
      <c r="J431" s="109"/>
    </row>
    <row r="432" spans="10:10">
      <c r="J432" s="109"/>
    </row>
    <row r="433" spans="10:10">
      <c r="J433" s="109"/>
    </row>
    <row r="434" spans="10:10">
      <c r="J434" s="109"/>
    </row>
    <row r="435" spans="10:10">
      <c r="J435" s="109"/>
    </row>
    <row r="436" spans="10:10">
      <c r="J436" s="109"/>
    </row>
    <row r="437" spans="10:10">
      <c r="J437" s="109"/>
    </row>
    <row r="438" spans="10:10">
      <c r="J438" s="109"/>
    </row>
    <row r="439" spans="10:10">
      <c r="J439" s="109"/>
    </row>
    <row r="440" spans="10:10">
      <c r="J440" s="109"/>
    </row>
    <row r="441" spans="10:10">
      <c r="J441" s="109"/>
    </row>
    <row r="442" spans="10:10">
      <c r="J442" s="109"/>
    </row>
    <row r="443" spans="10:10">
      <c r="J443" s="109"/>
    </row>
    <row r="444" spans="10:10">
      <c r="J444" s="109"/>
    </row>
    <row r="445" spans="10:10">
      <c r="J445" s="109"/>
    </row>
    <row r="446" spans="10:10">
      <c r="J446" s="109"/>
    </row>
    <row r="447" spans="10:10">
      <c r="J447" s="109"/>
    </row>
    <row r="448" spans="10:10">
      <c r="J448" s="109"/>
    </row>
    <row r="449" spans="10:10">
      <c r="J449" s="109"/>
    </row>
    <row r="450" spans="10:10">
      <c r="J450" s="109"/>
    </row>
    <row r="451" spans="10:10">
      <c r="J451" s="109"/>
    </row>
    <row r="452" spans="10:10">
      <c r="J452" s="109"/>
    </row>
    <row r="453" spans="10:10">
      <c r="J453" s="109"/>
    </row>
    <row r="454" spans="10:10">
      <c r="J454" s="109"/>
    </row>
    <row r="455" spans="10:10">
      <c r="J455" s="109"/>
    </row>
    <row r="456" spans="10:10">
      <c r="J456" s="109"/>
    </row>
    <row r="457" spans="10:10">
      <c r="J457" s="109"/>
    </row>
    <row r="458" spans="10:10">
      <c r="J458" s="109"/>
    </row>
    <row r="459" spans="10:10">
      <c r="J459" s="109"/>
    </row>
    <row r="460" spans="10:10">
      <c r="J460" s="109"/>
    </row>
    <row r="461" spans="10:10">
      <c r="J461" s="109"/>
    </row>
    <row r="462" spans="10:10">
      <c r="J462" s="109"/>
    </row>
    <row r="463" spans="10:10">
      <c r="J463" s="109"/>
    </row>
    <row r="464" spans="10:10">
      <c r="J464" s="109"/>
    </row>
    <row r="465" spans="10:10">
      <c r="J465" s="109"/>
    </row>
    <row r="466" spans="10:10">
      <c r="J466" s="109"/>
    </row>
    <row r="467" spans="10:10">
      <c r="J467" s="109"/>
    </row>
    <row r="468" spans="10:10">
      <c r="J468" s="109"/>
    </row>
    <row r="469" spans="10:10">
      <c r="J469" s="109"/>
    </row>
    <row r="470" spans="10:10">
      <c r="J470" s="109"/>
    </row>
    <row r="471" spans="10:10">
      <c r="J471" s="109"/>
    </row>
    <row r="472" spans="10:10">
      <c r="J472" s="109"/>
    </row>
    <row r="473" spans="10:10">
      <c r="J473" s="109"/>
    </row>
    <row r="474" spans="10:10">
      <c r="J474" s="109"/>
    </row>
    <row r="475" spans="10:10">
      <c r="J475" s="109"/>
    </row>
    <row r="476" spans="10:10">
      <c r="J476" s="109"/>
    </row>
    <row r="477" spans="10:10">
      <c r="J477" s="109"/>
    </row>
    <row r="478" spans="10:10">
      <c r="J478" s="109"/>
    </row>
    <row r="479" spans="10:10">
      <c r="J479" s="109"/>
    </row>
    <row r="480" spans="10:10">
      <c r="J480" s="109"/>
    </row>
    <row r="481" spans="10:10">
      <c r="J481" s="109"/>
    </row>
    <row r="482" spans="10:10">
      <c r="J482" s="109"/>
    </row>
    <row r="483" spans="10:10">
      <c r="J483" s="109"/>
    </row>
    <row r="484" spans="10:10">
      <c r="J484" s="109"/>
    </row>
    <row r="485" spans="10:10">
      <c r="J485" s="109"/>
    </row>
    <row r="486" spans="10:10">
      <c r="J486" s="109"/>
    </row>
    <row r="487" spans="10:10">
      <c r="J487" s="109"/>
    </row>
    <row r="488" spans="10:10">
      <c r="J488" s="109"/>
    </row>
    <row r="489" spans="10:10">
      <c r="J489" s="109"/>
    </row>
    <row r="490" spans="10:10">
      <c r="J490" s="109"/>
    </row>
    <row r="491" spans="10:10">
      <c r="J491" s="109"/>
    </row>
    <row r="492" spans="10:10">
      <c r="J492" s="109"/>
    </row>
    <row r="493" spans="10:10">
      <c r="J493" s="109"/>
    </row>
    <row r="494" spans="10:10">
      <c r="J494" s="109"/>
    </row>
    <row r="495" spans="10:10">
      <c r="J495" s="109"/>
    </row>
    <row r="496" spans="10:10">
      <c r="J496" s="109"/>
    </row>
    <row r="497" spans="10:10">
      <c r="J497" s="109"/>
    </row>
    <row r="498" spans="10:10">
      <c r="J498" s="109"/>
    </row>
    <row r="499" spans="10:10">
      <c r="J499" s="109"/>
    </row>
    <row r="500" spans="10:10">
      <c r="J500" s="109"/>
    </row>
    <row r="501" spans="10:10">
      <c r="J501" s="109"/>
    </row>
    <row r="502" spans="10:10">
      <c r="J502" s="109"/>
    </row>
    <row r="503" spans="10:10">
      <c r="J503" s="109"/>
    </row>
    <row r="504" spans="10:10">
      <c r="J504" s="109"/>
    </row>
    <row r="505" spans="10:10">
      <c r="J505" s="109"/>
    </row>
    <row r="506" spans="10:10">
      <c r="J506" s="109"/>
    </row>
    <row r="507" spans="10:10">
      <c r="J507" s="109"/>
    </row>
    <row r="508" spans="10:10">
      <c r="J508" s="109"/>
    </row>
    <row r="509" spans="10:10">
      <c r="J509" s="109"/>
    </row>
    <row r="510" spans="10:10">
      <c r="J510" s="109"/>
    </row>
    <row r="511" spans="10:10">
      <c r="J511" s="109"/>
    </row>
    <row r="512" spans="10:10">
      <c r="J512" s="109"/>
    </row>
    <row r="513" spans="10:10">
      <c r="J513" s="109"/>
    </row>
    <row r="514" spans="10:10">
      <c r="J514" s="109"/>
    </row>
    <row r="515" spans="10:10">
      <c r="J515" s="109"/>
    </row>
    <row r="516" spans="10:10">
      <c r="J516" s="109"/>
    </row>
    <row r="517" spans="10:10">
      <c r="J517" s="109"/>
    </row>
    <row r="518" spans="10:10">
      <c r="J518" s="109"/>
    </row>
    <row r="519" spans="10:10">
      <c r="J519" s="109"/>
    </row>
    <row r="520" spans="10:10">
      <c r="J520" s="109"/>
    </row>
    <row r="521" spans="10:10">
      <c r="J521" s="109"/>
    </row>
    <row r="522" spans="10:10">
      <c r="J522" s="109"/>
    </row>
    <row r="523" spans="10:10">
      <c r="J523" s="109"/>
    </row>
    <row r="524" spans="10:10">
      <c r="J524" s="109"/>
    </row>
    <row r="525" spans="10:10">
      <c r="J525" s="109"/>
    </row>
    <row r="526" spans="10:10">
      <c r="J526" s="109"/>
    </row>
    <row r="527" spans="10:10">
      <c r="J527" s="109"/>
    </row>
    <row r="528" spans="10:10">
      <c r="J528" s="109"/>
    </row>
    <row r="529" spans="10:10">
      <c r="J529" s="109"/>
    </row>
    <row r="530" spans="10:10">
      <c r="J530" s="109"/>
    </row>
    <row r="531" spans="10:10">
      <c r="J531" s="109"/>
    </row>
    <row r="532" spans="10:10">
      <c r="J532" s="109"/>
    </row>
    <row r="533" spans="10:10">
      <c r="J533" s="109"/>
    </row>
    <row r="534" spans="10:10">
      <c r="J534" s="109"/>
    </row>
    <row r="535" spans="10:10">
      <c r="J535" s="109"/>
    </row>
    <row r="536" spans="10:10">
      <c r="J536" s="109"/>
    </row>
    <row r="537" spans="10:10">
      <c r="J537" s="109"/>
    </row>
    <row r="538" spans="10:10">
      <c r="J538" s="109"/>
    </row>
    <row r="539" spans="10:10">
      <c r="J539" s="109"/>
    </row>
    <row r="540" spans="10:10">
      <c r="J540" s="109"/>
    </row>
    <row r="541" spans="10:10">
      <c r="J541" s="109"/>
    </row>
    <row r="542" spans="10:10">
      <c r="J542" s="109"/>
    </row>
    <row r="543" spans="10:10">
      <c r="J543" s="109"/>
    </row>
    <row r="544" spans="10:10">
      <c r="J544" s="109"/>
    </row>
    <row r="545" spans="10:10">
      <c r="J545" s="109"/>
    </row>
    <row r="546" spans="10:10">
      <c r="J546" s="109"/>
    </row>
    <row r="547" spans="10:10">
      <c r="J547" s="109"/>
    </row>
    <row r="548" spans="10:10">
      <c r="J548" s="109"/>
    </row>
    <row r="549" spans="10:10">
      <c r="J549" s="109"/>
    </row>
    <row r="550" spans="10:10">
      <c r="J550" s="109"/>
    </row>
    <row r="551" spans="10:10">
      <c r="J551" s="109"/>
    </row>
    <row r="552" spans="10:10">
      <c r="J552" s="109"/>
    </row>
    <row r="553" spans="10:10">
      <c r="J553" s="109"/>
    </row>
    <row r="554" spans="10:10">
      <c r="J554" s="109"/>
    </row>
    <row r="555" spans="10:10">
      <c r="J555" s="109"/>
    </row>
    <row r="556" spans="10:10">
      <c r="J556" s="109"/>
    </row>
    <row r="557" spans="10:10">
      <c r="J557" s="109"/>
    </row>
    <row r="558" spans="10:10">
      <c r="J558" s="109"/>
    </row>
    <row r="559" spans="10:10">
      <c r="J559" s="109"/>
    </row>
    <row r="560" spans="10:10">
      <c r="J560" s="109"/>
    </row>
    <row r="561" spans="10:10">
      <c r="J561" s="109"/>
    </row>
    <row r="562" spans="10:10">
      <c r="J562" s="109"/>
    </row>
    <row r="563" spans="10:10">
      <c r="J563" s="109"/>
    </row>
    <row r="564" spans="10:10">
      <c r="J564" s="109"/>
    </row>
    <row r="565" spans="10:10">
      <c r="J565" s="109"/>
    </row>
    <row r="566" spans="10:10">
      <c r="J566" s="109"/>
    </row>
    <row r="567" spans="10:10">
      <c r="J567" s="109"/>
    </row>
    <row r="568" spans="10:10">
      <c r="J568" s="109"/>
    </row>
    <row r="569" spans="10:10">
      <c r="J569" s="109"/>
    </row>
    <row r="570" spans="10:10">
      <c r="J570" s="109"/>
    </row>
    <row r="571" spans="10:10">
      <c r="J571" s="109"/>
    </row>
    <row r="572" spans="10:10">
      <c r="J572" s="109"/>
    </row>
    <row r="573" spans="10:10">
      <c r="J573" s="109"/>
    </row>
    <row r="574" spans="10:10">
      <c r="J574" s="109"/>
    </row>
    <row r="575" spans="10:10">
      <c r="J575" s="109"/>
    </row>
    <row r="576" spans="10:10">
      <c r="J576" s="109"/>
    </row>
    <row r="577" spans="10:10">
      <c r="J577" s="109"/>
    </row>
    <row r="578" spans="10:10">
      <c r="J578" s="109"/>
    </row>
    <row r="579" spans="10:10">
      <c r="J579" s="109"/>
    </row>
    <row r="580" spans="10:10">
      <c r="J580" s="109"/>
    </row>
    <row r="581" spans="10:10">
      <c r="J581" s="109"/>
    </row>
    <row r="582" spans="10:10">
      <c r="J582" s="109"/>
    </row>
    <row r="583" spans="10:10">
      <c r="J583" s="109"/>
    </row>
    <row r="584" spans="10:10">
      <c r="J584" s="109"/>
    </row>
    <row r="585" spans="10:10">
      <c r="J585" s="109"/>
    </row>
    <row r="586" spans="10:10">
      <c r="J586" s="109"/>
    </row>
    <row r="587" spans="10:10">
      <c r="J587" s="109"/>
    </row>
    <row r="588" spans="10:10">
      <c r="J588" s="109"/>
    </row>
    <row r="589" spans="10:10">
      <c r="J589" s="109"/>
    </row>
    <row r="590" spans="10:10">
      <c r="J590" s="109"/>
    </row>
    <row r="591" spans="10:10">
      <c r="J591" s="109"/>
    </row>
    <row r="592" spans="10:10">
      <c r="J592" s="109"/>
    </row>
    <row r="593" spans="10:10">
      <c r="J593" s="109"/>
    </row>
    <row r="594" spans="10:10">
      <c r="J594" s="109"/>
    </row>
    <row r="595" spans="10:10">
      <c r="J595" s="109"/>
    </row>
    <row r="596" spans="10:10">
      <c r="J596" s="109"/>
    </row>
    <row r="597" spans="10:10">
      <c r="J597" s="109"/>
    </row>
    <row r="598" spans="10:10">
      <c r="J598" s="109"/>
    </row>
    <row r="599" spans="10:10">
      <c r="J599" s="109"/>
    </row>
    <row r="600" spans="10:10">
      <c r="J600" s="109"/>
    </row>
    <row r="601" spans="10:10">
      <c r="J601" s="109"/>
    </row>
    <row r="602" spans="10:10">
      <c r="J602" s="109"/>
    </row>
    <row r="603" spans="10:10">
      <c r="J603" s="109"/>
    </row>
    <row r="604" spans="10:10">
      <c r="J604" s="109"/>
    </row>
    <row r="605" spans="10:10">
      <c r="J605" s="109"/>
    </row>
    <row r="606" spans="10:10">
      <c r="J606" s="109"/>
    </row>
    <row r="607" spans="10:10">
      <c r="J607" s="109"/>
    </row>
    <row r="608" spans="10:10">
      <c r="J608" s="109"/>
    </row>
    <row r="609" spans="10:10">
      <c r="J609" s="109"/>
    </row>
    <row r="610" spans="10:10">
      <c r="J610" s="109"/>
    </row>
    <row r="611" spans="10:10">
      <c r="J611" s="109"/>
    </row>
    <row r="612" spans="10:10">
      <c r="J612" s="109"/>
    </row>
    <row r="613" spans="10:10">
      <c r="J613" s="109"/>
    </row>
    <row r="614" spans="10:10">
      <c r="J614" s="109"/>
    </row>
    <row r="615" spans="10:10">
      <c r="J615" s="109"/>
    </row>
    <row r="616" spans="10:10">
      <c r="J616" s="109"/>
    </row>
    <row r="617" spans="10:10">
      <c r="J617" s="109"/>
    </row>
    <row r="618" spans="10:10">
      <c r="J618" s="109"/>
    </row>
    <row r="619" spans="10:10">
      <c r="J619" s="109"/>
    </row>
    <row r="620" spans="10:10">
      <c r="J620" s="109"/>
    </row>
    <row r="621" spans="10:10">
      <c r="J621" s="109"/>
    </row>
    <row r="622" spans="10:10">
      <c r="J622" s="109"/>
    </row>
    <row r="623" spans="10:10">
      <c r="J623" s="109"/>
    </row>
    <row r="624" spans="10:10">
      <c r="J624" s="109"/>
    </row>
    <row r="625" spans="10:10">
      <c r="J625" s="109"/>
    </row>
    <row r="626" spans="10:10">
      <c r="J626" s="109"/>
    </row>
    <row r="627" spans="10:10">
      <c r="J627" s="109"/>
    </row>
    <row r="628" spans="10:10">
      <c r="J628" s="109"/>
    </row>
    <row r="629" spans="10:10">
      <c r="J629" s="109"/>
    </row>
    <row r="630" spans="10:10">
      <c r="J630" s="109"/>
    </row>
    <row r="631" spans="10:10">
      <c r="J631" s="109"/>
    </row>
    <row r="632" spans="10:10">
      <c r="J632" s="109"/>
    </row>
    <row r="633" spans="10:10">
      <c r="J633" s="109"/>
    </row>
    <row r="634" spans="10:10">
      <c r="J634" s="109"/>
    </row>
    <row r="635" spans="10:10">
      <c r="J635" s="109"/>
    </row>
    <row r="636" spans="10:10">
      <c r="J636" s="109"/>
    </row>
    <row r="637" spans="10:10">
      <c r="J637" s="109"/>
    </row>
    <row r="638" spans="10:10">
      <c r="J638" s="109"/>
    </row>
    <row r="639" spans="10:10">
      <c r="J639" s="109"/>
    </row>
    <row r="640" spans="10:10">
      <c r="J640" s="109"/>
    </row>
    <row r="641" spans="10:10">
      <c r="J641" s="109"/>
    </row>
    <row r="642" spans="10:10">
      <c r="J642" s="109"/>
    </row>
    <row r="643" spans="10:10">
      <c r="J643" s="109"/>
    </row>
    <row r="644" spans="10:10">
      <c r="J644" s="109"/>
    </row>
    <row r="645" spans="10:10">
      <c r="J645" s="109"/>
    </row>
    <row r="646" spans="10:10">
      <c r="J646" s="109"/>
    </row>
    <row r="647" spans="10:10">
      <c r="J647" s="109"/>
    </row>
    <row r="648" spans="10:10">
      <c r="J648" s="109"/>
    </row>
    <row r="649" spans="10:10">
      <c r="J649" s="109"/>
    </row>
    <row r="650" spans="10:10">
      <c r="J650" s="109"/>
    </row>
    <row r="651" spans="10:10">
      <c r="J651" s="109"/>
    </row>
    <row r="652" spans="10:10">
      <c r="J652" s="109"/>
    </row>
    <row r="653" spans="10:10">
      <c r="J653" s="109"/>
    </row>
    <row r="654" spans="10:10">
      <c r="J654" s="109"/>
    </row>
    <row r="655" spans="10:10">
      <c r="J655" s="109"/>
    </row>
    <row r="656" spans="10:10">
      <c r="J656" s="109"/>
    </row>
    <row r="657" spans="10:10">
      <c r="J657" s="109"/>
    </row>
    <row r="658" spans="10:10">
      <c r="J658" s="109"/>
    </row>
    <row r="659" spans="10:10">
      <c r="J659" s="109"/>
    </row>
    <row r="660" spans="10:10">
      <c r="J660" s="109"/>
    </row>
    <row r="661" spans="10:10">
      <c r="J661" s="109"/>
    </row>
    <row r="662" spans="10:10">
      <c r="J662" s="109"/>
    </row>
    <row r="663" spans="10:10">
      <c r="J663" s="109"/>
    </row>
    <row r="664" spans="10:10">
      <c r="J664" s="109"/>
    </row>
    <row r="665" spans="10:10">
      <c r="J665" s="109"/>
    </row>
    <row r="666" spans="10:10">
      <c r="J666" s="109"/>
    </row>
    <row r="667" spans="10:10">
      <c r="J667" s="109"/>
    </row>
    <row r="668" spans="10:10">
      <c r="J668" s="109"/>
    </row>
    <row r="669" spans="10:10">
      <c r="J669" s="109"/>
    </row>
    <row r="670" spans="10:10">
      <c r="J670" s="109"/>
    </row>
    <row r="671" spans="10:10">
      <c r="J671" s="109"/>
    </row>
    <row r="672" spans="10:10">
      <c r="J672" s="109"/>
    </row>
    <row r="673" spans="10:10">
      <c r="J673" s="109"/>
    </row>
    <row r="674" spans="10:10">
      <c r="J674" s="109"/>
    </row>
    <row r="675" spans="10:10">
      <c r="J675" s="109"/>
    </row>
    <row r="676" spans="10:10">
      <c r="J676" s="109"/>
    </row>
    <row r="677" spans="10:10">
      <c r="J677" s="109"/>
    </row>
    <row r="678" spans="10:10">
      <c r="J678" s="109"/>
    </row>
    <row r="679" spans="10:10">
      <c r="J679" s="109"/>
    </row>
    <row r="680" spans="10:10">
      <c r="J680" s="109"/>
    </row>
    <row r="681" spans="10:10">
      <c r="J681" s="109"/>
    </row>
    <row r="682" spans="10:10">
      <c r="J682" s="109"/>
    </row>
    <row r="683" spans="10:10">
      <c r="J683" s="109"/>
    </row>
    <row r="684" spans="10:10">
      <c r="J684" s="109"/>
    </row>
  </sheetData>
  <pageMargins left="0.75" right="0.75" top="1" bottom="1" header="0.5" footer="0.5"/>
  <pageSetup scale="80" orientation="portrait" r:id="rId1"/>
  <headerFooter scaleWithDoc="0" alignWithMargins="0">
    <oddHeader>&amp;CAttachment G - Backup (Power Supply Net Expense)</oddHeader>
    <oddFooter>&amp;CNOVEMBER 2016 POWER SUPPLY UPDATE
&amp;R&amp;"Arial,Regular"Page &amp;P of &amp;N</oddFooter>
  </headerFooter>
  <rowBreaks count="1" manualBreakCount="1">
    <brk id="61" max="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5"/>
  <sheetViews>
    <sheetView tabSelected="1" view="pageBreakPreview" topLeftCell="C4" zoomScaleNormal="100" zoomScaleSheetLayoutView="100" workbookViewId="0">
      <selection activeCell="I37" activeCellId="1" sqref="C29 I37"/>
    </sheetView>
  </sheetViews>
  <sheetFormatPr defaultColWidth="9.140625" defaultRowHeight="12.75"/>
  <cols>
    <col min="1" max="1" width="22.140625" style="164" customWidth="1"/>
    <col min="2" max="2" width="10.42578125" style="164" customWidth="1"/>
    <col min="3" max="3" width="10.28515625" style="164" customWidth="1"/>
    <col min="4" max="4" width="9.85546875" style="164" customWidth="1"/>
    <col min="5" max="5" width="8" style="164" customWidth="1"/>
    <col min="6" max="6" width="12.140625" style="164" customWidth="1"/>
    <col min="7" max="7" width="3.7109375" style="164" customWidth="1"/>
    <col min="8" max="8" width="4.85546875" style="164" customWidth="1"/>
    <col min="9" max="9" width="22.140625" style="164" customWidth="1"/>
    <col min="10" max="10" width="10.42578125" style="164" customWidth="1"/>
    <col min="11" max="11" width="10.28515625" style="164" customWidth="1"/>
    <col min="12" max="12" width="9.85546875" style="164" customWidth="1"/>
    <col min="13" max="13" width="8" style="164" customWidth="1"/>
    <col min="14" max="14" width="12.140625" style="164" customWidth="1"/>
    <col min="15" max="15" width="3.140625" style="164" customWidth="1"/>
    <col min="16" max="16" width="11.42578125" style="164" bestFit="1" customWidth="1"/>
    <col min="17" max="17" width="1.85546875" style="164" customWidth="1"/>
    <col min="18" max="18" width="12.140625" style="164" customWidth="1"/>
    <col min="19" max="16384" width="9.140625" style="164"/>
  </cols>
  <sheetData>
    <row r="1" spans="1:18">
      <c r="A1" s="163" t="s">
        <v>104</v>
      </c>
      <c r="B1" s="163"/>
      <c r="C1" s="163"/>
      <c r="D1" s="163"/>
      <c r="E1" s="163"/>
      <c r="F1" s="163"/>
      <c r="G1" s="163"/>
      <c r="H1" s="163"/>
      <c r="I1" s="163" t="s">
        <v>104</v>
      </c>
      <c r="J1" s="163"/>
      <c r="K1" s="163"/>
      <c r="L1" s="163"/>
      <c r="M1" s="163"/>
      <c r="N1" s="163"/>
      <c r="P1" s="163"/>
      <c r="R1" s="163"/>
    </row>
    <row r="2" spans="1:18">
      <c r="A2" s="163" t="s">
        <v>216</v>
      </c>
      <c r="B2" s="163"/>
      <c r="C2" s="163"/>
      <c r="D2" s="163"/>
      <c r="E2" s="163"/>
      <c r="F2" s="163"/>
      <c r="G2" s="163"/>
      <c r="H2" s="163"/>
      <c r="I2" s="163" t="s">
        <v>216</v>
      </c>
      <c r="J2" s="163"/>
      <c r="K2" s="163"/>
      <c r="L2" s="163"/>
      <c r="M2" s="163"/>
      <c r="N2" s="163"/>
      <c r="P2" s="165" t="s">
        <v>95</v>
      </c>
      <c r="Q2" s="166"/>
      <c r="R2" s="165" t="s">
        <v>95</v>
      </c>
    </row>
    <row r="3" spans="1:18">
      <c r="A3" s="242" t="s">
        <v>324</v>
      </c>
      <c r="B3" s="163"/>
      <c r="C3" s="163"/>
      <c r="D3" s="163"/>
      <c r="E3" s="163"/>
      <c r="F3" s="163"/>
      <c r="G3" s="163"/>
      <c r="H3" s="163"/>
      <c r="I3" s="242" t="s">
        <v>325</v>
      </c>
      <c r="J3" s="163"/>
      <c r="K3" s="163"/>
      <c r="L3" s="163"/>
      <c r="M3" s="163"/>
      <c r="N3" s="163"/>
      <c r="P3" s="165" t="s">
        <v>219</v>
      </c>
      <c r="Q3" s="166"/>
      <c r="R3" s="165" t="s">
        <v>219</v>
      </c>
    </row>
    <row r="4" spans="1:18" ht="15">
      <c r="A4" s="168" t="s">
        <v>220</v>
      </c>
      <c r="B4" s="168"/>
      <c r="C4" s="168"/>
      <c r="D4" s="168"/>
      <c r="E4" s="168"/>
      <c r="F4" s="168"/>
      <c r="G4" s="169"/>
      <c r="I4" s="168" t="s">
        <v>221</v>
      </c>
      <c r="J4" s="168"/>
      <c r="K4" s="168"/>
      <c r="L4" s="168"/>
      <c r="M4" s="168"/>
      <c r="N4" s="168"/>
      <c r="P4" s="165" t="s">
        <v>222</v>
      </c>
      <c r="Q4" s="166"/>
      <c r="R4" s="165" t="s">
        <v>222</v>
      </c>
    </row>
    <row r="5" spans="1:18">
      <c r="D5" s="164" t="s">
        <v>326</v>
      </c>
      <c r="G5" s="169"/>
      <c r="H5" s="231"/>
      <c r="L5" s="164" t="s">
        <v>326</v>
      </c>
      <c r="P5" s="165" t="s">
        <v>318</v>
      </c>
      <c r="R5" s="165" t="s">
        <v>318</v>
      </c>
    </row>
    <row r="6" spans="1:18">
      <c r="D6" s="232" t="s">
        <v>225</v>
      </c>
      <c r="E6" s="173"/>
      <c r="F6" s="173" t="s">
        <v>124</v>
      </c>
      <c r="G6" s="169"/>
      <c r="H6" s="233"/>
      <c r="L6" s="232" t="s">
        <v>225</v>
      </c>
      <c r="M6" s="173"/>
      <c r="N6" s="173" t="s">
        <v>124</v>
      </c>
      <c r="P6" s="174" t="s">
        <v>225</v>
      </c>
      <c r="R6" s="174" t="s">
        <v>124</v>
      </c>
    </row>
    <row r="7" spans="1:18">
      <c r="D7" s="232" t="s">
        <v>226</v>
      </c>
      <c r="E7" s="173"/>
      <c r="F7" s="173" t="s">
        <v>227</v>
      </c>
      <c r="G7" s="169"/>
      <c r="L7" s="232" t="s">
        <v>226</v>
      </c>
      <c r="M7" s="173"/>
      <c r="N7" s="173" t="s">
        <v>227</v>
      </c>
      <c r="P7" s="174" t="s">
        <v>226</v>
      </c>
      <c r="R7" s="174" t="s">
        <v>227</v>
      </c>
    </row>
    <row r="8" spans="1:18">
      <c r="D8" s="234" t="s">
        <v>228</v>
      </c>
      <c r="E8" s="175"/>
      <c r="F8" s="175" t="s">
        <v>229</v>
      </c>
      <c r="G8" s="235"/>
      <c r="L8" s="234" t="s">
        <v>228</v>
      </c>
      <c r="M8" s="175"/>
      <c r="N8" s="175" t="s">
        <v>229</v>
      </c>
      <c r="P8" s="177" t="s">
        <v>228</v>
      </c>
      <c r="R8" s="177" t="s">
        <v>229</v>
      </c>
    </row>
    <row r="9" spans="1:18">
      <c r="A9" s="164" t="s">
        <v>230</v>
      </c>
      <c r="D9" s="201"/>
      <c r="E9" s="178"/>
      <c r="F9" s="179">
        <v>0.65629999999999999</v>
      </c>
      <c r="G9" s="180"/>
      <c r="I9" s="164" t="s">
        <v>230</v>
      </c>
      <c r="L9" s="201"/>
      <c r="M9" s="178"/>
      <c r="N9" s="179">
        <v>0.65629999999999999</v>
      </c>
      <c r="R9" s="179">
        <v>0.65629999999999999</v>
      </c>
    </row>
    <row r="10" spans="1:18">
      <c r="D10" s="201"/>
      <c r="G10" s="169"/>
      <c r="L10" s="201"/>
    </row>
    <row r="11" spans="1:18">
      <c r="A11" s="164" t="s">
        <v>231</v>
      </c>
      <c r="D11" s="181">
        <f>52640+'2018 PF PS 09.2015 load'!P11</f>
        <v>49467</v>
      </c>
      <c r="E11" s="182"/>
      <c r="F11" s="181">
        <f>F$9*D11</f>
        <v>32465.1921</v>
      </c>
      <c r="G11" s="183"/>
      <c r="H11" s="182"/>
      <c r="I11" s="164" t="s">
        <v>231</v>
      </c>
      <c r="L11" s="237">
        <v>52640</v>
      </c>
      <c r="M11" s="237"/>
      <c r="N11" s="237">
        <f>N$9*L11</f>
        <v>34547.631999999998</v>
      </c>
      <c r="P11" s="182">
        <f>D11-L11</f>
        <v>-3173</v>
      </c>
      <c r="R11" s="182">
        <f>R$9*P11</f>
        <v>-2082.4398999999999</v>
      </c>
    </row>
    <row r="12" spans="1:18">
      <c r="A12" s="164" t="s">
        <v>232</v>
      </c>
      <c r="D12" s="184">
        <v>466</v>
      </c>
      <c r="E12" s="184"/>
      <c r="F12" s="184">
        <f>F$9*D12</f>
        <v>305.83580000000001</v>
      </c>
      <c r="G12" s="185"/>
      <c r="H12" s="182"/>
      <c r="I12" s="164" t="s">
        <v>232</v>
      </c>
      <c r="L12" s="188">
        <v>466</v>
      </c>
      <c r="M12" s="188"/>
      <c r="N12" s="188">
        <f>N$9*L12</f>
        <v>305.83580000000001</v>
      </c>
      <c r="P12" s="184"/>
      <c r="R12" s="184">
        <f>R$9*P12</f>
        <v>0</v>
      </c>
    </row>
    <row r="13" spans="1:18">
      <c r="A13" s="164" t="s">
        <v>233</v>
      </c>
      <c r="D13" s="184">
        <v>0</v>
      </c>
      <c r="E13" s="184"/>
      <c r="F13" s="184">
        <f>F$9*D13</f>
        <v>0</v>
      </c>
      <c r="G13" s="185"/>
      <c r="H13" s="182"/>
      <c r="I13" s="164" t="s">
        <v>233</v>
      </c>
      <c r="L13" s="188">
        <v>0</v>
      </c>
      <c r="M13" s="188"/>
      <c r="N13" s="188">
        <f>N$9*L13</f>
        <v>0</v>
      </c>
      <c r="P13" s="184"/>
      <c r="R13" s="184">
        <f>R$9*P13</f>
        <v>0</v>
      </c>
    </row>
    <row r="14" spans="1:18">
      <c r="A14" s="164" t="s">
        <v>234</v>
      </c>
      <c r="C14" s="164" t="s">
        <v>228</v>
      </c>
      <c r="D14" s="186">
        <f>16428-D15-D16-300+'2018 PF PS 09.2015 load'!P14</f>
        <v>17522</v>
      </c>
      <c r="E14" s="184"/>
      <c r="F14" s="186">
        <f>F$9*D14</f>
        <v>11499.688599999999</v>
      </c>
      <c r="G14" s="185"/>
      <c r="H14" s="182"/>
      <c r="I14" s="164" t="s">
        <v>234</v>
      </c>
      <c r="K14" s="164" t="s">
        <v>228</v>
      </c>
      <c r="L14" s="188">
        <f>16428-L15-L16-300</f>
        <v>16128</v>
      </c>
      <c r="M14" s="188"/>
      <c r="N14" s="188">
        <f>N$9*L14</f>
        <v>10584.806399999999</v>
      </c>
      <c r="P14" s="182">
        <f>D14-L14</f>
        <v>1394</v>
      </c>
      <c r="R14" s="182">
        <f>R$9*P14</f>
        <v>914.88220000000001</v>
      </c>
    </row>
    <row r="15" spans="1:18">
      <c r="A15" s="164" t="s">
        <v>234</v>
      </c>
      <c r="C15" s="164" t="s">
        <v>235</v>
      </c>
      <c r="D15" s="188">
        <v>0</v>
      </c>
      <c r="E15" s="184"/>
      <c r="F15" s="185">
        <f>D15</f>
        <v>0</v>
      </c>
      <c r="G15" s="185"/>
      <c r="H15" s="182"/>
      <c r="I15" s="164" t="s">
        <v>234</v>
      </c>
      <c r="K15" s="164" t="s">
        <v>235</v>
      </c>
      <c r="L15" s="188">
        <v>0</v>
      </c>
      <c r="M15" s="188"/>
      <c r="N15" s="202">
        <f>L15</f>
        <v>0</v>
      </c>
      <c r="P15" s="188"/>
      <c r="R15" s="185">
        <f>P15</f>
        <v>0</v>
      </c>
    </row>
    <row r="16" spans="1:18">
      <c r="A16" s="164" t="s">
        <v>234</v>
      </c>
      <c r="C16" s="164" t="s">
        <v>236</v>
      </c>
      <c r="D16" s="188">
        <v>0</v>
      </c>
      <c r="E16" s="184"/>
      <c r="F16" s="185">
        <v>0</v>
      </c>
      <c r="G16" s="185"/>
      <c r="H16" s="182"/>
      <c r="I16" s="164" t="s">
        <v>234</v>
      </c>
      <c r="K16" s="164" t="s">
        <v>236</v>
      </c>
      <c r="L16" s="188">
        <v>0</v>
      </c>
      <c r="M16" s="188"/>
      <c r="N16" s="202">
        <v>0</v>
      </c>
      <c r="P16" s="188"/>
      <c r="R16" s="185">
        <v>0</v>
      </c>
    </row>
    <row r="17" spans="1:21">
      <c r="A17" s="164" t="s">
        <v>237</v>
      </c>
      <c r="D17" s="188">
        <v>0</v>
      </c>
      <c r="E17" s="184"/>
      <c r="F17" s="184">
        <f>F$9*D17</f>
        <v>0</v>
      </c>
      <c r="G17" s="185"/>
      <c r="H17" s="182"/>
      <c r="I17" s="164" t="s">
        <v>237</v>
      </c>
      <c r="L17" s="188">
        <v>0</v>
      </c>
      <c r="M17" s="188"/>
      <c r="N17" s="188">
        <f>N$9*L17</f>
        <v>0</v>
      </c>
      <c r="P17" s="184"/>
      <c r="R17" s="184">
        <f>R$9*P17</f>
        <v>0</v>
      </c>
    </row>
    <row r="18" spans="1:21">
      <c r="A18" s="164" t="s">
        <v>238</v>
      </c>
      <c r="D18" s="238">
        <v>0</v>
      </c>
      <c r="E18" s="185"/>
      <c r="F18" s="190">
        <f>D18</f>
        <v>0</v>
      </c>
      <c r="G18" s="185"/>
      <c r="H18" s="182"/>
      <c r="I18" s="164" t="s">
        <v>238</v>
      </c>
      <c r="L18" s="238">
        <v>0</v>
      </c>
      <c r="M18" s="202"/>
      <c r="N18" s="238">
        <f>L18</f>
        <v>0</v>
      </c>
      <c r="P18" s="190"/>
      <c r="R18" s="190">
        <f>P18</f>
        <v>0</v>
      </c>
    </row>
    <row r="19" spans="1:21">
      <c r="A19" s="164" t="s">
        <v>239</v>
      </c>
      <c r="D19" s="188">
        <f>SUM(D11:D18)</f>
        <v>67455</v>
      </c>
      <c r="E19" s="185"/>
      <c r="F19" s="184">
        <f>SUM(F11:F18)</f>
        <v>44270.716500000002</v>
      </c>
      <c r="G19" s="185"/>
      <c r="H19" s="182"/>
      <c r="I19" s="164" t="s">
        <v>239</v>
      </c>
      <c r="L19" s="188">
        <f>SUM(L11:L18)</f>
        <v>69234</v>
      </c>
      <c r="M19" s="202"/>
      <c r="N19" s="188">
        <f>SUM(N11:N18)</f>
        <v>45438.2742</v>
      </c>
      <c r="P19" s="184">
        <f>SUM(P11:P18)</f>
        <v>-1779</v>
      </c>
      <c r="R19" s="184">
        <f>SUM(R11:R18)</f>
        <v>-1167.5576999999998</v>
      </c>
    </row>
    <row r="20" spans="1:21">
      <c r="D20" s="188"/>
      <c r="E20" s="185"/>
      <c r="F20" s="184"/>
      <c r="G20" s="185"/>
      <c r="H20" s="182"/>
      <c r="L20" s="188"/>
      <c r="M20" s="202"/>
      <c r="N20" s="188"/>
      <c r="P20" s="184"/>
      <c r="R20" s="184"/>
    </row>
    <row r="21" spans="1:21">
      <c r="D21" s="188"/>
      <c r="E21" s="185"/>
      <c r="F21" s="184"/>
      <c r="G21" s="185"/>
      <c r="H21" s="237"/>
      <c r="L21" s="188"/>
      <c r="M21" s="202"/>
      <c r="N21" s="188"/>
      <c r="P21" s="184"/>
      <c r="R21" s="184"/>
    </row>
    <row r="22" spans="1:21">
      <c r="A22" s="164" t="s">
        <v>240</v>
      </c>
      <c r="D22" s="186">
        <f>29255+'2018 PF PS 09.2015 load'!P22</f>
        <v>29154</v>
      </c>
      <c r="E22" s="185"/>
      <c r="F22" s="186">
        <f>F$9*D22</f>
        <v>19133.770199999999</v>
      </c>
      <c r="G22" s="185"/>
      <c r="H22" s="237"/>
      <c r="I22" s="164" t="s">
        <v>240</v>
      </c>
      <c r="L22" s="188">
        <v>29255</v>
      </c>
      <c r="M22" s="202"/>
      <c r="N22" s="188">
        <f>N$9*L22</f>
        <v>19200.056499999999</v>
      </c>
      <c r="P22" s="182">
        <f>D22-L22</f>
        <v>-101</v>
      </c>
      <c r="R22" s="184">
        <f t="shared" ref="R22:R26" si="0">R$9*P22</f>
        <v>-66.286299999999997</v>
      </c>
    </row>
    <row r="23" spans="1:21">
      <c r="A23" s="164" t="s">
        <v>241</v>
      </c>
      <c r="D23" s="184">
        <v>0</v>
      </c>
      <c r="E23" s="185"/>
      <c r="F23" s="184">
        <f t="shared" ref="F23:F30" si="1">F$9*D23</f>
        <v>0</v>
      </c>
      <c r="G23" s="185"/>
      <c r="H23" s="237"/>
      <c r="I23" s="164" t="s">
        <v>241</v>
      </c>
      <c r="L23" s="188">
        <v>0</v>
      </c>
      <c r="M23" s="202"/>
      <c r="N23" s="188">
        <f t="shared" ref="N23:N30" si="2">N$9*L23</f>
        <v>0</v>
      </c>
      <c r="P23" s="184"/>
      <c r="R23" s="184">
        <f t="shared" si="0"/>
        <v>0</v>
      </c>
    </row>
    <row r="24" spans="1:21">
      <c r="A24" s="164" t="s">
        <v>242</v>
      </c>
      <c r="D24" s="186">
        <f>78651+'2018 PF PS 09.2015 load'!P24</f>
        <v>74378</v>
      </c>
      <c r="E24" s="185"/>
      <c r="F24" s="186">
        <f t="shared" si="1"/>
        <v>48814.2814</v>
      </c>
      <c r="G24" s="185"/>
      <c r="H24" s="237"/>
      <c r="I24" s="164" t="s">
        <v>242</v>
      </c>
      <c r="L24" s="188">
        <v>78651</v>
      </c>
      <c r="M24" s="202"/>
      <c r="N24" s="188">
        <f t="shared" si="2"/>
        <v>51618.651299999998</v>
      </c>
      <c r="P24" s="182">
        <f>D24-L24</f>
        <v>-4273</v>
      </c>
      <c r="R24" s="184">
        <f t="shared" si="0"/>
        <v>-2804.3699000000001</v>
      </c>
    </row>
    <row r="25" spans="1:21">
      <c r="A25" s="164" t="s">
        <v>243</v>
      </c>
      <c r="D25" s="184">
        <v>1029</v>
      </c>
      <c r="E25" s="185"/>
      <c r="F25" s="184">
        <f t="shared" si="1"/>
        <v>675.33270000000005</v>
      </c>
      <c r="G25" s="185"/>
      <c r="H25" s="237"/>
      <c r="I25" s="164" t="s">
        <v>243</v>
      </c>
      <c r="L25" s="188">
        <v>1029</v>
      </c>
      <c r="M25" s="202"/>
      <c r="N25" s="188">
        <f t="shared" si="2"/>
        <v>675.33270000000005</v>
      </c>
      <c r="P25" s="184"/>
      <c r="R25" s="184">
        <f t="shared" si="0"/>
        <v>0</v>
      </c>
    </row>
    <row r="26" spans="1:21">
      <c r="A26" s="164" t="s">
        <v>244</v>
      </c>
      <c r="D26" s="186">
        <f>112976+'2018 PF PS 09.2015 load'!P26</f>
        <v>113028</v>
      </c>
      <c r="E26" s="185"/>
      <c r="F26" s="186">
        <f>F$9*D26</f>
        <v>74180.276400000002</v>
      </c>
      <c r="G26" s="185"/>
      <c r="H26" s="237"/>
      <c r="I26" s="164" t="s">
        <v>244</v>
      </c>
      <c r="L26" s="188">
        <v>112976</v>
      </c>
      <c r="M26" s="202"/>
      <c r="N26" s="188">
        <f>N$9*L26</f>
        <v>74146.148799999995</v>
      </c>
      <c r="P26" s="182">
        <f>D26-L26</f>
        <v>52</v>
      </c>
      <c r="R26" s="184">
        <f t="shared" si="0"/>
        <v>34.127600000000001</v>
      </c>
    </row>
    <row r="27" spans="1:21">
      <c r="A27" s="164" t="s">
        <v>245</v>
      </c>
      <c r="D27" s="184">
        <v>0</v>
      </c>
      <c r="E27" s="185"/>
      <c r="F27" s="188">
        <v>0</v>
      </c>
      <c r="G27" s="185"/>
      <c r="H27" s="201"/>
      <c r="I27" s="164" t="s">
        <v>245</v>
      </c>
      <c r="L27" s="188">
        <v>0</v>
      </c>
      <c r="M27" s="202"/>
      <c r="N27" s="188">
        <v>0</v>
      </c>
      <c r="P27" s="184"/>
      <c r="R27" s="188">
        <v>0</v>
      </c>
    </row>
    <row r="28" spans="1:21">
      <c r="A28" s="164" t="s">
        <v>246</v>
      </c>
      <c r="D28" s="184">
        <v>0</v>
      </c>
      <c r="E28" s="185"/>
      <c r="F28" s="184">
        <f t="shared" si="1"/>
        <v>0</v>
      </c>
      <c r="G28" s="185"/>
      <c r="H28" s="237"/>
      <c r="I28" s="164" t="s">
        <v>246</v>
      </c>
      <c r="L28" s="188">
        <v>0</v>
      </c>
      <c r="M28" s="202"/>
      <c r="N28" s="188">
        <f t="shared" si="2"/>
        <v>0</v>
      </c>
      <c r="P28" s="184"/>
      <c r="R28" s="184">
        <f t="shared" ref="R28:R30" si="3">R$9*P28</f>
        <v>0</v>
      </c>
      <c r="U28" s="201"/>
    </row>
    <row r="29" spans="1:21">
      <c r="A29" s="164" t="s">
        <v>247</v>
      </c>
      <c r="D29" s="184">
        <v>0</v>
      </c>
      <c r="E29" s="185"/>
      <c r="F29" s="184">
        <f t="shared" si="1"/>
        <v>0</v>
      </c>
      <c r="G29" s="185"/>
      <c r="H29" s="237"/>
      <c r="I29" s="164" t="s">
        <v>247</v>
      </c>
      <c r="L29" s="188">
        <v>0</v>
      </c>
      <c r="M29" s="202"/>
      <c r="N29" s="188">
        <f t="shared" si="2"/>
        <v>0</v>
      </c>
      <c r="P29" s="184"/>
      <c r="R29" s="184">
        <f t="shared" si="3"/>
        <v>0</v>
      </c>
    </row>
    <row r="30" spans="1:21">
      <c r="A30" s="164" t="s">
        <v>248</v>
      </c>
      <c r="D30" s="184">
        <v>407</v>
      </c>
      <c r="E30" s="185"/>
      <c r="F30" s="184">
        <f t="shared" si="1"/>
        <v>267.11410000000001</v>
      </c>
      <c r="G30" s="185"/>
      <c r="H30" s="237"/>
      <c r="I30" s="164" t="s">
        <v>248</v>
      </c>
      <c r="L30" s="188">
        <v>407</v>
      </c>
      <c r="M30" s="202"/>
      <c r="N30" s="188">
        <f t="shared" si="2"/>
        <v>267.11410000000001</v>
      </c>
      <c r="P30" s="184"/>
      <c r="R30" s="184">
        <f t="shared" si="3"/>
        <v>0</v>
      </c>
    </row>
    <row r="31" spans="1:21">
      <c r="A31" s="164" t="s">
        <v>312</v>
      </c>
      <c r="D31" s="184">
        <v>0</v>
      </c>
      <c r="E31" s="185"/>
      <c r="F31" s="188">
        <v>0</v>
      </c>
      <c r="G31" s="185"/>
      <c r="H31" s="191"/>
      <c r="I31" s="164" t="s">
        <v>312</v>
      </c>
      <c r="L31" s="188">
        <v>0</v>
      </c>
      <c r="M31" s="202"/>
      <c r="N31" s="188">
        <v>0</v>
      </c>
      <c r="P31" s="184"/>
      <c r="R31" s="188">
        <v>0</v>
      </c>
    </row>
    <row r="32" spans="1:21">
      <c r="A32" s="164" t="s">
        <v>250</v>
      </c>
      <c r="D32" s="186">
        <f>18169+'2018 PF PS 09.2015 load'!P32</f>
        <v>17595</v>
      </c>
      <c r="E32" s="185"/>
      <c r="F32" s="186">
        <f>F$9*D32</f>
        <v>11547.5985</v>
      </c>
      <c r="G32" s="185"/>
      <c r="H32" s="237"/>
      <c r="I32" s="164" t="s">
        <v>250</v>
      </c>
      <c r="L32" s="188">
        <v>18169</v>
      </c>
      <c r="M32" s="202"/>
      <c r="N32" s="188">
        <f>N$9*L32</f>
        <v>11924.314699999999</v>
      </c>
      <c r="P32" s="182">
        <f>D32-L32</f>
        <v>-574</v>
      </c>
      <c r="R32" s="184">
        <f>R$9*P32</f>
        <v>-376.71620000000001</v>
      </c>
    </row>
    <row r="33" spans="1:18">
      <c r="A33" s="164" t="s">
        <v>251</v>
      </c>
      <c r="D33" s="239">
        <f>SUM(D22:D32)</f>
        <v>235591</v>
      </c>
      <c r="E33" s="185"/>
      <c r="F33" s="192">
        <f>SUM(F22:F32)</f>
        <v>154618.37330000001</v>
      </c>
      <c r="G33" s="185"/>
      <c r="H33" s="237"/>
      <c r="I33" s="164" t="s">
        <v>251</v>
      </c>
      <c r="L33" s="239">
        <f>SUM(L22:L32)</f>
        <v>240487</v>
      </c>
      <c r="M33" s="202"/>
      <c r="N33" s="239">
        <f>SUM(N22:N32)</f>
        <v>157831.61809999999</v>
      </c>
      <c r="P33" s="192">
        <f>SUM(P22:P32)</f>
        <v>-4896</v>
      </c>
      <c r="R33" s="192">
        <f>SUM(R22:R32)</f>
        <v>-3213.2448000000004</v>
      </c>
    </row>
    <row r="34" spans="1:18">
      <c r="D34" s="201"/>
      <c r="G34" s="169"/>
      <c r="H34" s="237"/>
      <c r="L34" s="201"/>
    </row>
    <row r="35" spans="1:18">
      <c r="A35" s="164" t="s">
        <v>252</v>
      </c>
      <c r="D35" s="188">
        <f>D19-D33</f>
        <v>-168136</v>
      </c>
      <c r="E35" s="184"/>
      <c r="F35" s="184">
        <f>F19-F33</f>
        <v>-110347.6568</v>
      </c>
      <c r="G35" s="185"/>
      <c r="H35" s="237"/>
      <c r="I35" s="164" t="s">
        <v>252</v>
      </c>
      <c r="L35" s="188">
        <f>L19-L33</f>
        <v>-171253</v>
      </c>
      <c r="M35" s="184"/>
      <c r="N35" s="184">
        <f>N19-N33</f>
        <v>-112393.34389999999</v>
      </c>
      <c r="P35" s="184">
        <f>P19-P33</f>
        <v>3117</v>
      </c>
      <c r="R35" s="184">
        <f>R19-R33</f>
        <v>2045.6871000000006</v>
      </c>
    </row>
    <row r="36" spans="1:18">
      <c r="D36" s="201"/>
      <c r="E36" s="184"/>
      <c r="F36" s="184"/>
      <c r="G36" s="184"/>
      <c r="H36" s="201"/>
      <c r="L36" s="201"/>
      <c r="M36" s="184"/>
      <c r="N36" s="184"/>
      <c r="R36" s="184"/>
    </row>
    <row r="37" spans="1:18">
      <c r="A37" s="164" t="s">
        <v>253</v>
      </c>
      <c r="C37" s="193">
        <v>0.35</v>
      </c>
      <c r="D37" s="201"/>
      <c r="E37" s="183"/>
      <c r="F37" s="190">
        <f>C37*F35</f>
        <v>-38621.679879999996</v>
      </c>
      <c r="G37" s="182"/>
      <c r="H37" s="201"/>
      <c r="I37" s="164" t="s">
        <v>253</v>
      </c>
      <c r="K37" s="193">
        <v>0.35</v>
      </c>
      <c r="L37" s="201"/>
      <c r="M37" s="183"/>
      <c r="N37" s="190">
        <f>K37*N35</f>
        <v>-39337.670364999998</v>
      </c>
      <c r="R37" s="190">
        <f>K37*R35</f>
        <v>715.99048500000015</v>
      </c>
    </row>
    <row r="38" spans="1:18">
      <c r="D38" s="201"/>
      <c r="E38" s="183"/>
      <c r="F38" s="182"/>
      <c r="G38" s="182"/>
      <c r="H38" s="201"/>
      <c r="L38" s="201"/>
      <c r="M38" s="183"/>
      <c r="N38" s="182"/>
      <c r="R38" s="182"/>
    </row>
    <row r="39" spans="1:18">
      <c r="A39" s="164" t="s">
        <v>254</v>
      </c>
      <c r="D39" s="201"/>
      <c r="E39" s="184"/>
      <c r="F39" s="182">
        <f>F35-F37-1</f>
        <v>-71726.976920000001</v>
      </c>
      <c r="G39" s="184"/>
      <c r="H39" s="201"/>
      <c r="I39" s="164" t="s">
        <v>254</v>
      </c>
      <c r="L39" s="201"/>
      <c r="M39" s="184"/>
      <c r="N39" s="182">
        <f>N35-N37</f>
        <v>-73055.673534999994</v>
      </c>
      <c r="R39" s="181">
        <f>R35-R37</f>
        <v>1329.6966150000003</v>
      </c>
    </row>
    <row r="40" spans="1:18" ht="13.5" thickBot="1">
      <c r="D40" s="201"/>
      <c r="E40" s="184"/>
      <c r="F40" s="184"/>
      <c r="G40" s="184"/>
      <c r="H40" s="201"/>
      <c r="L40" s="201"/>
      <c r="M40" s="184"/>
      <c r="N40" s="184"/>
      <c r="R40" s="184"/>
    </row>
    <row r="41" spans="1:18" ht="13.5" thickBot="1">
      <c r="A41" s="194" t="s">
        <v>255</v>
      </c>
      <c r="D41" s="201"/>
      <c r="H41" s="201"/>
      <c r="I41" s="195"/>
      <c r="L41" s="201"/>
      <c r="O41" s="245" t="s">
        <v>256</v>
      </c>
      <c r="P41" s="164">
        <v>0.61931000000000003</v>
      </c>
      <c r="R41" s="255">
        <f>R39/P41</f>
        <v>2147.0614312702851</v>
      </c>
    </row>
    <row r="42" spans="1:18" ht="13.5" thickBot="1">
      <c r="H42" s="201"/>
      <c r="N42" s="194" t="s">
        <v>319</v>
      </c>
      <c r="O42" s="194"/>
      <c r="P42" s="194"/>
      <c r="Q42" s="194"/>
      <c r="R42" s="247">
        <v>620</v>
      </c>
    </row>
    <row r="43" spans="1:18" ht="13.5" thickBot="1">
      <c r="N43" s="248" t="s">
        <v>320</v>
      </c>
      <c r="O43" s="249"/>
      <c r="P43" s="249"/>
      <c r="Q43" s="250"/>
      <c r="R43" s="256">
        <f>R41-R42</f>
        <v>1527.0614312702851</v>
      </c>
    </row>
    <row r="44" spans="1:18" ht="15">
      <c r="F44" s="199" t="s">
        <v>314</v>
      </c>
      <c r="N44" s="257" t="s">
        <v>327</v>
      </c>
      <c r="O44" s="257"/>
      <c r="P44" s="258"/>
      <c r="Q44" s="259"/>
      <c r="R44" s="260">
        <f>R43/'[9]Attrition 12.2015 to 2018'!V89-1</f>
        <v>1497.609287509694</v>
      </c>
    </row>
    <row r="45" spans="1:18">
      <c r="P45" s="201"/>
      <c r="Q45" s="201"/>
      <c r="R45" s="201"/>
    </row>
  </sheetData>
  <mergeCells count="2">
    <mergeCell ref="A4:F4"/>
    <mergeCell ref="I4:N4"/>
  </mergeCells>
  <pageMargins left="1.05" right="0.34" top="0.75" bottom="0.77" header="0.5" footer="0.52"/>
  <pageSetup scale="68" orientation="landscape" r:id="rId1"/>
  <headerFooter scaleWithDoc="0" alignWithMargins="0">
    <oddHeader>&amp;CAttachment G (Electric 2018 Attrition Model Backup)&amp;R(See Revised Exhibit No. EMA-9)</oddHeader>
    <oddFooter>&amp;C&amp;A&amp;RPage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4"/>
  <sheetViews>
    <sheetView tabSelected="1" view="pageBreakPreview" zoomScale="115" zoomScaleNormal="100" zoomScaleSheetLayoutView="115" workbookViewId="0">
      <selection activeCell="I37" activeCellId="1" sqref="C29 I37"/>
    </sheetView>
  </sheetViews>
  <sheetFormatPr defaultColWidth="11.42578125" defaultRowHeight="12.75"/>
  <cols>
    <col min="1" max="1" width="6.140625" style="154" customWidth="1"/>
    <col min="2" max="2" width="39.140625" customWidth="1"/>
    <col min="3" max="3" width="9" customWidth="1"/>
    <col min="4" max="4" width="15.28515625" customWidth="1"/>
    <col min="5" max="5" width="13" customWidth="1"/>
    <col min="6" max="6" width="14.28515625" style="109" customWidth="1"/>
    <col min="7" max="7" width="13.140625" style="109" customWidth="1"/>
    <col min="8" max="8" width="14.7109375" style="109" hidden="1" customWidth="1"/>
    <col min="9" max="9" width="18.7109375" style="149" customWidth="1"/>
    <col min="10" max="10" width="15.85546875" customWidth="1"/>
    <col min="11" max="11" width="12" customWidth="1"/>
  </cols>
  <sheetData>
    <row r="1" spans="1:22">
      <c r="A1" s="87"/>
      <c r="B1" s="87"/>
      <c r="C1" s="88" t="s">
        <v>112</v>
      </c>
      <c r="F1"/>
      <c r="G1"/>
      <c r="H1"/>
      <c r="I1"/>
    </row>
    <row r="2" spans="1:22">
      <c r="A2" s="87"/>
      <c r="B2" s="87"/>
      <c r="C2" s="88" t="s">
        <v>113</v>
      </c>
      <c r="F2"/>
      <c r="G2"/>
      <c r="H2"/>
      <c r="I2"/>
    </row>
    <row r="3" spans="1:22">
      <c r="A3" s="89"/>
      <c r="B3" s="87"/>
      <c r="C3" s="88" t="s">
        <v>114</v>
      </c>
      <c r="F3"/>
      <c r="G3"/>
      <c r="H3"/>
      <c r="I3" s="90"/>
      <c r="K3">
        <v>-367.49129001798519</v>
      </c>
      <c r="L3">
        <v>-217.95841131731828</v>
      </c>
      <c r="M3">
        <v>95.716790636442511</v>
      </c>
      <c r="N3">
        <v>20.853349544480498</v>
      </c>
      <c r="O3">
        <v>151.78331407271318</v>
      </c>
      <c r="P3">
        <v>164.82384604662656</v>
      </c>
      <c r="Q3">
        <v>13.003959042578842</v>
      </c>
      <c r="R3">
        <v>-68.733011397978302</v>
      </c>
      <c r="S3">
        <v>-73.169138980656712</v>
      </c>
      <c r="T3">
        <v>-65.480886194761695</v>
      </c>
      <c r="U3">
        <v>-67.801545360684301</v>
      </c>
      <c r="V3">
        <v>-104.7795808488502</v>
      </c>
    </row>
    <row r="4" spans="1:22">
      <c r="A4" s="89"/>
      <c r="B4" s="87"/>
      <c r="C4" s="91" t="s">
        <v>115</v>
      </c>
      <c r="F4"/>
      <c r="G4"/>
      <c r="H4"/>
      <c r="I4" s="90"/>
    </row>
    <row r="5" spans="1:22" ht="12.75" customHeight="1">
      <c r="A5" s="92"/>
      <c r="C5" s="91"/>
      <c r="D5" s="93"/>
      <c r="E5" s="93"/>
      <c r="F5" s="93"/>
      <c r="G5" s="93"/>
      <c r="H5" s="93" t="s">
        <v>116</v>
      </c>
      <c r="I5" s="94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92" t="s">
        <v>93</v>
      </c>
      <c r="D6" s="93" t="s">
        <v>117</v>
      </c>
      <c r="E6" s="93"/>
      <c r="F6" s="93" t="s">
        <v>118</v>
      </c>
      <c r="G6" s="95"/>
      <c r="H6" s="95" t="s">
        <v>119</v>
      </c>
      <c r="I6" s="96"/>
    </row>
    <row r="7" spans="1:22">
      <c r="A7" s="97" t="s">
        <v>86</v>
      </c>
      <c r="D7" s="98" t="s">
        <v>120</v>
      </c>
      <c r="E7" s="99" t="s">
        <v>121</v>
      </c>
      <c r="F7" s="98" t="s">
        <v>89</v>
      </c>
      <c r="G7" s="98"/>
      <c r="H7" s="98" t="s">
        <v>122</v>
      </c>
      <c r="I7" s="100" t="s">
        <v>123</v>
      </c>
      <c r="J7" s="101" t="s">
        <v>124</v>
      </c>
      <c r="K7" s="102">
        <v>41639</v>
      </c>
      <c r="L7" s="102">
        <v>41670</v>
      </c>
      <c r="M7" s="102">
        <v>41698</v>
      </c>
      <c r="N7" s="102">
        <v>41729</v>
      </c>
      <c r="O7" s="102">
        <v>41759</v>
      </c>
      <c r="P7" s="102">
        <v>41790</v>
      </c>
      <c r="Q7" s="102">
        <v>41455</v>
      </c>
      <c r="R7" s="102">
        <v>41486</v>
      </c>
      <c r="S7" s="102">
        <v>41517</v>
      </c>
      <c r="T7" s="102">
        <v>41547</v>
      </c>
      <c r="U7" s="102">
        <v>41578</v>
      </c>
      <c r="V7" s="102">
        <v>41608</v>
      </c>
    </row>
    <row r="8" spans="1:22">
      <c r="A8" s="92"/>
      <c r="B8" s="103" t="s">
        <v>125</v>
      </c>
      <c r="D8" s="104"/>
      <c r="E8" s="105"/>
      <c r="F8" s="104"/>
      <c r="G8" s="104"/>
      <c r="H8" s="104"/>
      <c r="I8" s="106"/>
    </row>
    <row r="9" spans="1:22">
      <c r="A9" s="92">
        <f t="shared" ref="A9:A27" si="0">A8+1</f>
        <v>1</v>
      </c>
      <c r="B9" t="s">
        <v>126</v>
      </c>
      <c r="D9" s="107">
        <v>0</v>
      </c>
      <c r="E9" s="107">
        <f t="shared" ref="E9:E28" si="1">F9-D9</f>
        <v>8203.1184865326431</v>
      </c>
      <c r="F9" s="107">
        <v>8203.1184865326431</v>
      </c>
      <c r="G9" s="107"/>
      <c r="H9" s="107">
        <v>20917.018981429192</v>
      </c>
      <c r="I9" s="108" t="s">
        <v>127</v>
      </c>
      <c r="J9" s="109">
        <f t="shared" ref="J9:J14" si="2">SUM(K9:V9)/1000</f>
        <v>8203.1184865326431</v>
      </c>
      <c r="K9" s="110">
        <v>326824.851631</v>
      </c>
      <c r="L9" s="110">
        <v>434655.39400149102</v>
      </c>
      <c r="M9" s="110">
        <v>342882.89102315903</v>
      </c>
      <c r="N9" s="110">
        <v>59463.102008821399</v>
      </c>
      <c r="O9" s="110">
        <v>17650.528671767097</v>
      </c>
      <c r="P9" s="110">
        <v>336115.88123454695</v>
      </c>
      <c r="Q9" s="110">
        <f>'[7]WGJ-4'!J13</f>
        <v>994662.84832954395</v>
      </c>
      <c r="R9" s="110">
        <f>'[7]WGJ-4'!K13</f>
        <v>2295339.81351852</v>
      </c>
      <c r="S9" s="110">
        <f>'[7]WGJ-4'!L13</f>
        <v>986610.35695783701</v>
      </c>
      <c r="T9" s="110">
        <f>'[7]WGJ-4'!M13</f>
        <v>957912.55381992005</v>
      </c>
      <c r="U9" s="110">
        <f>'[7]WGJ-4'!N13</f>
        <v>845349.97408389999</v>
      </c>
      <c r="V9" s="110">
        <f>'[7]WGJ-4'!O13</f>
        <v>605650.291252136</v>
      </c>
    </row>
    <row r="10" spans="1:22">
      <c r="A10" s="92">
        <f t="shared" si="0"/>
        <v>2</v>
      </c>
      <c r="B10" t="s">
        <v>128</v>
      </c>
      <c r="D10" s="111">
        <f>84386+1</f>
        <v>84387</v>
      </c>
      <c r="E10" s="106">
        <f t="shared" si="1"/>
        <v>-84387</v>
      </c>
      <c r="F10" s="112">
        <v>0</v>
      </c>
      <c r="G10" s="107"/>
      <c r="H10" s="107"/>
      <c r="I10" s="108"/>
      <c r="J10" s="109">
        <f t="shared" si="2"/>
        <v>0</v>
      </c>
      <c r="K10" s="110"/>
      <c r="L10" s="110"/>
      <c r="M10" s="110"/>
      <c r="N10" s="110"/>
      <c r="O10" s="110"/>
      <c r="P10" s="110"/>
      <c r="Q10" s="110">
        <v>0</v>
      </c>
      <c r="R10" s="110">
        <v>0</v>
      </c>
      <c r="S10" s="110">
        <v>0</v>
      </c>
      <c r="T10" s="110">
        <v>0</v>
      </c>
      <c r="U10" s="110">
        <v>0</v>
      </c>
      <c r="V10" s="110">
        <v>0</v>
      </c>
    </row>
    <row r="11" spans="1:22">
      <c r="A11" s="92">
        <f t="shared" si="0"/>
        <v>3</v>
      </c>
      <c r="B11" t="s">
        <v>129</v>
      </c>
      <c r="D11" s="111">
        <v>0</v>
      </c>
      <c r="E11" s="106">
        <f t="shared" si="1"/>
        <v>-366.96020374035243</v>
      </c>
      <c r="F11" s="112">
        <v>-366.96020374035243</v>
      </c>
      <c r="G11" s="107"/>
      <c r="H11" s="107"/>
      <c r="I11" s="108"/>
      <c r="J11" s="109">
        <f t="shared" si="2"/>
        <v>-366.96020374035243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10">
        <v>13003.959042578841</v>
      </c>
      <c r="R11" s="110">
        <v>-68733.011397978305</v>
      </c>
      <c r="S11" s="110">
        <v>-73169.138980656717</v>
      </c>
      <c r="T11" s="110">
        <v>-65480.886194761697</v>
      </c>
      <c r="U11" s="110">
        <v>-67801.545360684308</v>
      </c>
      <c r="V11" s="110">
        <v>-104779.58084885021</v>
      </c>
    </row>
    <row r="12" spans="1:22">
      <c r="A12" s="92">
        <f t="shared" si="0"/>
        <v>4</v>
      </c>
      <c r="B12" t="s">
        <v>130</v>
      </c>
      <c r="D12" s="111">
        <v>13315</v>
      </c>
      <c r="E12" s="106">
        <f t="shared" si="1"/>
        <v>923.17459999999846</v>
      </c>
      <c r="F12" s="111">
        <v>14238.174599999998</v>
      </c>
      <c r="G12" s="113"/>
      <c r="H12" s="113"/>
      <c r="I12" s="106"/>
      <c r="J12" s="109">
        <f t="shared" si="2"/>
        <v>14238.174599999998</v>
      </c>
      <c r="K12" s="114">
        <v>1216938</v>
      </c>
      <c r="L12" s="114">
        <v>1216938</v>
      </c>
      <c r="M12" s="114">
        <v>1216938</v>
      </c>
      <c r="N12" s="114">
        <v>1216938</v>
      </c>
      <c r="O12" s="114">
        <v>1216938</v>
      </c>
      <c r="P12" s="114">
        <v>1216938</v>
      </c>
      <c r="Q12" s="114">
        <v>1156091.0999999999</v>
      </c>
      <c r="R12" s="114">
        <v>1156091.0999999999</v>
      </c>
      <c r="S12" s="114">
        <v>1156091.0999999999</v>
      </c>
      <c r="T12" s="114">
        <v>1156091.0999999999</v>
      </c>
      <c r="U12" s="114">
        <v>1156091.0999999999</v>
      </c>
      <c r="V12" s="114">
        <v>1156091.0999999999</v>
      </c>
    </row>
    <row r="13" spans="1:22">
      <c r="A13" s="92">
        <f t="shared" si="0"/>
        <v>5</v>
      </c>
      <c r="B13" t="s">
        <v>131</v>
      </c>
      <c r="D13" s="111">
        <v>1703</v>
      </c>
      <c r="E13" s="106">
        <f t="shared" si="1"/>
        <v>194.54552499999977</v>
      </c>
      <c r="F13" s="115">
        <v>1897.5455249999998</v>
      </c>
      <c r="G13" s="113"/>
      <c r="H13" s="113">
        <v>1177</v>
      </c>
      <c r="I13" s="106"/>
      <c r="J13" s="109">
        <f t="shared" si="2"/>
        <v>1897.5455249999998</v>
      </c>
      <c r="K13" s="114">
        <v>158915.50416666668</v>
      </c>
      <c r="L13" s="114">
        <v>158915.50416666668</v>
      </c>
      <c r="M13" s="114">
        <v>158915.50416666668</v>
      </c>
      <c r="N13" s="114">
        <v>158915.50416666668</v>
      </c>
      <c r="O13" s="114">
        <v>158915.50416666668</v>
      </c>
      <c r="P13" s="114">
        <v>158915.50416666668</v>
      </c>
      <c r="Q13" s="114">
        <f t="shared" ref="Q13:V13" si="3">1888105/12</f>
        <v>157342.08333333334</v>
      </c>
      <c r="R13" s="114">
        <f t="shared" si="3"/>
        <v>157342.08333333334</v>
      </c>
      <c r="S13" s="114">
        <f t="shared" si="3"/>
        <v>157342.08333333334</v>
      </c>
      <c r="T13" s="114">
        <f t="shared" si="3"/>
        <v>157342.08333333334</v>
      </c>
      <c r="U13" s="114">
        <f t="shared" si="3"/>
        <v>157342.08333333334</v>
      </c>
      <c r="V13" s="114">
        <f t="shared" si="3"/>
        <v>157342.08333333334</v>
      </c>
    </row>
    <row r="14" spans="1:22">
      <c r="A14" s="92">
        <f t="shared" si="0"/>
        <v>6</v>
      </c>
      <c r="B14" t="s">
        <v>132</v>
      </c>
      <c r="D14" s="111">
        <v>2482</v>
      </c>
      <c r="E14" s="106">
        <f t="shared" si="1"/>
        <v>-2482</v>
      </c>
      <c r="F14" s="116">
        <v>0</v>
      </c>
      <c r="G14" s="113"/>
      <c r="H14" s="113"/>
      <c r="I14" s="106"/>
      <c r="J14" s="109">
        <f t="shared" si="2"/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</row>
    <row r="15" spans="1:22">
      <c r="A15" s="92">
        <f t="shared" si="0"/>
        <v>7</v>
      </c>
      <c r="B15" t="s">
        <v>133</v>
      </c>
      <c r="D15" s="111">
        <v>7118</v>
      </c>
      <c r="E15" s="106">
        <f t="shared" si="1"/>
        <v>1101.1856189233094</v>
      </c>
      <c r="F15" s="115">
        <v>8219.1856189233094</v>
      </c>
      <c r="G15" s="117"/>
      <c r="H15" s="106">
        <v>0</v>
      </c>
      <c r="I15" s="117" t="s">
        <v>134</v>
      </c>
      <c r="J15" s="109">
        <f t="shared" ref="J15:J28" si="4">SUM(K15:V15)/1000</f>
        <v>8219.1856189233094</v>
      </c>
      <c r="K15" s="114">
        <v>883492.27825034282</v>
      </c>
      <c r="L15" s="114">
        <v>712407.46943695156</v>
      </c>
      <c r="M15" s="114">
        <v>690439.19861244084</v>
      </c>
      <c r="N15" s="114">
        <v>652738.35348430753</v>
      </c>
      <c r="O15" s="114">
        <v>728567.47792011034</v>
      </c>
      <c r="P15" s="114">
        <v>703395.14982032508</v>
      </c>
      <c r="Q15" s="114">
        <f>[7]Index!J53</f>
        <v>773481.77581780183</v>
      </c>
      <c r="R15" s="114">
        <f>[7]Index!K53</f>
        <v>683442.61873856559</v>
      </c>
      <c r="S15" s="114">
        <f>[7]Index!L53</f>
        <v>493631.5322150765</v>
      </c>
      <c r="T15" s="114">
        <f>[7]Index!M53</f>
        <v>480341.07474600425</v>
      </c>
      <c r="U15" s="114">
        <f>[7]Index!N53</f>
        <v>649524.49520845129</v>
      </c>
      <c r="V15" s="114">
        <f>[7]Index!O53</f>
        <v>767724.19467293238</v>
      </c>
    </row>
    <row r="16" spans="1:22">
      <c r="A16" s="92">
        <f t="shared" si="0"/>
        <v>8</v>
      </c>
      <c r="B16" t="s">
        <v>135</v>
      </c>
      <c r="D16" s="111">
        <v>1211</v>
      </c>
      <c r="E16" s="111">
        <f t="shared" si="1"/>
        <v>120.41311407203762</v>
      </c>
      <c r="F16" s="115">
        <v>1331.4131140720376</v>
      </c>
      <c r="G16" s="111" t="s">
        <v>136</v>
      </c>
      <c r="H16" s="116">
        <v>5512</v>
      </c>
      <c r="I16" s="106"/>
      <c r="J16" s="109">
        <f t="shared" si="4"/>
        <v>1331.4131140720376</v>
      </c>
      <c r="K16" s="114">
        <v>53014.371016286459</v>
      </c>
      <c r="L16" s="114">
        <v>40118.444150656811</v>
      </c>
      <c r="M16" s="114">
        <v>94456.393511434289</v>
      </c>
      <c r="N16" s="114">
        <v>168474.50040786478</v>
      </c>
      <c r="O16" s="114">
        <v>209505.18704959075</v>
      </c>
      <c r="P16" s="114">
        <v>226512.68200613206</v>
      </c>
      <c r="Q16" s="114">
        <v>192940.87648729995</v>
      </c>
      <c r="R16" s="114">
        <v>137423.8842732975</v>
      </c>
      <c r="S16" s="114">
        <v>56311.915220387622</v>
      </c>
      <c r="T16" s="114">
        <v>61593.304430255128</v>
      </c>
      <c r="U16" s="114">
        <v>43005.025598436056</v>
      </c>
      <c r="V16" s="114">
        <v>48056.529920396053</v>
      </c>
    </row>
    <row r="17" spans="1:22">
      <c r="A17" s="92">
        <f t="shared" si="0"/>
        <v>9</v>
      </c>
      <c r="B17" t="s">
        <v>137</v>
      </c>
      <c r="D17" s="111">
        <v>22737</v>
      </c>
      <c r="E17" s="111">
        <f t="shared" si="1"/>
        <v>678.62866100003885</v>
      </c>
      <c r="F17" s="118">
        <v>23415.628661000039</v>
      </c>
      <c r="G17" s="116"/>
      <c r="H17" s="116"/>
      <c r="I17" s="106"/>
      <c r="J17" s="109">
        <f t="shared" si="4"/>
        <v>23415.628661000039</v>
      </c>
      <c r="K17" s="114">
        <v>1963447.4478646733</v>
      </c>
      <c r="L17" s="114">
        <v>1963447.4478646733</v>
      </c>
      <c r="M17" s="114">
        <v>1963447.4478646733</v>
      </c>
      <c r="N17" s="114">
        <v>1963447.4478646733</v>
      </c>
      <c r="O17" s="114">
        <v>1963447.4478646733</v>
      </c>
      <c r="P17" s="114">
        <v>1963447.4478646733</v>
      </c>
      <c r="Q17" s="114">
        <v>1939157.3289686665</v>
      </c>
      <c r="R17" s="114">
        <v>1939157.3289686665</v>
      </c>
      <c r="S17" s="114">
        <v>1939157.3289686665</v>
      </c>
      <c r="T17" s="114">
        <v>1939157.3289686665</v>
      </c>
      <c r="U17" s="114">
        <v>1939157.3289686665</v>
      </c>
      <c r="V17" s="114">
        <v>1939157.3289686665</v>
      </c>
    </row>
    <row r="18" spans="1:22">
      <c r="A18" s="92">
        <f t="shared" si="0"/>
        <v>10</v>
      </c>
      <c r="B18" t="s">
        <v>138</v>
      </c>
      <c r="D18" s="111">
        <v>2745</v>
      </c>
      <c r="E18" s="111">
        <f t="shared" si="1"/>
        <v>512.37148679749816</v>
      </c>
      <c r="F18" s="118">
        <v>3257.3714867974982</v>
      </c>
      <c r="G18" s="116"/>
      <c r="H18" s="116"/>
      <c r="I18" s="106"/>
      <c r="J18" s="109">
        <f t="shared" si="4"/>
        <v>3257.3714867974982</v>
      </c>
      <c r="K18" s="114">
        <v>376913.81837054231</v>
      </c>
      <c r="L18" s="114">
        <v>301241.49052165903</v>
      </c>
      <c r="M18" s="114">
        <v>327852.56161519722</v>
      </c>
      <c r="N18" s="114">
        <v>245509.66127001122</v>
      </c>
      <c r="O18" s="114">
        <v>124597.6789658004</v>
      </c>
      <c r="P18" s="114">
        <v>96771.793498165905</v>
      </c>
      <c r="Q18" s="114">
        <f>'[7]WGJ-4'!J33*(2.059*1.012)</f>
        <v>201480.14290096864</v>
      </c>
      <c r="R18" s="114">
        <f>'[7]WGJ-4'!K33*(2.059*1.012)</f>
        <v>273644.69082904037</v>
      </c>
      <c r="S18" s="114">
        <f>'[7]WGJ-4'!L33*(2.059*1.012)</f>
        <v>298560.16312638181</v>
      </c>
      <c r="T18" s="114">
        <f>'[7]WGJ-4'!M33*(2.059*1.012)</f>
        <v>324748.13544886693</v>
      </c>
      <c r="U18" s="114">
        <f>'[7]WGJ-4'!N33*(2.059*1.012)</f>
        <v>321331.64039957098</v>
      </c>
      <c r="V18" s="114">
        <f>'[7]WGJ-4'!O33*(2.059*1.012)</f>
        <v>364719.70985129348</v>
      </c>
    </row>
    <row r="19" spans="1:22">
      <c r="A19" s="92">
        <f t="shared" si="0"/>
        <v>11</v>
      </c>
      <c r="B19" t="s">
        <v>139</v>
      </c>
      <c r="D19" s="111">
        <v>13302</v>
      </c>
      <c r="E19" s="106">
        <f t="shared" si="1"/>
        <v>4666.4516565000049</v>
      </c>
      <c r="F19" s="115">
        <v>17968.451656500005</v>
      </c>
      <c r="G19" s="106" t="s">
        <v>136</v>
      </c>
      <c r="H19" s="106">
        <v>-2690</v>
      </c>
      <c r="I19" s="119" t="s">
        <v>140</v>
      </c>
      <c r="J19" s="109">
        <f t="shared" si="4"/>
        <v>17968.451656500005</v>
      </c>
      <c r="K19" s="110">
        <v>3709196.6715000002</v>
      </c>
      <c r="L19" s="110">
        <v>3309481.8000000003</v>
      </c>
      <c r="M19" s="110">
        <v>1833281.1135</v>
      </c>
      <c r="N19" s="110">
        <v>1802582.5050000001</v>
      </c>
      <c r="O19" s="110"/>
      <c r="P19" s="110"/>
      <c r="Q19" s="110"/>
      <c r="R19" s="110"/>
      <c r="S19" s="110"/>
      <c r="T19" s="110"/>
      <c r="U19" s="110">
        <v>3598202.4390000002</v>
      </c>
      <c r="V19" s="110">
        <v>3715707.1274999999</v>
      </c>
    </row>
    <row r="20" spans="1:22">
      <c r="A20" s="92">
        <f t="shared" si="0"/>
        <v>12</v>
      </c>
      <c r="B20" t="s">
        <v>141</v>
      </c>
      <c r="D20" s="111">
        <v>7</v>
      </c>
      <c r="E20" s="106">
        <f t="shared" si="1"/>
        <v>0</v>
      </c>
      <c r="F20" s="106">
        <v>6.9999999999999991</v>
      </c>
      <c r="G20" s="106"/>
      <c r="H20" s="106">
        <v>6679.5</v>
      </c>
      <c r="I20" s="106"/>
      <c r="J20" s="109">
        <f t="shared" si="4"/>
        <v>6.9999999999999991</v>
      </c>
      <c r="K20" s="114">
        <v>583.33333333333337</v>
      </c>
      <c r="L20" s="114">
        <v>583.33333333333337</v>
      </c>
      <c r="M20" s="114">
        <v>583.33333333333337</v>
      </c>
      <c r="N20" s="114">
        <v>583.33333333333337</v>
      </c>
      <c r="O20" s="114">
        <v>583.33333333333337</v>
      </c>
      <c r="P20" s="114">
        <v>583.33333333333337</v>
      </c>
      <c r="Q20" s="114">
        <f t="shared" ref="Q20:V20" si="5">$F20/12*1000</f>
        <v>583.33333333333326</v>
      </c>
      <c r="R20" s="114">
        <f t="shared" si="5"/>
        <v>583.33333333333326</v>
      </c>
      <c r="S20" s="114">
        <f t="shared" si="5"/>
        <v>583.33333333333326</v>
      </c>
      <c r="T20" s="114">
        <f t="shared" si="5"/>
        <v>583.33333333333326</v>
      </c>
      <c r="U20" s="114">
        <f t="shared" si="5"/>
        <v>583.33333333333326</v>
      </c>
      <c r="V20" s="114">
        <f t="shared" si="5"/>
        <v>583.33333333333326</v>
      </c>
    </row>
    <row r="21" spans="1:22">
      <c r="A21" s="92">
        <f t="shared" si="0"/>
        <v>13</v>
      </c>
      <c r="B21" t="s">
        <v>142</v>
      </c>
      <c r="D21" s="111">
        <v>1290</v>
      </c>
      <c r="E21" s="106">
        <f t="shared" si="1"/>
        <v>68.464124490446238</v>
      </c>
      <c r="F21" s="116">
        <v>1358.4641244904462</v>
      </c>
      <c r="G21" s="106" t="s">
        <v>136</v>
      </c>
      <c r="H21" s="116">
        <v>6132</v>
      </c>
      <c r="I21" s="106"/>
      <c r="J21" s="109">
        <f t="shared" si="4"/>
        <v>1358.4641244904462</v>
      </c>
      <c r="K21" s="114">
        <v>101777.21716415261</v>
      </c>
      <c r="L21" s="114">
        <v>122124.18402414545</v>
      </c>
      <c r="M21" s="114">
        <v>156259.97529834532</v>
      </c>
      <c r="N21" s="114">
        <v>174470.60051249905</v>
      </c>
      <c r="O21" s="114">
        <v>168952.86594441361</v>
      </c>
      <c r="P21" s="114">
        <v>147730.86448487977</v>
      </c>
      <c r="Q21" s="114">
        <v>128692.68468434841</v>
      </c>
      <c r="R21" s="114">
        <v>78476.746595809935</v>
      </c>
      <c r="S21" s="114">
        <v>53427.096850076006</v>
      </c>
      <c r="T21" s="114">
        <v>57263.917042848785</v>
      </c>
      <c r="U21" s="114">
        <v>75352.367671043787</v>
      </c>
      <c r="V21" s="114">
        <v>93935.604217883098</v>
      </c>
    </row>
    <row r="22" spans="1:22">
      <c r="A22" s="92">
        <f t="shared" si="0"/>
        <v>14</v>
      </c>
      <c r="B22" t="s">
        <v>143</v>
      </c>
      <c r="D22" s="111">
        <v>1346</v>
      </c>
      <c r="E22" s="106">
        <f t="shared" si="1"/>
        <v>421.59429936113179</v>
      </c>
      <c r="F22" s="112">
        <v>1767.5942993611318</v>
      </c>
      <c r="G22" s="106" t="s">
        <v>136</v>
      </c>
      <c r="H22" s="111">
        <v>6132</v>
      </c>
      <c r="I22" s="119" t="s">
        <v>144</v>
      </c>
      <c r="J22" s="109">
        <f t="shared" si="4"/>
        <v>1767.5942993611318</v>
      </c>
      <c r="K22" s="114">
        <v>164599.58115722626</v>
      </c>
      <c r="L22" s="114">
        <v>143975.72892578124</v>
      </c>
      <c r="M22" s="114">
        <v>112182.10648437501</v>
      </c>
      <c r="N22" s="114">
        <v>100086.907578125</v>
      </c>
      <c r="O22" s="114">
        <v>124646.78621093728</v>
      </c>
      <c r="P22" s="114">
        <v>95522.692421875006</v>
      </c>
      <c r="Q22" s="114">
        <v>170259.1400592771</v>
      </c>
      <c r="R22" s="114">
        <v>185136.1570371094</v>
      </c>
      <c r="S22" s="114">
        <v>155568.75823212863</v>
      </c>
      <c r="T22" s="114">
        <v>175218.1457185547</v>
      </c>
      <c r="U22" s="114">
        <v>164766.90273574222</v>
      </c>
      <c r="V22" s="114">
        <v>175631.3928</v>
      </c>
    </row>
    <row r="23" spans="1:22">
      <c r="A23" s="92">
        <f t="shared" si="0"/>
        <v>15</v>
      </c>
      <c r="B23" t="s">
        <v>145</v>
      </c>
      <c r="D23" s="111">
        <v>2330</v>
      </c>
      <c r="E23" s="106">
        <f t="shared" si="1"/>
        <v>626.30729323730611</v>
      </c>
      <c r="F23" s="111">
        <v>2956.3072932373061</v>
      </c>
      <c r="G23" s="106" t="s">
        <v>136</v>
      </c>
      <c r="H23" s="106">
        <v>6953.25</v>
      </c>
      <c r="I23" s="106"/>
      <c r="J23" s="109">
        <f t="shared" si="4"/>
        <v>2956.3072932373061</v>
      </c>
      <c r="K23" s="114">
        <v>365420.60972656251</v>
      </c>
      <c r="L23" s="114">
        <v>365277.35884277383</v>
      </c>
      <c r="M23" s="114">
        <v>491994.36247070343</v>
      </c>
      <c r="N23" s="114">
        <v>384599.63503133139</v>
      </c>
      <c r="O23" s="114">
        <v>356577.5050394698</v>
      </c>
      <c r="P23" s="114">
        <v>275141.46287190786</v>
      </c>
      <c r="Q23" s="114">
        <v>94880.820286458329</v>
      </c>
      <c r="R23" s="114">
        <v>-33904.298968098956</v>
      </c>
      <c r="S23" s="114">
        <v>8925.8123209635414</v>
      </c>
      <c r="T23" s="114">
        <v>107947.21971354166</v>
      </c>
      <c r="U23" s="114">
        <v>205954.81366699244</v>
      </c>
      <c r="V23" s="114">
        <v>333491.99223470083</v>
      </c>
    </row>
    <row r="24" spans="1:22">
      <c r="A24" s="92">
        <f t="shared" si="0"/>
        <v>16</v>
      </c>
      <c r="B24" t="s">
        <v>146</v>
      </c>
      <c r="D24" s="111">
        <v>5562</v>
      </c>
      <c r="E24" s="106">
        <f t="shared" si="1"/>
        <v>755.00991812254415</v>
      </c>
      <c r="F24" s="111">
        <v>6317.0099181225441</v>
      </c>
      <c r="G24" s="106" t="s">
        <v>136</v>
      </c>
      <c r="H24" s="106"/>
      <c r="I24" s="106"/>
      <c r="J24" s="109">
        <f t="shared" si="4"/>
        <v>6317.0099181225441</v>
      </c>
      <c r="K24" s="114">
        <v>507486.46364587406</v>
      </c>
      <c r="L24" s="114">
        <v>504989.29648803675</v>
      </c>
      <c r="M24" s="114">
        <v>461586.11395788298</v>
      </c>
      <c r="N24" s="114">
        <v>472591.65381969843</v>
      </c>
      <c r="O24" s="114">
        <v>488344.6847548809</v>
      </c>
      <c r="P24" s="114">
        <v>427274.59018847457</v>
      </c>
      <c r="Q24" s="114">
        <v>533290.85440172988</v>
      </c>
      <c r="R24" s="114">
        <v>619305.51740234368</v>
      </c>
      <c r="S24" s="114">
        <v>574355.96270507807</v>
      </c>
      <c r="T24" s="114">
        <v>636508.46778320312</v>
      </c>
      <c r="U24" s="114">
        <v>549383.94918945315</v>
      </c>
      <c r="V24" s="114">
        <v>541892.36378588679</v>
      </c>
    </row>
    <row r="25" spans="1:22">
      <c r="A25" s="92">
        <f t="shared" si="0"/>
        <v>17</v>
      </c>
      <c r="B25" t="s">
        <v>147</v>
      </c>
      <c r="D25" s="111">
        <v>34</v>
      </c>
      <c r="E25" s="106">
        <f t="shared" si="1"/>
        <v>-34</v>
      </c>
      <c r="F25" s="106">
        <v>0</v>
      </c>
      <c r="G25" s="106"/>
      <c r="H25" s="106">
        <v>921</v>
      </c>
      <c r="I25" s="117" t="s">
        <v>148</v>
      </c>
      <c r="J25" s="109">
        <f t="shared" si="4"/>
        <v>0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</row>
    <row r="26" spans="1:22">
      <c r="A26" s="92">
        <f t="shared" si="0"/>
        <v>18</v>
      </c>
      <c r="B26" t="s">
        <v>149</v>
      </c>
      <c r="D26" s="111">
        <v>1654</v>
      </c>
      <c r="E26" s="106">
        <f t="shared" si="1"/>
        <v>-1654</v>
      </c>
      <c r="F26" s="106">
        <v>0</v>
      </c>
      <c r="G26" s="106"/>
      <c r="H26" s="106"/>
      <c r="I26" s="106"/>
      <c r="J26" s="109">
        <f t="shared" si="4"/>
        <v>0</v>
      </c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</row>
    <row r="27" spans="1:22">
      <c r="A27" s="92">
        <f t="shared" si="0"/>
        <v>19</v>
      </c>
      <c r="B27" s="120" t="s">
        <v>150</v>
      </c>
      <c r="C27" s="120"/>
      <c r="D27" s="121">
        <v>16541</v>
      </c>
      <c r="E27" s="122">
        <f t="shared" si="1"/>
        <v>4387.6500848437499</v>
      </c>
      <c r="F27" s="121">
        <v>20928.65008484375</v>
      </c>
      <c r="G27" s="106" t="s">
        <v>136</v>
      </c>
      <c r="H27" s="106"/>
      <c r="I27" s="106"/>
      <c r="J27" s="109">
        <f t="shared" si="4"/>
        <v>20928.65008484375</v>
      </c>
      <c r="K27" s="114">
        <v>2365116.7749999999</v>
      </c>
      <c r="L27" s="114">
        <v>1846581.94921875</v>
      </c>
      <c r="M27" s="114">
        <v>2166356.1828124998</v>
      </c>
      <c r="N27" s="114">
        <v>1851863.41015625</v>
      </c>
      <c r="O27" s="114">
        <v>1629617.2453124998</v>
      </c>
      <c r="P27" s="114">
        <v>1306909.246875</v>
      </c>
      <c r="Q27" s="114">
        <v>1098639.9450000001</v>
      </c>
      <c r="R27" s="114">
        <v>1155240.9984375001</v>
      </c>
      <c r="S27" s="114">
        <v>1332899.80078125</v>
      </c>
      <c r="T27" s="114">
        <v>1638197.4740625003</v>
      </c>
      <c r="U27" s="114">
        <v>2113291.4765625</v>
      </c>
      <c r="V27" s="114">
        <v>2423935.5806249999</v>
      </c>
    </row>
    <row r="28" spans="1:22">
      <c r="A28" s="92">
        <f>A27+1</f>
        <v>20</v>
      </c>
      <c r="B28" t="s">
        <v>151</v>
      </c>
      <c r="D28" s="111">
        <f>SUM(D9:D27)</f>
        <v>177764</v>
      </c>
      <c r="E28" s="106">
        <f t="shared" si="1"/>
        <v>-66265.045334859635</v>
      </c>
      <c r="F28" s="106">
        <f>SUM(F9:F27)</f>
        <v>111498.95466514037</v>
      </c>
      <c r="G28" s="106"/>
      <c r="H28" s="106">
        <v>0</v>
      </c>
      <c r="I28" s="106"/>
      <c r="J28" s="109">
        <f t="shared" si="4"/>
        <v>111498.95466514037</v>
      </c>
      <c r="K28" s="123">
        <v>12193726.922826663</v>
      </c>
      <c r="L28" s="123">
        <v>11120737.400974918</v>
      </c>
      <c r="M28" s="123">
        <v>10017175.18465071</v>
      </c>
      <c r="N28" s="123">
        <v>9252264.6146335825</v>
      </c>
      <c r="O28" s="123">
        <v>7188344.245234143</v>
      </c>
      <c r="P28" s="123">
        <v>6955258.6487659803</v>
      </c>
      <c r="Q28" s="123">
        <f t="shared" ref="Q28:V28" si="6">SUM(Q9:Q27)</f>
        <v>7454506.8926453404</v>
      </c>
      <c r="R28" s="123">
        <f t="shared" si="6"/>
        <v>8578546.9621014427</v>
      </c>
      <c r="S28" s="123">
        <f t="shared" si="6"/>
        <v>7140296.1050638556</v>
      </c>
      <c r="T28" s="123">
        <f t="shared" si="6"/>
        <v>7627423.2522062669</v>
      </c>
      <c r="U28" s="123">
        <f t="shared" si="6"/>
        <v>11751535.384390738</v>
      </c>
      <c r="V28" s="123">
        <f t="shared" si="6"/>
        <v>12219139.051646713</v>
      </c>
    </row>
    <row r="29" spans="1:22">
      <c r="A29" s="92"/>
      <c r="D29" s="111"/>
      <c r="E29" s="106"/>
      <c r="F29" s="106"/>
      <c r="G29" s="106"/>
      <c r="H29" s="122">
        <v>3186</v>
      </c>
      <c r="I29" s="106"/>
      <c r="J29" s="109"/>
    </row>
    <row r="30" spans="1:22">
      <c r="A30" s="92"/>
      <c r="B30" s="103" t="s">
        <v>152</v>
      </c>
      <c r="D30" s="106"/>
      <c r="E30" s="106"/>
      <c r="F30" s="106"/>
      <c r="G30" s="106"/>
      <c r="H30" s="106">
        <v>0</v>
      </c>
      <c r="I30" s="106"/>
      <c r="J30" s="109"/>
    </row>
    <row r="31" spans="1:22">
      <c r="A31" s="92">
        <f>A28+1</f>
        <v>21</v>
      </c>
      <c r="B31" t="s">
        <v>153</v>
      </c>
      <c r="D31" s="111">
        <v>407</v>
      </c>
      <c r="E31" s="111">
        <f>F31-D31</f>
        <v>0</v>
      </c>
      <c r="F31" s="124">
        <v>407</v>
      </c>
      <c r="G31" s="117"/>
      <c r="H31" s="121">
        <v>150</v>
      </c>
      <c r="I31" s="117"/>
      <c r="J31" s="109">
        <f>SUM(K31:V31)/1000</f>
        <v>407.00000000000006</v>
      </c>
      <c r="K31" s="114">
        <v>33916.666666666664</v>
      </c>
      <c r="L31" s="114">
        <v>33916.666666666664</v>
      </c>
      <c r="M31" s="114">
        <v>33916.666666666664</v>
      </c>
      <c r="N31" s="114">
        <v>33916.666666666664</v>
      </c>
      <c r="O31" s="114">
        <v>33916.666666666664</v>
      </c>
      <c r="P31" s="114">
        <v>33916.666666666664</v>
      </c>
      <c r="Q31" s="114">
        <f t="shared" ref="Q31:V31" si="7">407000/12</f>
        <v>33916.666666666664</v>
      </c>
      <c r="R31" s="114">
        <f t="shared" si="7"/>
        <v>33916.666666666664</v>
      </c>
      <c r="S31" s="114">
        <f t="shared" si="7"/>
        <v>33916.666666666664</v>
      </c>
      <c r="T31" s="114">
        <f t="shared" si="7"/>
        <v>33916.666666666664</v>
      </c>
      <c r="U31" s="114">
        <f t="shared" si="7"/>
        <v>33916.666666666664</v>
      </c>
      <c r="V31" s="114">
        <f t="shared" si="7"/>
        <v>33916.666666666664</v>
      </c>
    </row>
    <row r="32" spans="1:22">
      <c r="A32" s="92">
        <f>A31+1</f>
        <v>22</v>
      </c>
      <c r="B32" t="s">
        <v>154</v>
      </c>
      <c r="D32" s="111">
        <v>645</v>
      </c>
      <c r="E32" s="111">
        <f t="shared" ref="E32:E35" si="8">F32-D32</f>
        <v>-645</v>
      </c>
      <c r="F32" s="111">
        <v>0</v>
      </c>
      <c r="G32" s="111"/>
      <c r="H32" s="111"/>
      <c r="I32" s="106"/>
      <c r="J32" s="109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</row>
    <row r="33" spans="1:22">
      <c r="A33" s="92">
        <f>A32+1</f>
        <v>23</v>
      </c>
      <c r="B33" t="s">
        <v>155</v>
      </c>
      <c r="D33" s="111">
        <v>109</v>
      </c>
      <c r="E33" s="111">
        <f t="shared" si="8"/>
        <v>-109</v>
      </c>
      <c r="F33" s="111">
        <v>0</v>
      </c>
      <c r="G33" s="111"/>
      <c r="H33" s="111"/>
      <c r="I33" s="106"/>
      <c r="J33" s="109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</row>
    <row r="34" spans="1:22">
      <c r="A34" s="92">
        <f t="shared" ref="A34:A36" si="9">A33+1</f>
        <v>24</v>
      </c>
      <c r="B34" t="s">
        <v>156</v>
      </c>
      <c r="D34" s="111">
        <v>-5310</v>
      </c>
      <c r="E34" s="111">
        <f t="shared" si="8"/>
        <v>5310</v>
      </c>
      <c r="F34" s="111">
        <v>0</v>
      </c>
      <c r="G34" s="111"/>
      <c r="H34" s="111"/>
      <c r="I34" s="106"/>
      <c r="J34" s="109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</row>
    <row r="35" spans="1:22">
      <c r="A35" s="92">
        <f t="shared" si="9"/>
        <v>25</v>
      </c>
      <c r="B35" t="s">
        <v>157</v>
      </c>
      <c r="D35" s="111">
        <v>1</v>
      </c>
      <c r="E35" s="111">
        <f t="shared" si="8"/>
        <v>-1</v>
      </c>
      <c r="F35" s="111">
        <v>0</v>
      </c>
      <c r="G35" s="111"/>
      <c r="H35" s="111"/>
      <c r="I35" s="106"/>
      <c r="J35" s="109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</row>
    <row r="36" spans="1:22">
      <c r="A36" s="92">
        <f t="shared" si="9"/>
        <v>26</v>
      </c>
      <c r="B36" s="120" t="s">
        <v>158</v>
      </c>
      <c r="C36" s="120"/>
      <c r="D36" s="111">
        <v>86543</v>
      </c>
      <c r="E36" s="122">
        <f>F36-D36</f>
        <v>-86543</v>
      </c>
      <c r="F36" s="106">
        <v>0</v>
      </c>
      <c r="G36" s="106"/>
      <c r="H36" s="106">
        <v>152</v>
      </c>
      <c r="I36" s="117" t="s">
        <v>159</v>
      </c>
      <c r="J36" s="109">
        <f>SUM(K36:V36)/1000</f>
        <v>0</v>
      </c>
    </row>
    <row r="37" spans="1:22">
      <c r="A37" s="92">
        <f>A36+1</f>
        <v>27</v>
      </c>
      <c r="B37" t="s">
        <v>160</v>
      </c>
      <c r="D37" s="125">
        <f>SUM(D31:D36)</f>
        <v>82395</v>
      </c>
      <c r="E37" s="106">
        <f>F37-D37</f>
        <v>-81988</v>
      </c>
      <c r="F37" s="126">
        <f>SUM(F31:F36)</f>
        <v>407</v>
      </c>
      <c r="G37" s="106"/>
      <c r="H37" s="106"/>
      <c r="I37" s="106"/>
      <c r="J37" s="109">
        <f>SUM(K37:V37)/1000</f>
        <v>407.00000000000006</v>
      </c>
      <c r="K37" s="110">
        <v>33916.666666666664</v>
      </c>
      <c r="L37" s="110">
        <v>33916.666666666664</v>
      </c>
      <c r="M37" s="110">
        <v>33916.666666666664</v>
      </c>
      <c r="N37" s="110">
        <v>33916.666666666664</v>
      </c>
      <c r="O37" s="110">
        <v>33916.666666666664</v>
      </c>
      <c r="P37" s="110">
        <v>33916.666666666664</v>
      </c>
      <c r="Q37" s="110">
        <f t="shared" ref="Q37:V37" si="10">SUM(Q31:Q36)</f>
        <v>33916.666666666664</v>
      </c>
      <c r="R37" s="110">
        <f t="shared" si="10"/>
        <v>33916.666666666664</v>
      </c>
      <c r="S37" s="110">
        <f t="shared" si="10"/>
        <v>33916.666666666664</v>
      </c>
      <c r="T37" s="110">
        <f t="shared" si="10"/>
        <v>33916.666666666664</v>
      </c>
      <c r="U37" s="110">
        <f t="shared" si="10"/>
        <v>33916.666666666664</v>
      </c>
      <c r="V37" s="110">
        <f t="shared" si="10"/>
        <v>33916.666666666664</v>
      </c>
    </row>
    <row r="38" spans="1:22">
      <c r="A38" s="92"/>
      <c r="D38" s="106"/>
      <c r="E38" s="106"/>
      <c r="F38" s="106"/>
      <c r="G38" s="106"/>
      <c r="H38" s="106"/>
      <c r="I38" s="106"/>
      <c r="J38" s="109"/>
    </row>
    <row r="39" spans="1:22">
      <c r="A39" s="92"/>
      <c r="B39" s="103" t="s">
        <v>161</v>
      </c>
      <c r="D39" s="106"/>
      <c r="E39" s="106"/>
      <c r="F39" s="106"/>
      <c r="G39" s="106"/>
      <c r="H39" s="106">
        <v>78</v>
      </c>
      <c r="I39" s="106"/>
      <c r="J39" s="109"/>
    </row>
    <row r="40" spans="1:22">
      <c r="A40" s="92">
        <f>A37+1</f>
        <v>28</v>
      </c>
      <c r="B40" t="s">
        <v>162</v>
      </c>
      <c r="C40" s="127"/>
      <c r="D40" s="111">
        <v>6231</v>
      </c>
      <c r="E40" s="106">
        <f>F40-D40</f>
        <v>-623.08858612776294</v>
      </c>
      <c r="F40" s="111">
        <v>5607.9114138722371</v>
      </c>
      <c r="G40" s="111"/>
      <c r="H40" s="121">
        <v>0</v>
      </c>
      <c r="I40" s="117" t="s">
        <v>127</v>
      </c>
      <c r="J40" s="109">
        <f>SUM(K40:V40)/1000</f>
        <v>5607.9114138722371</v>
      </c>
      <c r="K40" s="123">
        <v>604991.73088073696</v>
      </c>
      <c r="L40" s="123">
        <v>522920.98865509004</v>
      </c>
      <c r="M40" s="123">
        <v>518409.23938751197</v>
      </c>
      <c r="N40" s="123">
        <v>396079.465675354</v>
      </c>
      <c r="O40" s="123">
        <v>265699.26300048799</v>
      </c>
      <c r="P40" s="123">
        <v>15310.0415349006</v>
      </c>
      <c r="Q40" s="123">
        <f>'[7]WGJ-4'!J27</f>
        <v>426713.43841552699</v>
      </c>
      <c r="R40" s="123">
        <f>'[7]WGJ-4'!K27</f>
        <v>553466.72782897891</v>
      </c>
      <c r="S40" s="123">
        <f>'[7]WGJ-4'!L27</f>
        <v>575436.82365417399</v>
      </c>
      <c r="T40" s="123">
        <f>'[7]WGJ-4'!M27</f>
        <v>574329.43382263102</v>
      </c>
      <c r="U40" s="123">
        <f>'[7]WGJ-4'!N27</f>
        <v>558587.00332641602</v>
      </c>
      <c r="V40" s="123">
        <f>'[7]WGJ-4'!O27</f>
        <v>595967.25769042911</v>
      </c>
    </row>
    <row r="41" spans="1:22">
      <c r="A41" s="92">
        <f>A40+1</f>
        <v>29</v>
      </c>
      <c r="B41" t="s">
        <v>163</v>
      </c>
      <c r="C41" s="127"/>
      <c r="D41" s="116">
        <v>14</v>
      </c>
      <c r="E41" s="106">
        <f>F41-D41</f>
        <v>0</v>
      </c>
      <c r="F41" s="106">
        <v>13.999999999999998</v>
      </c>
      <c r="G41" s="106"/>
      <c r="H41" s="106">
        <v>78</v>
      </c>
      <c r="I41" s="106"/>
      <c r="J41" s="109">
        <f>SUM(K41:V41)/1000</f>
        <v>13.999999999999998</v>
      </c>
      <c r="K41" s="107">
        <v>1166.6666666666667</v>
      </c>
      <c r="L41" s="107">
        <v>1166.6666666666667</v>
      </c>
      <c r="M41" s="107">
        <v>1166.6666666666667</v>
      </c>
      <c r="N41" s="107">
        <v>1166.6666666666667</v>
      </c>
      <c r="O41" s="107">
        <v>1166.6666666666667</v>
      </c>
      <c r="P41" s="107">
        <v>1166.6666666666667</v>
      </c>
      <c r="Q41" s="107">
        <f t="shared" ref="Q41:V41" si="11">$F41/12*1000</f>
        <v>1166.6666666666665</v>
      </c>
      <c r="R41" s="107">
        <f t="shared" si="11"/>
        <v>1166.6666666666665</v>
      </c>
      <c r="S41" s="107">
        <f t="shared" si="11"/>
        <v>1166.6666666666665</v>
      </c>
      <c r="T41" s="107">
        <f t="shared" si="11"/>
        <v>1166.6666666666665</v>
      </c>
      <c r="U41" s="107">
        <f t="shared" si="11"/>
        <v>1166.6666666666665</v>
      </c>
      <c r="V41" s="107">
        <f t="shared" si="11"/>
        <v>1166.6666666666665</v>
      </c>
    </row>
    <row r="42" spans="1:22">
      <c r="A42" s="92">
        <f>A41+1</f>
        <v>30</v>
      </c>
      <c r="B42" s="105" t="s">
        <v>164</v>
      </c>
      <c r="C42" s="93"/>
      <c r="D42" s="111">
        <v>22168</v>
      </c>
      <c r="E42" s="106">
        <f>F42-D42</f>
        <v>1135.1791199932595</v>
      </c>
      <c r="F42" s="111">
        <v>23303.17911999326</v>
      </c>
      <c r="G42" s="111"/>
      <c r="H42" s="111"/>
      <c r="I42" s="117" t="s">
        <v>127</v>
      </c>
      <c r="J42" s="109">
        <f>SUM(K42:V42)/1000</f>
        <v>23303.17911999326</v>
      </c>
      <c r="K42" s="128">
        <v>2035345.0748110327</v>
      </c>
      <c r="L42" s="128">
        <v>1897483.5643435025</v>
      </c>
      <c r="M42" s="128">
        <v>2020186.2807894258</v>
      </c>
      <c r="N42" s="128">
        <v>1853477.6130342984</v>
      </c>
      <c r="O42" s="128">
        <v>1658019.0044069795</v>
      </c>
      <c r="P42" s="128">
        <v>1557473.1334352996</v>
      </c>
      <c r="Q42" s="128">
        <f>'[7]WGJ-4'!J23</f>
        <v>1991852.768506326</v>
      </c>
      <c r="R42" s="128">
        <f>'[7]WGJ-4'!K23</f>
        <v>2055938.9173405548</v>
      </c>
      <c r="S42" s="128">
        <f>'[7]WGJ-4'!L23</f>
        <v>2042240.5515568627</v>
      </c>
      <c r="T42" s="128">
        <f>'[7]WGJ-4'!M23</f>
        <v>2078655.6959050077</v>
      </c>
      <c r="U42" s="128">
        <f>'[7]WGJ-4'!N23</f>
        <v>2035459.0436833277</v>
      </c>
      <c r="V42" s="128">
        <f>'[7]WGJ-4'!O23</f>
        <v>2077047.4721806417</v>
      </c>
    </row>
    <row r="43" spans="1:22">
      <c r="A43" s="92">
        <f>A42+1</f>
        <v>31</v>
      </c>
      <c r="B43" s="120" t="s">
        <v>165</v>
      </c>
      <c r="C43" s="129"/>
      <c r="D43" s="130">
        <v>229</v>
      </c>
      <c r="E43" s="122">
        <f>F43-D43</f>
        <v>0</v>
      </c>
      <c r="F43" s="121">
        <v>229.00000000000003</v>
      </c>
      <c r="G43" s="106"/>
      <c r="H43" s="106"/>
      <c r="I43" s="106"/>
      <c r="J43" s="109">
        <f>SUM(K43:V43)/1000</f>
        <v>229.00000000000003</v>
      </c>
      <c r="K43" s="131">
        <v>19083.333333333332</v>
      </c>
      <c r="L43" s="131">
        <v>19083.333333333332</v>
      </c>
      <c r="M43" s="131">
        <v>19083.333333333332</v>
      </c>
      <c r="N43" s="131">
        <v>19083.333333333332</v>
      </c>
      <c r="O43" s="131">
        <v>19083.333333333332</v>
      </c>
      <c r="P43" s="131">
        <v>19083.333333333332</v>
      </c>
      <c r="Q43" s="131">
        <f t="shared" ref="Q43:V43" si="12">$F43/12*1000</f>
        <v>19083.333333333336</v>
      </c>
      <c r="R43" s="131">
        <f t="shared" si="12"/>
        <v>19083.333333333336</v>
      </c>
      <c r="S43" s="131">
        <f t="shared" si="12"/>
        <v>19083.333333333336</v>
      </c>
      <c r="T43" s="131">
        <f t="shared" si="12"/>
        <v>19083.333333333336</v>
      </c>
      <c r="U43" s="131">
        <f t="shared" si="12"/>
        <v>19083.333333333336</v>
      </c>
      <c r="V43" s="131">
        <f t="shared" si="12"/>
        <v>19083.333333333336</v>
      </c>
    </row>
    <row r="44" spans="1:22">
      <c r="A44" s="93">
        <f>A43+1</f>
        <v>32</v>
      </c>
      <c r="B44" t="s">
        <v>166</v>
      </c>
      <c r="D44" s="111">
        <f>SUM(D40:D43)</f>
        <v>28642</v>
      </c>
      <c r="E44" s="106">
        <f>F44-D44</f>
        <v>512.09053386549567</v>
      </c>
      <c r="F44" s="106">
        <f>SUM(F40:F43)</f>
        <v>29154.090533865496</v>
      </c>
      <c r="G44" s="106"/>
      <c r="H44" s="106">
        <v>8095.4688974966612</v>
      </c>
      <c r="I44" s="106"/>
      <c r="J44" s="109">
        <f>SUM(K44:V44)/1000</f>
        <v>29154.090533865499</v>
      </c>
      <c r="K44" s="123">
        <v>2660586.8056917698</v>
      </c>
      <c r="L44" s="123">
        <v>2440654.5529985926</v>
      </c>
      <c r="M44" s="123">
        <v>2558845.5201769378</v>
      </c>
      <c r="N44" s="123">
        <v>2269807.0787096526</v>
      </c>
      <c r="O44" s="123">
        <v>1943968.2674074674</v>
      </c>
      <c r="P44" s="123">
        <v>1593033.1749702001</v>
      </c>
      <c r="Q44" s="123">
        <f t="shared" ref="Q44:V44" si="13">SUM(Q40:Q43)</f>
        <v>2438816.2069218531</v>
      </c>
      <c r="R44" s="123">
        <f t="shared" si="13"/>
        <v>2629655.6451695338</v>
      </c>
      <c r="S44" s="123">
        <f t="shared" si="13"/>
        <v>2637927.3752110368</v>
      </c>
      <c r="T44" s="123">
        <f t="shared" si="13"/>
        <v>2673235.1297276388</v>
      </c>
      <c r="U44" s="123">
        <f t="shared" si="13"/>
        <v>2614296.0470097438</v>
      </c>
      <c r="V44" s="123">
        <f t="shared" si="13"/>
        <v>2693264.7298710709</v>
      </c>
    </row>
    <row r="45" spans="1:22">
      <c r="A45" s="92"/>
      <c r="D45" s="106"/>
      <c r="E45" s="106"/>
      <c r="F45" s="106"/>
      <c r="G45" s="106"/>
      <c r="H45" s="106">
        <v>0</v>
      </c>
      <c r="I45" s="106"/>
      <c r="J45" s="109"/>
    </row>
    <row r="46" spans="1:22">
      <c r="A46" s="92"/>
      <c r="B46" s="103" t="s">
        <v>167</v>
      </c>
      <c r="D46" s="106"/>
      <c r="E46" s="106"/>
      <c r="F46" s="106"/>
      <c r="G46" s="106"/>
      <c r="H46" s="106">
        <v>10682.990036010742</v>
      </c>
      <c r="I46" s="106"/>
      <c r="J46" s="109"/>
    </row>
    <row r="47" spans="1:22">
      <c r="A47" s="92">
        <f>A44+1</f>
        <v>33</v>
      </c>
      <c r="B47" s="132" t="s">
        <v>168</v>
      </c>
      <c r="D47" s="111">
        <v>42752</v>
      </c>
      <c r="E47" s="106">
        <f t="shared" ref="E47:E57" si="14">F47-D47</f>
        <v>-6381.8403713635416</v>
      </c>
      <c r="F47" s="111">
        <v>36370.159628636458</v>
      </c>
      <c r="G47" s="111"/>
      <c r="H47" s="121">
        <v>188</v>
      </c>
      <c r="I47" s="117" t="s">
        <v>127</v>
      </c>
      <c r="J47" s="109">
        <f t="shared" ref="J47:J57" si="15">SUM(K47:V47)/1000</f>
        <v>36370.159628636458</v>
      </c>
      <c r="K47" s="123">
        <v>4468044.0062207226</v>
      </c>
      <c r="L47" s="123">
        <v>3583108.8356047692</v>
      </c>
      <c r="M47" s="123">
        <v>3778880.0345293605</v>
      </c>
      <c r="N47" s="123">
        <v>2270057.9474662254</v>
      </c>
      <c r="O47" s="123">
        <v>1179277.45476267</v>
      </c>
      <c r="P47" s="123">
        <v>846654.66240721545</v>
      </c>
      <c r="Q47" s="123">
        <f>'[7]WGJ-4'!J31</f>
        <v>2299589.1299760477</v>
      </c>
      <c r="R47" s="123">
        <f>'[7]WGJ-4'!K31</f>
        <v>3158453.790913193</v>
      </c>
      <c r="S47" s="123">
        <f>'[7]WGJ-4'!L31</f>
        <v>3402317.6483097719</v>
      </c>
      <c r="T47" s="123">
        <f>'[7]WGJ-4'!M31</f>
        <v>3426780.7638494209</v>
      </c>
      <c r="U47" s="123">
        <f>'[7]WGJ-4'!N31</f>
        <v>3610165.0990818636</v>
      </c>
      <c r="V47" s="123">
        <f>'[7]WGJ-4'!O31</f>
        <v>4346830.2555151954</v>
      </c>
    </row>
    <row r="48" spans="1:22">
      <c r="A48" s="92">
        <f>A47+1</f>
        <v>34</v>
      </c>
      <c r="B48" s="132" t="s">
        <v>169</v>
      </c>
      <c r="D48" s="111">
        <v>6247</v>
      </c>
      <c r="E48" s="106">
        <f t="shared" si="14"/>
        <v>148.00000000000091</v>
      </c>
      <c r="F48" s="115">
        <v>6395.0000000000009</v>
      </c>
      <c r="G48" s="106"/>
      <c r="H48" s="106">
        <v>18966.458933507405</v>
      </c>
      <c r="I48" s="106"/>
      <c r="J48" s="109">
        <f t="shared" si="15"/>
        <v>6395.0000000000009</v>
      </c>
      <c r="K48" s="133">
        <v>532916.66666666663</v>
      </c>
      <c r="L48" s="133">
        <v>532916.66666666663</v>
      </c>
      <c r="M48" s="133">
        <v>532916.66666666663</v>
      </c>
      <c r="N48" s="133">
        <v>532916.66666666663</v>
      </c>
      <c r="O48" s="133">
        <v>532916.66666666663</v>
      </c>
      <c r="P48" s="133">
        <v>532916.66666666663</v>
      </c>
      <c r="Q48" s="133">
        <f t="shared" ref="Q48:V48" si="16">$F48/12*1000</f>
        <v>532916.66666666674</v>
      </c>
      <c r="R48" s="133">
        <f t="shared" si="16"/>
        <v>532916.66666666674</v>
      </c>
      <c r="S48" s="133">
        <f t="shared" si="16"/>
        <v>532916.66666666674</v>
      </c>
      <c r="T48" s="133">
        <f t="shared" si="16"/>
        <v>532916.66666666674</v>
      </c>
      <c r="U48" s="133">
        <f t="shared" si="16"/>
        <v>532916.66666666674</v>
      </c>
      <c r="V48" s="133">
        <f t="shared" si="16"/>
        <v>532916.66666666674</v>
      </c>
    </row>
    <row r="49" spans="1:22">
      <c r="A49" s="92">
        <f t="shared" ref="A49:A58" si="17">A48+1</f>
        <v>35</v>
      </c>
      <c r="B49" s="132" t="s">
        <v>170</v>
      </c>
      <c r="D49" s="111">
        <v>33676</v>
      </c>
      <c r="E49" s="106">
        <f t="shared" si="14"/>
        <v>-411.10866948998591</v>
      </c>
      <c r="F49" s="111">
        <v>33264.891330510014</v>
      </c>
      <c r="G49" s="106"/>
      <c r="H49" s="106"/>
      <c r="I49" s="106"/>
      <c r="J49" s="109">
        <f t="shared" si="15"/>
        <v>33264.891330510014</v>
      </c>
      <c r="K49" s="133">
        <v>4123780.6018829294</v>
      </c>
      <c r="L49" s="133">
        <v>3254781.5872192299</v>
      </c>
      <c r="M49" s="133">
        <v>3461030.9776306096</v>
      </c>
      <c r="N49" s="133">
        <v>2108049.3738055201</v>
      </c>
      <c r="O49" s="133">
        <v>1059337.99910545</v>
      </c>
      <c r="P49" s="133">
        <v>833804.65016364993</v>
      </c>
      <c r="Q49" s="133">
        <f>'[7]WGJ-4'!J35</f>
        <v>2025110.9227658138</v>
      </c>
      <c r="R49" s="133">
        <f>'[7]WGJ-4'!K35</f>
        <v>2762136.5510292966</v>
      </c>
      <c r="S49" s="133">
        <f>'[7]WGJ-4'!L35</f>
        <v>2979441.4598679291</v>
      </c>
      <c r="T49" s="133">
        <f>'[7]WGJ-4'!M35</f>
        <v>3231572.3880353705</v>
      </c>
      <c r="U49" s="133">
        <f>'[7]WGJ-4'!N35</f>
        <v>3401386.8078674534</v>
      </c>
      <c r="V49" s="133">
        <f>'[7]WGJ-4'!O35</f>
        <v>4024458.0111367572</v>
      </c>
    </row>
    <row r="50" spans="1:22">
      <c r="A50" s="92">
        <f t="shared" si="17"/>
        <v>36</v>
      </c>
      <c r="B50" s="132" t="s">
        <v>171</v>
      </c>
      <c r="D50" s="111">
        <v>5409</v>
      </c>
      <c r="E50" s="106">
        <f t="shared" si="14"/>
        <v>20</v>
      </c>
      <c r="F50" s="115">
        <v>5429</v>
      </c>
      <c r="G50" s="106"/>
      <c r="H50" s="106"/>
      <c r="I50" s="106"/>
      <c r="J50" s="109">
        <f t="shared" si="15"/>
        <v>5429</v>
      </c>
      <c r="K50" s="133">
        <v>452416.66666666669</v>
      </c>
      <c r="L50" s="133">
        <v>452416.66666666669</v>
      </c>
      <c r="M50" s="133">
        <v>452416.66666666669</v>
      </c>
      <c r="N50" s="133">
        <v>452416.66666666669</v>
      </c>
      <c r="O50" s="133">
        <v>452416.66666666669</v>
      </c>
      <c r="P50" s="133">
        <v>452416.66666666669</v>
      </c>
      <c r="Q50" s="133">
        <f t="shared" ref="Q50:V50" si="18">$F50/12*1000</f>
        <v>452416.66666666669</v>
      </c>
      <c r="R50" s="133">
        <f t="shared" si="18"/>
        <v>452416.66666666669</v>
      </c>
      <c r="S50" s="133">
        <f t="shared" si="18"/>
        <v>452416.66666666669</v>
      </c>
      <c r="T50" s="133">
        <f t="shared" si="18"/>
        <v>452416.66666666669</v>
      </c>
      <c r="U50" s="133">
        <f t="shared" si="18"/>
        <v>452416.66666666669</v>
      </c>
      <c r="V50" s="133">
        <f t="shared" si="18"/>
        <v>452416.66666666669</v>
      </c>
    </row>
    <row r="51" spans="1:22">
      <c r="A51" s="92">
        <f t="shared" si="17"/>
        <v>37</v>
      </c>
      <c r="B51" t="s">
        <v>172</v>
      </c>
      <c r="D51" s="111">
        <v>0</v>
      </c>
      <c r="E51" s="106">
        <f t="shared" si="14"/>
        <v>-942.97199999999975</v>
      </c>
      <c r="F51" s="112">
        <v>-942.97199999999975</v>
      </c>
      <c r="G51" s="106"/>
      <c r="H51" s="106"/>
      <c r="I51" s="106"/>
      <c r="J51" s="109">
        <f t="shared" si="15"/>
        <v>-942.97199999999975</v>
      </c>
      <c r="K51" s="133">
        <v>-85422.583333333328</v>
      </c>
      <c r="L51" s="133">
        <v>-85422.583333333328</v>
      </c>
      <c r="M51" s="133">
        <v>-85422.583333333328</v>
      </c>
      <c r="N51" s="133">
        <v>-85422.583333333328</v>
      </c>
      <c r="O51" s="133">
        <v>-85422.583333333328</v>
      </c>
      <c r="P51" s="133">
        <v>-85422.583333333328</v>
      </c>
      <c r="Q51" s="133">
        <f t="shared" ref="Q51:V51" si="19">-860873/12</f>
        <v>-71739.416666666672</v>
      </c>
      <c r="R51" s="133">
        <f t="shared" si="19"/>
        <v>-71739.416666666672</v>
      </c>
      <c r="S51" s="133">
        <f t="shared" si="19"/>
        <v>-71739.416666666672</v>
      </c>
      <c r="T51" s="133">
        <f t="shared" si="19"/>
        <v>-71739.416666666672</v>
      </c>
      <c r="U51" s="133">
        <f t="shared" si="19"/>
        <v>-71739.416666666672</v>
      </c>
      <c r="V51" s="133">
        <f t="shared" si="19"/>
        <v>-71739.416666666672</v>
      </c>
    </row>
    <row r="52" spans="1:22">
      <c r="A52" s="92">
        <f t="shared" si="17"/>
        <v>38</v>
      </c>
      <c r="B52" t="s">
        <v>173</v>
      </c>
      <c r="D52" s="111">
        <v>0</v>
      </c>
      <c r="E52" s="106">
        <f t="shared" si="14"/>
        <v>-9000</v>
      </c>
      <c r="F52" s="111">
        <v>-9000</v>
      </c>
      <c r="G52" s="106"/>
      <c r="H52" s="106"/>
      <c r="I52" s="106"/>
      <c r="J52" s="109">
        <f t="shared" si="15"/>
        <v>-9000</v>
      </c>
      <c r="K52" s="133">
        <v>-750000</v>
      </c>
      <c r="L52" s="133">
        <v>-750000</v>
      </c>
      <c r="M52" s="133">
        <v>-750000</v>
      </c>
      <c r="N52" s="133">
        <v>-750000</v>
      </c>
      <c r="O52" s="133">
        <v>-750000</v>
      </c>
      <c r="P52" s="133">
        <v>-750000</v>
      </c>
      <c r="Q52" s="133">
        <f t="shared" ref="Q52:V52" si="20">$F52*1000/12</f>
        <v>-750000</v>
      </c>
      <c r="R52" s="133">
        <f t="shared" si="20"/>
        <v>-750000</v>
      </c>
      <c r="S52" s="133">
        <f t="shared" si="20"/>
        <v>-750000</v>
      </c>
      <c r="T52" s="133">
        <f t="shared" si="20"/>
        <v>-750000</v>
      </c>
      <c r="U52" s="133">
        <f t="shared" si="20"/>
        <v>-750000</v>
      </c>
      <c r="V52" s="133">
        <f t="shared" si="20"/>
        <v>-750000</v>
      </c>
    </row>
    <row r="53" spans="1:22">
      <c r="A53" s="92">
        <f t="shared" si="17"/>
        <v>39</v>
      </c>
      <c r="B53" t="s">
        <v>174</v>
      </c>
      <c r="D53" s="111">
        <v>53</v>
      </c>
      <c r="E53" s="106">
        <f t="shared" si="14"/>
        <v>0</v>
      </c>
      <c r="F53" s="124">
        <v>52.999999999999993</v>
      </c>
      <c r="G53" s="106"/>
      <c r="H53" s="106"/>
      <c r="I53" s="106"/>
      <c r="J53" s="109">
        <f t="shared" si="15"/>
        <v>52.999999999999993</v>
      </c>
      <c r="K53" s="134">
        <v>4416.666666666667</v>
      </c>
      <c r="L53" s="134">
        <v>4416.666666666667</v>
      </c>
      <c r="M53" s="134">
        <v>4416.666666666667</v>
      </c>
      <c r="N53" s="134">
        <v>4416.666666666667</v>
      </c>
      <c r="O53" s="134">
        <v>4416.666666666667</v>
      </c>
      <c r="P53" s="134">
        <v>4416.666666666667</v>
      </c>
      <c r="Q53" s="134">
        <f t="shared" ref="Q53:V53" si="21">53000/12</f>
        <v>4416.666666666667</v>
      </c>
      <c r="R53" s="134">
        <f t="shared" si="21"/>
        <v>4416.666666666667</v>
      </c>
      <c r="S53" s="134">
        <f t="shared" si="21"/>
        <v>4416.666666666667</v>
      </c>
      <c r="T53" s="134">
        <f t="shared" si="21"/>
        <v>4416.666666666667</v>
      </c>
      <c r="U53" s="134">
        <f t="shared" si="21"/>
        <v>4416.666666666667</v>
      </c>
      <c r="V53" s="134">
        <f t="shared" si="21"/>
        <v>4416.666666666667</v>
      </c>
    </row>
    <row r="54" spans="1:22">
      <c r="A54" s="92">
        <f t="shared" si="17"/>
        <v>40</v>
      </c>
      <c r="B54" s="105" t="s">
        <v>175</v>
      </c>
      <c r="C54" s="105"/>
      <c r="D54" s="111">
        <v>1832</v>
      </c>
      <c r="E54" s="106">
        <f t="shared" si="14"/>
        <v>-192.29401975705491</v>
      </c>
      <c r="F54" s="111">
        <v>1639.7059802429451</v>
      </c>
      <c r="G54" s="111"/>
      <c r="H54" s="111"/>
      <c r="I54" s="117" t="s">
        <v>127</v>
      </c>
      <c r="J54" s="109">
        <f t="shared" si="15"/>
        <v>1639.7059802429451</v>
      </c>
      <c r="K54" s="123">
        <v>213769.5844261634</v>
      </c>
      <c r="L54" s="123">
        <v>115712.64459195128</v>
      </c>
      <c r="M54" s="123">
        <v>23808.275554108492</v>
      </c>
      <c r="N54" s="123">
        <v>5137.2914174556654</v>
      </c>
      <c r="O54" s="123">
        <v>1397.0864853620517</v>
      </c>
      <c r="P54" s="123">
        <v>40459.809728330263</v>
      </c>
      <c r="Q54" s="123">
        <f>'[7]WGJ-4'!J47</f>
        <v>243127.18568071007</v>
      </c>
      <c r="R54" s="123">
        <f>'[7]WGJ-4'!K47</f>
        <v>446889.32261028216</v>
      </c>
      <c r="S54" s="123">
        <f>'[7]WGJ-4'!L47</f>
        <v>213999.71307141715</v>
      </c>
      <c r="T54" s="123">
        <f>'[7]WGJ-4'!M47</f>
        <v>48421.902417540463</v>
      </c>
      <c r="U54" s="123">
        <f>'[7]WGJ-4'!N47</f>
        <v>104505.79675500379</v>
      </c>
      <c r="V54" s="123">
        <f>'[7]WGJ-4'!O47</f>
        <v>182477.36750462043</v>
      </c>
    </row>
    <row r="55" spans="1:22">
      <c r="A55" s="92">
        <f t="shared" si="17"/>
        <v>41</v>
      </c>
      <c r="B55" t="s">
        <v>176</v>
      </c>
      <c r="D55" s="111">
        <v>50</v>
      </c>
      <c r="E55" s="106">
        <f t="shared" si="14"/>
        <v>24.757761462405114</v>
      </c>
      <c r="F55" s="111">
        <v>74.757761462405114</v>
      </c>
      <c r="G55" s="111"/>
      <c r="H55" s="111"/>
      <c r="I55" s="117" t="s">
        <v>127</v>
      </c>
      <c r="J55" s="109">
        <f t="shared" si="15"/>
        <v>74.757761462405114</v>
      </c>
      <c r="K55" s="123">
        <v>16070.89247703551</v>
      </c>
      <c r="L55" s="123">
        <v>6358.3008766174298</v>
      </c>
      <c r="M55" s="123">
        <v>85.288697481155197</v>
      </c>
      <c r="N55" s="123">
        <v>0</v>
      </c>
      <c r="O55" s="123">
        <v>0</v>
      </c>
      <c r="P55" s="123">
        <v>3430.6167021393603</v>
      </c>
      <c r="Q55" s="123">
        <f>'[7]WGJ-4'!J51</f>
        <v>10681.998816505069</v>
      </c>
      <c r="R55" s="123">
        <f>'[7]WGJ-4'!K51</f>
        <v>21802.160653471801</v>
      </c>
      <c r="S55" s="123">
        <f>'[7]WGJ-4'!L51</f>
        <v>8832.8393861651293</v>
      </c>
      <c r="T55" s="123">
        <f>'[7]WGJ-4'!M51</f>
        <v>802.22812294959999</v>
      </c>
      <c r="U55" s="123">
        <f>'[7]WGJ-4'!N51</f>
        <v>1822.9186981916419</v>
      </c>
      <c r="V55" s="123">
        <f>'[7]WGJ-4'!O51</f>
        <v>4870.5170318484206</v>
      </c>
    </row>
    <row r="56" spans="1:22">
      <c r="A56" s="92">
        <f t="shared" si="17"/>
        <v>42</v>
      </c>
      <c r="B56" t="s">
        <v>177</v>
      </c>
      <c r="D56" s="111">
        <v>613</v>
      </c>
      <c r="E56" s="106">
        <f t="shared" si="14"/>
        <v>246.09286848418219</v>
      </c>
      <c r="F56" s="111">
        <v>859.09286848418219</v>
      </c>
      <c r="G56" s="111"/>
      <c r="H56" s="111">
        <v>59394.366704579188</v>
      </c>
      <c r="I56" s="117" t="s">
        <v>127</v>
      </c>
      <c r="J56" s="109">
        <f t="shared" si="15"/>
        <v>859.09286848418219</v>
      </c>
      <c r="K56" s="123">
        <v>103790.01686572999</v>
      </c>
      <c r="L56" s="123">
        <v>71087.383681535692</v>
      </c>
      <c r="M56" s="123">
        <v>55892.994242906498</v>
      </c>
      <c r="N56" s="123">
        <v>30516.211163997599</v>
      </c>
      <c r="O56" s="123">
        <v>11504.646388813801</v>
      </c>
      <c r="P56" s="123">
        <v>19633.285300433599</v>
      </c>
      <c r="Q56" s="123">
        <f>'[7]WGJ-4'!J39</f>
        <v>103918.32976341201</v>
      </c>
      <c r="R56" s="123">
        <f>'[7]WGJ-4'!K39</f>
        <v>130244.46487426701</v>
      </c>
      <c r="S56" s="123">
        <f>'[7]WGJ-4'!L39</f>
        <v>98703.137814998598</v>
      </c>
      <c r="T56" s="123">
        <f>'[7]WGJ-4'!M39</f>
        <v>47283.614324033202</v>
      </c>
      <c r="U56" s="123">
        <f>'[7]WGJ-4'!N39</f>
        <v>79635.4097604751</v>
      </c>
      <c r="V56" s="123">
        <f>'[7]WGJ-4'!O39</f>
        <v>106883.37430357901</v>
      </c>
    </row>
    <row r="57" spans="1:22">
      <c r="A57" s="92">
        <f t="shared" si="17"/>
        <v>43</v>
      </c>
      <c r="B57" s="135" t="s">
        <v>178</v>
      </c>
      <c r="C57" s="120"/>
      <c r="D57" s="121">
        <v>156</v>
      </c>
      <c r="E57" s="122">
        <f t="shared" si="14"/>
        <v>78.237463458161272</v>
      </c>
      <c r="F57" s="121">
        <v>234.23746345816127</v>
      </c>
      <c r="G57" s="111"/>
      <c r="H57" s="111">
        <v>6240</v>
      </c>
      <c r="I57" s="117" t="s">
        <v>127</v>
      </c>
      <c r="J57" s="136">
        <f t="shared" si="15"/>
        <v>234.23746345816127</v>
      </c>
      <c r="K57" s="137">
        <v>23420.4728029668</v>
      </c>
      <c r="L57" s="137">
        <v>15638.2676981389</v>
      </c>
      <c r="M57" s="137">
        <v>6773.7705051898902</v>
      </c>
      <c r="N57" s="137">
        <v>1792.28225816041</v>
      </c>
      <c r="O57" s="137">
        <v>1042.86706577986</v>
      </c>
      <c r="P57" s="137">
        <v>6136.0893608070901</v>
      </c>
      <c r="Q57" s="137">
        <f>'[7]WGJ-4'!J43</f>
        <v>30054.843801818697</v>
      </c>
      <c r="R57" s="137">
        <f>'[7]WGJ-4'!K43</f>
        <v>49501.919382810498</v>
      </c>
      <c r="S57" s="137">
        <f>'[7]WGJ-4'!L43</f>
        <v>34598.216171562599</v>
      </c>
      <c r="T57" s="137">
        <f>'[7]WGJ-4'!M43</f>
        <v>14228.0048798769</v>
      </c>
      <c r="U57" s="137">
        <f>'[7]WGJ-4'!N43</f>
        <v>20326.053287088802</v>
      </c>
      <c r="V57" s="137">
        <f>'[7]WGJ-4'!O43</f>
        <v>30724.676243960799</v>
      </c>
    </row>
    <row r="58" spans="1:22">
      <c r="A58" s="92">
        <f t="shared" si="17"/>
        <v>44</v>
      </c>
      <c r="B58" t="s">
        <v>179</v>
      </c>
      <c r="D58" s="111">
        <f>SUM(D47:D57)</f>
        <v>90788</v>
      </c>
      <c r="E58" s="106">
        <f>F58-D58</f>
        <v>-16411.126967205841</v>
      </c>
      <c r="F58" s="106">
        <f>SUM(F47:F57)</f>
        <v>74376.873032794159</v>
      </c>
      <c r="G58" s="106"/>
      <c r="H58" s="106">
        <v>0.11360950271288535</v>
      </c>
      <c r="I58" s="106"/>
      <c r="J58" s="109">
        <f t="shared" ref="J58:V58" si="22">SUM(J47:J57)</f>
        <v>74376.873032794159</v>
      </c>
      <c r="K58" s="123">
        <v>9103202.991342213</v>
      </c>
      <c r="L58" s="123">
        <v>7201014.436338909</v>
      </c>
      <c r="M58" s="123">
        <v>7480798.7578263236</v>
      </c>
      <c r="N58" s="123">
        <v>4569880.5227780258</v>
      </c>
      <c r="O58" s="123">
        <v>2406887.4704747424</v>
      </c>
      <c r="P58" s="123">
        <v>1904446.5303292423</v>
      </c>
      <c r="Q58" s="123">
        <f t="shared" si="22"/>
        <v>4880492.994137641</v>
      </c>
      <c r="R58" s="123">
        <f t="shared" si="22"/>
        <v>6737038.7927966546</v>
      </c>
      <c r="S58" s="123">
        <f t="shared" si="22"/>
        <v>6905903.5979551785</v>
      </c>
      <c r="T58" s="123">
        <f t="shared" si="22"/>
        <v>6937099.4849625258</v>
      </c>
      <c r="U58" s="123">
        <f t="shared" si="22"/>
        <v>7385852.6687834105</v>
      </c>
      <c r="V58" s="123">
        <f t="shared" si="22"/>
        <v>8864254.7850692943</v>
      </c>
    </row>
    <row r="59" spans="1:22">
      <c r="A59" s="92"/>
      <c r="D59" s="106"/>
      <c r="E59" s="106"/>
      <c r="F59" s="106"/>
      <c r="G59" s="106"/>
      <c r="H59" s="106">
        <v>3237.8010523088278</v>
      </c>
      <c r="I59" s="106"/>
      <c r="J59" s="109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</row>
    <row r="60" spans="1:22">
      <c r="A60" s="92"/>
      <c r="D60" s="106"/>
      <c r="E60" s="106"/>
      <c r="F60" s="106"/>
      <c r="G60" s="106"/>
      <c r="H60" s="106"/>
      <c r="I60" s="106"/>
      <c r="J60" s="109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</row>
    <row r="61" spans="1:22">
      <c r="A61" s="92"/>
      <c r="D61" s="106"/>
      <c r="E61" s="106"/>
      <c r="F61" s="106"/>
      <c r="G61" s="106"/>
      <c r="H61" s="106"/>
      <c r="I61" s="106"/>
      <c r="J61" s="109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</row>
    <row r="62" spans="1:22">
      <c r="A62" s="92"/>
      <c r="D62" s="106"/>
      <c r="E62" s="106"/>
      <c r="F62" s="106"/>
      <c r="G62" s="106"/>
      <c r="H62" s="106">
        <v>592.63582339628294</v>
      </c>
      <c r="I62" s="106"/>
      <c r="J62" s="109"/>
    </row>
    <row r="63" spans="1:22">
      <c r="A63" s="92"/>
      <c r="B63" s="103" t="s">
        <v>180</v>
      </c>
      <c r="D63" s="106"/>
      <c r="E63" s="106" t="s">
        <v>0</v>
      </c>
      <c r="F63" s="106"/>
      <c r="G63" s="106"/>
      <c r="H63" s="122">
        <v>480</v>
      </c>
      <c r="I63" s="106"/>
      <c r="J63" s="109"/>
    </row>
    <row r="64" spans="1:22">
      <c r="A64" s="92">
        <f>A58+1</f>
        <v>45</v>
      </c>
      <c r="B64" t="s">
        <v>139</v>
      </c>
      <c r="C64" s="105"/>
      <c r="D64" s="111">
        <v>894</v>
      </c>
      <c r="E64" s="106">
        <f t="shared" ref="E64:E72" si="23">F64-D64</f>
        <v>49.200800000000186</v>
      </c>
      <c r="F64" s="111">
        <v>943.20080000000019</v>
      </c>
      <c r="G64" s="106"/>
      <c r="H64" s="106">
        <v>70026.232758276092</v>
      </c>
      <c r="I64" s="106"/>
      <c r="J64" s="109">
        <f t="shared" ref="J64:J73" si="24">SUM(K64:V64)/1000</f>
        <v>943.30119999999999</v>
      </c>
      <c r="K64" s="110">
        <v>78616.800000000003</v>
      </c>
      <c r="L64" s="110">
        <v>78616.800000000003</v>
      </c>
      <c r="M64" s="110">
        <v>78616.800000000003</v>
      </c>
      <c r="N64" s="110">
        <v>78616.800000000003</v>
      </c>
      <c r="O64" s="110">
        <v>78616.800000000003</v>
      </c>
      <c r="P64" s="110">
        <v>78616.800000000003</v>
      </c>
      <c r="Q64" s="110">
        <f t="shared" ref="Q64:V65" si="25">$F64*1000/12</f>
        <v>78600.06666666668</v>
      </c>
      <c r="R64" s="110">
        <f t="shared" si="25"/>
        <v>78600.06666666668</v>
      </c>
      <c r="S64" s="110">
        <f t="shared" si="25"/>
        <v>78600.06666666668</v>
      </c>
      <c r="T64" s="110">
        <f t="shared" si="25"/>
        <v>78600.06666666668</v>
      </c>
      <c r="U64" s="110">
        <f t="shared" si="25"/>
        <v>78600.06666666668</v>
      </c>
      <c r="V64" s="110">
        <f t="shared" si="25"/>
        <v>78600.06666666668</v>
      </c>
    </row>
    <row r="65" spans="1:22">
      <c r="A65" s="92">
        <f>A64+1</f>
        <v>46</v>
      </c>
      <c r="B65" t="s">
        <v>181</v>
      </c>
      <c r="D65" s="111">
        <f>136+2</f>
        <v>138</v>
      </c>
      <c r="E65" s="106">
        <f t="shared" si="23"/>
        <v>0</v>
      </c>
      <c r="F65" s="111">
        <v>138</v>
      </c>
      <c r="G65" s="106"/>
      <c r="H65" s="106"/>
      <c r="I65" s="106"/>
      <c r="J65" s="109">
        <f t="shared" si="24"/>
        <v>138</v>
      </c>
      <c r="K65" s="110">
        <v>11500</v>
      </c>
      <c r="L65" s="110">
        <v>11500</v>
      </c>
      <c r="M65" s="110">
        <v>11500</v>
      </c>
      <c r="N65" s="110">
        <v>11500</v>
      </c>
      <c r="O65" s="110">
        <v>11500</v>
      </c>
      <c r="P65" s="110">
        <v>11500</v>
      </c>
      <c r="Q65" s="110">
        <f t="shared" si="25"/>
        <v>11500</v>
      </c>
      <c r="R65" s="110">
        <f t="shared" si="25"/>
        <v>11500</v>
      </c>
      <c r="S65" s="110">
        <f t="shared" si="25"/>
        <v>11500</v>
      </c>
      <c r="T65" s="110">
        <f t="shared" si="25"/>
        <v>11500</v>
      </c>
      <c r="U65" s="110">
        <f t="shared" si="25"/>
        <v>11500</v>
      </c>
      <c r="V65" s="110">
        <f t="shared" si="25"/>
        <v>11500</v>
      </c>
    </row>
    <row r="66" spans="1:22">
      <c r="A66" s="92">
        <f t="shared" ref="A66:A73" si="26">A65+1</f>
        <v>47</v>
      </c>
      <c r="B66" t="s">
        <v>182</v>
      </c>
      <c r="D66" s="111">
        <v>12067</v>
      </c>
      <c r="E66" s="106">
        <f t="shared" si="23"/>
        <v>150.68000000000029</v>
      </c>
      <c r="F66" s="115">
        <v>12217.68</v>
      </c>
      <c r="G66" s="111"/>
      <c r="H66" s="111">
        <v>772</v>
      </c>
      <c r="I66" s="138"/>
      <c r="J66" s="109">
        <f t="shared" si="24"/>
        <v>12217.68</v>
      </c>
      <c r="K66" s="110">
        <v>1016720</v>
      </c>
      <c r="L66" s="110">
        <v>1016720</v>
      </c>
      <c r="M66" s="110">
        <v>1016720</v>
      </c>
      <c r="N66" s="110">
        <v>1016720</v>
      </c>
      <c r="O66" s="110">
        <v>1016720</v>
      </c>
      <c r="P66" s="110">
        <v>1016720</v>
      </c>
      <c r="Q66" s="110">
        <v>1016720</v>
      </c>
      <c r="R66" s="110">
        <v>1016720</v>
      </c>
      <c r="S66" s="110">
        <v>1016720</v>
      </c>
      <c r="T66" s="110">
        <v>1022400</v>
      </c>
      <c r="U66" s="110">
        <v>1022400</v>
      </c>
      <c r="V66" s="110">
        <v>1022400</v>
      </c>
    </row>
    <row r="67" spans="1:22">
      <c r="A67" s="92">
        <f t="shared" si="26"/>
        <v>48</v>
      </c>
      <c r="B67" t="s">
        <v>183</v>
      </c>
      <c r="D67" s="111">
        <v>1501</v>
      </c>
      <c r="E67" s="106">
        <f t="shared" si="23"/>
        <v>6.7159999999998945</v>
      </c>
      <c r="F67" s="115">
        <v>1507.7159999999999</v>
      </c>
      <c r="G67" s="106" t="s">
        <v>184</v>
      </c>
      <c r="H67" s="106">
        <v>49</v>
      </c>
      <c r="I67" s="106"/>
      <c r="J67" s="109">
        <f t="shared" si="24"/>
        <v>1507.7159999999999</v>
      </c>
      <c r="K67" s="110">
        <v>125643</v>
      </c>
      <c r="L67" s="110">
        <v>125643</v>
      </c>
      <c r="M67" s="110">
        <v>125643</v>
      </c>
      <c r="N67" s="110">
        <v>125643</v>
      </c>
      <c r="O67" s="110">
        <v>125643</v>
      </c>
      <c r="P67" s="110">
        <v>125643</v>
      </c>
      <c r="Q67" s="110">
        <v>125643</v>
      </c>
      <c r="R67" s="110">
        <v>125643</v>
      </c>
      <c r="S67" s="110">
        <v>125643</v>
      </c>
      <c r="T67" s="110">
        <v>125643</v>
      </c>
      <c r="U67" s="110">
        <v>125643</v>
      </c>
      <c r="V67" s="110">
        <v>125643</v>
      </c>
    </row>
    <row r="68" spans="1:22">
      <c r="A68" s="92">
        <f t="shared" si="26"/>
        <v>49</v>
      </c>
      <c r="B68" t="s">
        <v>185</v>
      </c>
      <c r="D68" s="111">
        <v>1373</v>
      </c>
      <c r="E68" s="106">
        <f t="shared" si="23"/>
        <v>29.934675200000129</v>
      </c>
      <c r="F68" s="115">
        <v>1402.9346752000001</v>
      </c>
      <c r="G68" s="117"/>
      <c r="H68" s="106">
        <v>348</v>
      </c>
      <c r="I68" s="106"/>
      <c r="J68" s="109">
        <f t="shared" si="24"/>
        <v>1402.9346752000001</v>
      </c>
      <c r="K68" s="110">
        <v>152421.69840000002</v>
      </c>
      <c r="L68" s="110">
        <v>133564.00443200002</v>
      </c>
      <c r="M68" s="110">
        <v>121321.00700800002</v>
      </c>
      <c r="N68" s="110">
        <v>127511.46372000001</v>
      </c>
      <c r="O68" s="110">
        <v>111882.20964</v>
      </c>
      <c r="P68" s="110">
        <v>83672.462360000005</v>
      </c>
      <c r="Q68" s="110">
        <v>132712.63364000001</v>
      </c>
      <c r="R68" s="110">
        <v>127312.81360000001</v>
      </c>
      <c r="S68" s="110">
        <v>108514.70956000002</v>
      </c>
      <c r="T68" s="110">
        <v>79664.010439999998</v>
      </c>
      <c r="U68" s="110">
        <v>86352.80363200001</v>
      </c>
      <c r="V68" s="110">
        <v>138004.85876799998</v>
      </c>
    </row>
    <row r="69" spans="1:22">
      <c r="A69" s="92">
        <f t="shared" si="26"/>
        <v>50</v>
      </c>
      <c r="B69" t="s">
        <v>186</v>
      </c>
      <c r="D69" s="111">
        <v>45</v>
      </c>
      <c r="E69" s="106">
        <f t="shared" si="23"/>
        <v>0.22200000000000131</v>
      </c>
      <c r="F69" s="111">
        <v>45.222000000000001</v>
      </c>
      <c r="G69" s="106"/>
      <c r="H69" s="106">
        <v>8315</v>
      </c>
      <c r="I69" s="106"/>
      <c r="J69" s="109">
        <f t="shared" si="24"/>
        <v>45.222000000000001</v>
      </c>
      <c r="K69" s="110">
        <v>3768.5</v>
      </c>
      <c r="L69" s="110">
        <v>3768.5</v>
      </c>
      <c r="M69" s="110">
        <v>3768.5</v>
      </c>
      <c r="N69" s="110">
        <v>3768.5</v>
      </c>
      <c r="O69" s="110">
        <v>3768.5</v>
      </c>
      <c r="P69" s="110">
        <v>3768.5</v>
      </c>
      <c r="Q69" s="110">
        <v>3768.5</v>
      </c>
      <c r="R69" s="110">
        <v>3768.5</v>
      </c>
      <c r="S69" s="110">
        <v>3768.5</v>
      </c>
      <c r="T69" s="110">
        <v>3768.5</v>
      </c>
      <c r="U69" s="110">
        <v>3768.5</v>
      </c>
      <c r="V69" s="110">
        <v>3768.5</v>
      </c>
    </row>
    <row r="70" spans="1:22">
      <c r="A70" s="92">
        <f t="shared" si="26"/>
        <v>51</v>
      </c>
      <c r="B70" t="s">
        <v>187</v>
      </c>
      <c r="D70" s="111">
        <v>135</v>
      </c>
      <c r="E70" s="106">
        <f t="shared" si="23"/>
        <v>5.0000000000000284</v>
      </c>
      <c r="F70" s="111">
        <v>140.00000000000003</v>
      </c>
      <c r="G70" s="106"/>
      <c r="H70" s="106">
        <v>1245</v>
      </c>
      <c r="I70" s="106"/>
      <c r="J70" s="109">
        <f t="shared" si="24"/>
        <v>140.00000000000003</v>
      </c>
      <c r="K70" s="110">
        <v>11666.666666666666</v>
      </c>
      <c r="L70" s="110">
        <v>11666.666666666666</v>
      </c>
      <c r="M70" s="110">
        <v>11666.666666666666</v>
      </c>
      <c r="N70" s="110">
        <v>11666.666666666666</v>
      </c>
      <c r="O70" s="110">
        <v>11666.666666666666</v>
      </c>
      <c r="P70" s="110">
        <v>11666.666666666666</v>
      </c>
      <c r="Q70" s="110">
        <f t="shared" ref="Q70:V70" si="27">$F70*1000/12</f>
        <v>11666.66666666667</v>
      </c>
      <c r="R70" s="110">
        <f t="shared" si="27"/>
        <v>11666.66666666667</v>
      </c>
      <c r="S70" s="110">
        <f t="shared" si="27"/>
        <v>11666.66666666667</v>
      </c>
      <c r="T70" s="110">
        <f t="shared" si="27"/>
        <v>11666.66666666667</v>
      </c>
      <c r="U70" s="110">
        <f t="shared" si="27"/>
        <v>11666.66666666667</v>
      </c>
      <c r="V70" s="110">
        <f t="shared" si="27"/>
        <v>11666.66666666667</v>
      </c>
    </row>
    <row r="71" spans="1:22">
      <c r="A71" s="92">
        <f t="shared" si="26"/>
        <v>52</v>
      </c>
      <c r="B71" t="s">
        <v>188</v>
      </c>
      <c r="C71" s="105"/>
      <c r="D71" s="111">
        <v>558</v>
      </c>
      <c r="E71" s="106">
        <f t="shared" si="23"/>
        <v>0</v>
      </c>
      <c r="F71" s="111">
        <v>558</v>
      </c>
      <c r="G71" s="117"/>
      <c r="H71" s="106">
        <v>1689</v>
      </c>
      <c r="I71" s="106"/>
      <c r="J71" s="109">
        <f t="shared" si="24"/>
        <v>558</v>
      </c>
      <c r="K71" s="110">
        <v>46500</v>
      </c>
      <c r="L71" s="110">
        <v>46500</v>
      </c>
      <c r="M71" s="110">
        <v>46500</v>
      </c>
      <c r="N71" s="110">
        <v>46500</v>
      </c>
      <c r="O71" s="110">
        <v>46500</v>
      </c>
      <c r="P71" s="110">
        <v>46500</v>
      </c>
      <c r="Q71" s="110">
        <f t="shared" ref="Q71:V71" si="28">558000/12</f>
        <v>46500</v>
      </c>
      <c r="R71" s="110">
        <f t="shared" si="28"/>
        <v>46500</v>
      </c>
      <c r="S71" s="110">
        <f t="shared" si="28"/>
        <v>46500</v>
      </c>
      <c r="T71" s="110">
        <f t="shared" si="28"/>
        <v>46500</v>
      </c>
      <c r="U71" s="110">
        <f t="shared" si="28"/>
        <v>46500</v>
      </c>
      <c r="V71" s="110">
        <f t="shared" si="28"/>
        <v>46500</v>
      </c>
    </row>
    <row r="72" spans="1:22">
      <c r="A72" s="92">
        <f t="shared" si="26"/>
        <v>53</v>
      </c>
      <c r="B72" s="120" t="s">
        <v>189</v>
      </c>
      <c r="C72" s="120"/>
      <c r="D72" s="121">
        <v>643</v>
      </c>
      <c r="E72" s="122">
        <f t="shared" si="23"/>
        <v>-0.41200000000003456</v>
      </c>
      <c r="F72" s="121">
        <v>642.58799999999997</v>
      </c>
      <c r="G72" s="106"/>
      <c r="H72" s="106">
        <v>32.112000000000002</v>
      </c>
      <c r="I72" s="106"/>
      <c r="J72" s="136">
        <f t="shared" si="24"/>
        <v>642.58799999999997</v>
      </c>
      <c r="K72" s="139">
        <v>53549</v>
      </c>
      <c r="L72" s="139">
        <v>53549</v>
      </c>
      <c r="M72" s="139">
        <v>53549</v>
      </c>
      <c r="N72" s="139">
        <v>53549</v>
      </c>
      <c r="O72" s="139">
        <v>53549</v>
      </c>
      <c r="P72" s="139">
        <v>53549</v>
      </c>
      <c r="Q72" s="139">
        <v>53549</v>
      </c>
      <c r="R72" s="139">
        <v>53549</v>
      </c>
      <c r="S72" s="139">
        <v>53549</v>
      </c>
      <c r="T72" s="139">
        <v>53549</v>
      </c>
      <c r="U72" s="139">
        <v>53549</v>
      </c>
      <c r="V72" s="139">
        <v>53549</v>
      </c>
    </row>
    <row r="73" spans="1:22">
      <c r="A73" s="92">
        <f t="shared" si="26"/>
        <v>54</v>
      </c>
      <c r="B73" t="s">
        <v>190</v>
      </c>
      <c r="D73" s="111">
        <f>SUM(D64:D72)</f>
        <v>17354</v>
      </c>
      <c r="E73" s="106">
        <f>F73-D73</f>
        <v>241.34147520000261</v>
      </c>
      <c r="F73" s="106">
        <f>SUM(F64:F72)</f>
        <v>17595.341475200003</v>
      </c>
      <c r="G73" s="106"/>
      <c r="H73" s="106">
        <v>214</v>
      </c>
      <c r="I73" s="106"/>
      <c r="J73" s="109">
        <f t="shared" si="24"/>
        <v>17595.441875199998</v>
      </c>
      <c r="K73" s="123">
        <v>1500385.6650666669</v>
      </c>
      <c r="L73" s="123">
        <v>1481527.9710986668</v>
      </c>
      <c r="M73" s="123">
        <v>1469284.9736746668</v>
      </c>
      <c r="N73" s="123">
        <v>1475475.4303866669</v>
      </c>
      <c r="O73" s="123">
        <v>1459846.1763066668</v>
      </c>
      <c r="P73" s="123">
        <v>1431636.4290266668</v>
      </c>
      <c r="Q73" s="123">
        <f t="shared" ref="Q73:V73" si="29">SUM(Q64:Q72)</f>
        <v>1480659.8669733333</v>
      </c>
      <c r="R73" s="123">
        <f t="shared" si="29"/>
        <v>1475260.0469333334</v>
      </c>
      <c r="S73" s="123">
        <f t="shared" si="29"/>
        <v>1456461.9428933335</v>
      </c>
      <c r="T73" s="123">
        <f t="shared" si="29"/>
        <v>1433291.2437733335</v>
      </c>
      <c r="U73" s="123">
        <f t="shared" si="29"/>
        <v>1439980.0369653334</v>
      </c>
      <c r="V73" s="123">
        <f t="shared" si="29"/>
        <v>1491632.0921013334</v>
      </c>
    </row>
    <row r="74" spans="1:22" ht="12.95" customHeight="1">
      <c r="A74" s="92"/>
      <c r="D74" s="106"/>
      <c r="E74" s="106"/>
      <c r="F74" s="106"/>
      <c r="G74" s="106"/>
      <c r="H74" s="122">
        <v>643</v>
      </c>
      <c r="I74" s="106"/>
      <c r="J74" s="109"/>
    </row>
    <row r="75" spans="1:22" ht="12" customHeight="1">
      <c r="A75" s="92"/>
      <c r="B75" s="103" t="s">
        <v>191</v>
      </c>
      <c r="D75" s="106"/>
      <c r="E75" s="106"/>
      <c r="F75" s="106"/>
      <c r="G75" s="106"/>
      <c r="H75" s="106">
        <v>13307.111999999999</v>
      </c>
      <c r="I75" s="106"/>
      <c r="J75" s="109"/>
    </row>
    <row r="76" spans="1:22" ht="12" customHeight="1">
      <c r="A76" s="92">
        <f>A73+1</f>
        <v>55</v>
      </c>
      <c r="B76" t="s">
        <v>192</v>
      </c>
      <c r="D76" s="111">
        <v>997</v>
      </c>
      <c r="E76" s="111">
        <f>F76-D76</f>
        <v>32</v>
      </c>
      <c r="F76" s="111">
        <v>1029</v>
      </c>
      <c r="G76" s="111"/>
      <c r="H76" s="111"/>
      <c r="I76" s="106"/>
      <c r="J76" s="109">
        <f t="shared" ref="J76" si="30">SUM(K76:V76)/1000</f>
        <v>1029</v>
      </c>
      <c r="K76" s="110">
        <v>85750</v>
      </c>
      <c r="L76" s="110">
        <v>85750</v>
      </c>
      <c r="M76" s="110">
        <v>85750</v>
      </c>
      <c r="N76" s="110">
        <v>85750</v>
      </c>
      <c r="O76" s="110">
        <v>85750</v>
      </c>
      <c r="P76" s="110">
        <v>85750</v>
      </c>
      <c r="Q76" s="110">
        <f t="shared" ref="Q76:V76" si="31">$F76*1000/12</f>
        <v>85750</v>
      </c>
      <c r="R76" s="110">
        <f t="shared" si="31"/>
        <v>85750</v>
      </c>
      <c r="S76" s="110">
        <f t="shared" si="31"/>
        <v>85750</v>
      </c>
      <c r="T76" s="110">
        <f t="shared" si="31"/>
        <v>85750</v>
      </c>
      <c r="U76" s="110">
        <f t="shared" si="31"/>
        <v>85750</v>
      </c>
      <c r="V76" s="110">
        <f t="shared" si="31"/>
        <v>85750</v>
      </c>
    </row>
    <row r="77" spans="1:22" ht="12" customHeight="1">
      <c r="A77" s="92"/>
      <c r="D77" s="106"/>
      <c r="E77" s="106"/>
      <c r="F77" s="106"/>
      <c r="G77" s="106"/>
      <c r="H77" s="106"/>
      <c r="I77" s="106"/>
      <c r="J77" s="109"/>
    </row>
    <row r="78" spans="1:22" ht="12" customHeight="1">
      <c r="A78" s="92">
        <f>A76+1</f>
        <v>56</v>
      </c>
      <c r="B78" s="140" t="s">
        <v>41</v>
      </c>
      <c r="C78" s="141"/>
      <c r="D78" s="142">
        <f>D28+D37+D44+D58+D73+D76</f>
        <v>397940</v>
      </c>
      <c r="E78" s="142">
        <f>F78-D78</f>
        <v>-163878.74029299998</v>
      </c>
      <c r="F78" s="143">
        <f>F28+F37+F44+F58+F73+F76</f>
        <v>234061.25970700002</v>
      </c>
      <c r="G78" s="106"/>
      <c r="H78" s="106">
        <v>133</v>
      </c>
      <c r="I78" s="106"/>
      <c r="J78" s="109"/>
    </row>
    <row r="79" spans="1:22" ht="12" customHeight="1">
      <c r="A79" s="92"/>
      <c r="B79" s="144"/>
      <c r="D79" s="106"/>
      <c r="E79" s="106"/>
      <c r="F79" s="106"/>
      <c r="G79" s="106"/>
      <c r="H79" s="122"/>
      <c r="I79" s="106"/>
      <c r="J79" s="109"/>
      <c r="K79">
        <v>233.30453622750917</v>
      </c>
      <c r="L79">
        <v>131.221883736737</v>
      </c>
      <c r="M79">
        <v>78.585408950224405</v>
      </c>
      <c r="N79">
        <v>-176.03369494378541</v>
      </c>
      <c r="O79">
        <v>-320.98324853987339</v>
      </c>
      <c r="P79">
        <v>-303.35943348407721</v>
      </c>
    </row>
    <row r="80" spans="1:22" ht="12" customHeight="1">
      <c r="A80" s="92"/>
      <c r="B80" s="103" t="s">
        <v>193</v>
      </c>
      <c r="D80" s="106"/>
      <c r="E80" s="106"/>
      <c r="F80" s="106"/>
      <c r="G80" s="106"/>
      <c r="H80" s="142">
        <v>188457.26014905036</v>
      </c>
      <c r="I80" s="106"/>
      <c r="J80" s="109"/>
      <c r="K80" s="102">
        <v>41639</v>
      </c>
      <c r="L80" s="102">
        <v>41670</v>
      </c>
      <c r="M80" s="102">
        <v>41698</v>
      </c>
      <c r="N80" s="102">
        <v>41729</v>
      </c>
      <c r="O80" s="102">
        <v>41759</v>
      </c>
      <c r="P80" s="102">
        <v>41790</v>
      </c>
      <c r="Q80" s="102">
        <v>41455</v>
      </c>
      <c r="R80" s="102">
        <v>41486</v>
      </c>
      <c r="S80" s="102">
        <v>41517</v>
      </c>
      <c r="T80" s="102">
        <v>41547</v>
      </c>
      <c r="U80" s="102">
        <v>41578</v>
      </c>
      <c r="V80" s="102">
        <v>41608</v>
      </c>
    </row>
    <row r="81" spans="1:22" ht="12.95" customHeight="1">
      <c r="A81" s="92">
        <f>A78+1</f>
        <v>57</v>
      </c>
      <c r="B81" t="s">
        <v>194</v>
      </c>
      <c r="D81" s="111">
        <v>0</v>
      </c>
      <c r="E81" s="106">
        <f t="shared" ref="E81:E90" si="32">F81-D81</f>
        <v>38716.826576816988</v>
      </c>
      <c r="F81" s="106">
        <v>38716.826576816988</v>
      </c>
      <c r="G81" s="106"/>
      <c r="H81" s="106"/>
      <c r="I81" s="107"/>
      <c r="J81" s="109">
        <f>SUM(K81:V81)/1000</f>
        <v>38716.826576816988</v>
      </c>
      <c r="K81" s="123">
        <v>3992870.02563476</v>
      </c>
      <c r="L81" s="123">
        <v>2959661.1387848803</v>
      </c>
      <c r="M81" s="123">
        <v>3587521.7065811097</v>
      </c>
      <c r="N81" s="123">
        <v>5107522.3770141602</v>
      </c>
      <c r="O81" s="123">
        <v>3860261.8541717501</v>
      </c>
      <c r="P81" s="123">
        <v>2450588.4336471502</v>
      </c>
      <c r="Q81" s="123">
        <f>-'[7]WGJ-4'!J9</f>
        <v>2890904.5322418199</v>
      </c>
      <c r="R81" s="123">
        <f>-'[7]WGJ-4'!K9</f>
        <v>1667142.02017784</v>
      </c>
      <c r="S81" s="123">
        <f>-'[7]WGJ-4'!L9</f>
        <v>2771399.0316390898</v>
      </c>
      <c r="T81" s="123">
        <f>-'[7]WGJ-4'!M9</f>
        <v>1997572.15309143</v>
      </c>
      <c r="U81" s="123">
        <f>-'[7]WGJ-4'!N9</f>
        <v>3081041.5893554599</v>
      </c>
      <c r="V81" s="123">
        <f>-'[7]WGJ-4'!O9</f>
        <v>4350341.7144775307</v>
      </c>
    </row>
    <row r="82" spans="1:22" ht="12.95" customHeight="1">
      <c r="A82" s="92">
        <f t="shared" ref="A82:A90" si="33">A81+1</f>
        <v>58</v>
      </c>
      <c r="B82" t="s">
        <v>195</v>
      </c>
      <c r="D82" s="111">
        <v>105602</v>
      </c>
      <c r="E82" s="106">
        <f t="shared" si="32"/>
        <v>-105602</v>
      </c>
      <c r="F82" s="124">
        <v>0</v>
      </c>
      <c r="G82" s="106"/>
      <c r="H82" s="106"/>
      <c r="I82" s="107"/>
      <c r="J82" s="109">
        <f>SUM(K82:V82)/1000</f>
        <v>0</v>
      </c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</row>
    <row r="83" spans="1:22" ht="12.95" customHeight="1">
      <c r="A83" s="92">
        <f t="shared" si="33"/>
        <v>59</v>
      </c>
      <c r="B83" t="s">
        <v>196</v>
      </c>
      <c r="D83" s="111">
        <v>0</v>
      </c>
      <c r="E83" s="106">
        <f t="shared" si="32"/>
        <v>436.74923923145877</v>
      </c>
      <c r="F83" s="112">
        <v>436.74923923145877</v>
      </c>
      <c r="G83" s="106"/>
      <c r="H83" s="106"/>
      <c r="I83" s="107"/>
      <c r="J83" s="109">
        <f>SUM(K83:V83)/1000</f>
        <v>436.74923923145877</v>
      </c>
      <c r="K83" s="123">
        <v>-233304.53622750918</v>
      </c>
      <c r="L83" s="123">
        <v>-131221.88373673699</v>
      </c>
      <c r="M83" s="123">
        <v>-78585.408950224402</v>
      </c>
      <c r="N83" s="123">
        <v>176033.69494378541</v>
      </c>
      <c r="O83" s="123">
        <v>320983.2485398734</v>
      </c>
      <c r="P83" s="123">
        <v>303359.43348407722</v>
      </c>
      <c r="Q83" s="123">
        <v>221260.8332958073</v>
      </c>
      <c r="R83" s="123">
        <v>-74259.4805707224</v>
      </c>
      <c r="S83" s="123">
        <v>-20774.81808611194</v>
      </c>
      <c r="T83" s="123">
        <v>115492.34864157636</v>
      </c>
      <c r="U83" s="123">
        <v>-13349.238482630057</v>
      </c>
      <c r="V83" s="123">
        <v>-148884.953619726</v>
      </c>
    </row>
    <row r="84" spans="1:22">
      <c r="A84" s="92">
        <f t="shared" si="33"/>
        <v>60</v>
      </c>
      <c r="B84" s="132" t="s">
        <v>197</v>
      </c>
      <c r="D84" s="111">
        <v>9501</v>
      </c>
      <c r="E84" s="106">
        <f t="shared" si="32"/>
        <v>-9501</v>
      </c>
      <c r="F84" s="111">
        <v>0</v>
      </c>
      <c r="G84" s="106"/>
      <c r="H84" s="106"/>
      <c r="I84" s="106"/>
      <c r="J84" s="109">
        <f t="shared" ref="J84:J91" si="34">SUM(K84:V84)/1000</f>
        <v>0</v>
      </c>
      <c r="K84" s="145">
        <v>0</v>
      </c>
      <c r="L84" s="145">
        <v>0</v>
      </c>
      <c r="M84" s="145">
        <v>0</v>
      </c>
      <c r="N84" s="145">
        <v>0</v>
      </c>
      <c r="O84" s="145">
        <v>0</v>
      </c>
      <c r="P84" s="145">
        <v>0</v>
      </c>
      <c r="Q84" s="145">
        <v>0</v>
      </c>
      <c r="R84" s="145">
        <v>0</v>
      </c>
      <c r="S84" s="145">
        <v>0</v>
      </c>
      <c r="T84" s="145">
        <v>0</v>
      </c>
      <c r="U84" s="145">
        <v>0</v>
      </c>
      <c r="V84" s="145">
        <v>0</v>
      </c>
    </row>
    <row r="85" spans="1:22">
      <c r="A85" s="92">
        <f t="shared" si="33"/>
        <v>61</v>
      </c>
      <c r="B85" t="s">
        <v>198</v>
      </c>
      <c r="D85" s="146">
        <v>1256</v>
      </c>
      <c r="E85" s="106">
        <f t="shared" si="32"/>
        <v>113.71249264605854</v>
      </c>
      <c r="F85" s="111">
        <v>1369.7124926460585</v>
      </c>
      <c r="G85" s="147" t="s">
        <v>199</v>
      </c>
      <c r="H85" s="146">
        <v>1800</v>
      </c>
      <c r="I85" s="148" t="s">
        <v>199</v>
      </c>
      <c r="J85" s="109">
        <f t="shared" si="34"/>
        <v>1369.7124926460585</v>
      </c>
      <c r="K85" s="123">
        <v>142582.54594488634</v>
      </c>
      <c r="L85" s="123">
        <v>117984.89775735646</v>
      </c>
      <c r="M85" s="123">
        <v>121835.26717832882</v>
      </c>
      <c r="N85" s="123">
        <v>83440.301625137188</v>
      </c>
      <c r="O85" s="123">
        <v>67681.36570982424</v>
      </c>
      <c r="P85" s="123">
        <v>66395.366285559197</v>
      </c>
      <c r="Q85" s="123">
        <f>[7]Index!J16</f>
        <v>119524.81075188291</v>
      </c>
      <c r="R85" s="123">
        <f>[7]Index!K16</f>
        <v>133288.54307814708</v>
      </c>
      <c r="S85" s="123">
        <f>[7]Index!L16</f>
        <v>127491.29222335327</v>
      </c>
      <c r="T85" s="123">
        <f>[7]Index!M16</f>
        <v>121066.03088995304</v>
      </c>
      <c r="U85" s="123">
        <f>[7]Index!N16</f>
        <v>126939.24867661203</v>
      </c>
      <c r="V85" s="123">
        <f>[7]Index!O16</f>
        <v>141482.82252501784</v>
      </c>
    </row>
    <row r="86" spans="1:22">
      <c r="A86" s="92">
        <f t="shared" si="33"/>
        <v>62</v>
      </c>
      <c r="B86" t="s">
        <v>200</v>
      </c>
      <c r="D86" s="146">
        <v>150</v>
      </c>
      <c r="E86" s="106">
        <f t="shared" si="32"/>
        <v>6</v>
      </c>
      <c r="F86" s="111">
        <v>156</v>
      </c>
      <c r="G86" s="149"/>
      <c r="H86" s="149">
        <v>-63</v>
      </c>
      <c r="J86" s="109">
        <f t="shared" si="34"/>
        <v>156</v>
      </c>
      <c r="K86" s="123">
        <v>13000</v>
      </c>
      <c r="L86" s="123">
        <v>13000</v>
      </c>
      <c r="M86" s="123">
        <v>13000</v>
      </c>
      <c r="N86" s="123">
        <v>13000</v>
      </c>
      <c r="O86" s="123">
        <v>13000</v>
      </c>
      <c r="P86" s="123">
        <v>13000</v>
      </c>
      <c r="Q86" s="123">
        <f t="shared" ref="Q86:V87" si="35">$F86/12*1000</f>
        <v>13000</v>
      </c>
      <c r="R86" s="123">
        <f t="shared" si="35"/>
        <v>13000</v>
      </c>
      <c r="S86" s="123">
        <f t="shared" si="35"/>
        <v>13000</v>
      </c>
      <c r="T86" s="123">
        <f t="shared" si="35"/>
        <v>13000</v>
      </c>
      <c r="U86" s="123">
        <f t="shared" si="35"/>
        <v>13000</v>
      </c>
      <c r="V86" s="123">
        <f t="shared" si="35"/>
        <v>13000</v>
      </c>
    </row>
    <row r="87" spans="1:22">
      <c r="A87" s="92">
        <f t="shared" si="33"/>
        <v>63</v>
      </c>
      <c r="B87" t="s">
        <v>201</v>
      </c>
      <c r="D87" s="146">
        <v>525</v>
      </c>
      <c r="E87" s="106">
        <f t="shared" si="32"/>
        <v>45</v>
      </c>
      <c r="F87" s="111">
        <v>570</v>
      </c>
      <c r="G87" s="150"/>
      <c r="H87" s="150">
        <v>272</v>
      </c>
      <c r="J87" s="109">
        <f t="shared" si="34"/>
        <v>570</v>
      </c>
      <c r="K87" s="123">
        <v>47500</v>
      </c>
      <c r="L87" s="123">
        <v>47500</v>
      </c>
      <c r="M87" s="123">
        <v>47500</v>
      </c>
      <c r="N87" s="123">
        <v>47500</v>
      </c>
      <c r="O87" s="123">
        <v>47500</v>
      </c>
      <c r="P87" s="123">
        <v>47500</v>
      </c>
      <c r="Q87" s="123">
        <f t="shared" si="35"/>
        <v>47500</v>
      </c>
      <c r="R87" s="123">
        <f t="shared" si="35"/>
        <v>47500</v>
      </c>
      <c r="S87" s="123">
        <f t="shared" si="35"/>
        <v>47500</v>
      </c>
      <c r="T87" s="123">
        <f t="shared" si="35"/>
        <v>47500</v>
      </c>
      <c r="U87" s="123">
        <f t="shared" si="35"/>
        <v>47500</v>
      </c>
      <c r="V87" s="123">
        <f t="shared" si="35"/>
        <v>47500</v>
      </c>
    </row>
    <row r="88" spans="1:22">
      <c r="A88" s="92">
        <f t="shared" si="33"/>
        <v>64</v>
      </c>
      <c r="B88" t="s">
        <v>202</v>
      </c>
      <c r="D88" s="146">
        <v>12149</v>
      </c>
      <c r="E88" s="106">
        <f t="shared" si="32"/>
        <v>262.43772331475338</v>
      </c>
      <c r="F88" s="111">
        <v>12411.437723314753</v>
      </c>
      <c r="G88" s="149"/>
      <c r="H88" s="149"/>
      <c r="J88" s="109">
        <f t="shared" si="34"/>
        <v>12411.437723314753</v>
      </c>
      <c r="K88" s="123">
        <v>1250364.5335006709</v>
      </c>
      <c r="L88" s="123">
        <v>1047541.8875312797</v>
      </c>
      <c r="M88" s="123">
        <v>1095645.4094338405</v>
      </c>
      <c r="N88" s="123">
        <v>801466.3039684284</v>
      </c>
      <c r="O88" s="123">
        <v>696076.75435066118</v>
      </c>
      <c r="P88" s="123">
        <v>680120.56789398054</v>
      </c>
      <c r="Q88" s="123">
        <f>[7]Index!J21</f>
        <v>1072781.4886665335</v>
      </c>
      <c r="R88" s="123">
        <f>[7]Index!K21</f>
        <v>1182912.1384048455</v>
      </c>
      <c r="S88" s="123">
        <f>[7]Index!L21</f>
        <v>1131755.4176330559</v>
      </c>
      <c r="T88" s="123">
        <f>[7]Index!M21</f>
        <v>1087391.1776161185</v>
      </c>
      <c r="U88" s="123">
        <f>[7]Index!N21</f>
        <v>1127938.4616851795</v>
      </c>
      <c r="V88" s="123">
        <f>[7]Index!O21</f>
        <v>1237443.5826301568</v>
      </c>
    </row>
    <row r="89" spans="1:22">
      <c r="A89" s="92">
        <f t="shared" si="33"/>
        <v>65</v>
      </c>
      <c r="B89" t="s">
        <v>203</v>
      </c>
      <c r="D89" s="146">
        <v>0</v>
      </c>
      <c r="E89" s="106">
        <f t="shared" si="32"/>
        <v>528.17067232131808</v>
      </c>
      <c r="F89" s="111">
        <v>528.17067232131808</v>
      </c>
      <c r="G89" s="149"/>
      <c r="H89" s="149"/>
      <c r="J89" s="109">
        <f t="shared" si="34"/>
        <v>528.17067232131808</v>
      </c>
      <c r="K89" s="123">
        <v>42275.313377380968</v>
      </c>
      <c r="L89" s="123">
        <v>37443.219089508006</v>
      </c>
      <c r="M89" s="123">
        <v>42153.357410430996</v>
      </c>
      <c r="N89" s="123">
        <v>40090.917778014984</v>
      </c>
      <c r="O89" s="123">
        <v>46525.235795974026</v>
      </c>
      <c r="P89" s="123">
        <v>62262.770032882996</v>
      </c>
      <c r="Q89" s="123">
        <v>50951.742553709977</v>
      </c>
      <c r="R89" s="123">
        <v>44806.467247008979</v>
      </c>
      <c r="S89" s="123">
        <v>39912.834739684993</v>
      </c>
      <c r="T89" s="123">
        <v>40562.511157990004</v>
      </c>
      <c r="U89" s="123">
        <v>39637.582778930009</v>
      </c>
      <c r="V89" s="123">
        <v>41548.720359801991</v>
      </c>
    </row>
    <row r="90" spans="1:22">
      <c r="A90" s="92">
        <f t="shared" si="33"/>
        <v>66</v>
      </c>
      <c r="B90" s="120" t="s">
        <v>204</v>
      </c>
      <c r="C90" s="120"/>
      <c r="D90" s="121">
        <v>1654</v>
      </c>
      <c r="E90" s="122">
        <f t="shared" si="32"/>
        <v>-1654</v>
      </c>
      <c r="F90" s="122">
        <v>0</v>
      </c>
      <c r="G90" s="149"/>
      <c r="H90" s="149"/>
      <c r="J90" s="109">
        <f t="shared" si="34"/>
        <v>0</v>
      </c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</row>
    <row r="91" spans="1:22">
      <c r="A91" s="92">
        <f>A90+1</f>
        <v>67</v>
      </c>
      <c r="B91" t="s">
        <v>205</v>
      </c>
      <c r="D91" s="106">
        <f>SUM(D81:D90)</f>
        <v>130837</v>
      </c>
      <c r="E91" s="106">
        <f>F91-D91</f>
        <v>-76648.103295669425</v>
      </c>
      <c r="F91" s="106">
        <f>SUM(F81:F90)</f>
        <v>54188.896704330582</v>
      </c>
      <c r="G91" s="106"/>
      <c r="H91" s="122">
        <v>0</v>
      </c>
      <c r="I91" s="106"/>
      <c r="J91" s="109">
        <f t="shared" si="34"/>
        <v>54188.89670433056</v>
      </c>
      <c r="K91" s="123">
        <v>5255287.8822301896</v>
      </c>
      <c r="L91" s="123">
        <v>4091909.2594262874</v>
      </c>
      <c r="M91" s="123">
        <v>4829070.3316534851</v>
      </c>
      <c r="N91" s="123">
        <v>6269053.5953295268</v>
      </c>
      <c r="O91" s="123">
        <v>5052028.4585680831</v>
      </c>
      <c r="P91" s="123">
        <v>3623226.5713436506</v>
      </c>
      <c r="Q91" s="123">
        <f t="shared" ref="Q91:V91" si="36">SUM(Q81:Q90)</f>
        <v>4415923.4075097535</v>
      </c>
      <c r="R91" s="123">
        <f t="shared" si="36"/>
        <v>3014389.6883371188</v>
      </c>
      <c r="S91" s="123">
        <f t="shared" si="36"/>
        <v>4110283.7581490725</v>
      </c>
      <c r="T91" s="123">
        <f t="shared" si="36"/>
        <v>3422584.2213970679</v>
      </c>
      <c r="U91" s="123">
        <f t="shared" si="36"/>
        <v>4422707.6440135511</v>
      </c>
      <c r="V91" s="123">
        <f t="shared" si="36"/>
        <v>5682431.8863727814</v>
      </c>
    </row>
    <row r="92" spans="1:22">
      <c r="A92" s="92"/>
      <c r="D92" s="106">
        <v>130837</v>
      </c>
      <c r="E92" s="106"/>
      <c r="F92" s="106"/>
      <c r="G92" s="106"/>
      <c r="H92" s="106">
        <v>62060.890920372694</v>
      </c>
      <c r="I92" s="106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</row>
    <row r="93" spans="1:22">
      <c r="A93" s="92"/>
      <c r="B93" s="103" t="s">
        <v>40</v>
      </c>
      <c r="D93" s="106"/>
      <c r="E93" s="106" t="s">
        <v>0</v>
      </c>
      <c r="F93" s="106"/>
      <c r="G93" s="106"/>
      <c r="H93" s="106"/>
      <c r="I93" s="106"/>
      <c r="J93" s="109"/>
    </row>
    <row r="94" spans="1:22">
      <c r="A94" s="92">
        <f>A91+1</f>
        <v>68</v>
      </c>
      <c r="B94" t="s">
        <v>206</v>
      </c>
      <c r="D94" s="111">
        <v>3245</v>
      </c>
      <c r="E94" s="111">
        <f>F94-D94</f>
        <v>-3245</v>
      </c>
      <c r="F94" s="111">
        <v>0</v>
      </c>
      <c r="G94" s="111"/>
      <c r="H94" s="111"/>
      <c r="I94" s="106"/>
      <c r="J94" s="109"/>
      <c r="K94" s="123"/>
      <c r="L94" s="123"/>
      <c r="M94" s="123"/>
      <c r="N94" s="123"/>
      <c r="O94" s="123"/>
      <c r="P94" s="123"/>
      <c r="Q94" s="123">
        <f t="shared" ref="Q94:V94" si="37">850000/12</f>
        <v>70833.333333333328</v>
      </c>
      <c r="R94" s="123">
        <f t="shared" si="37"/>
        <v>70833.333333333328</v>
      </c>
      <c r="S94" s="123">
        <f t="shared" si="37"/>
        <v>70833.333333333328</v>
      </c>
      <c r="T94" s="123">
        <f t="shared" si="37"/>
        <v>70833.333333333328</v>
      </c>
      <c r="U94" s="123">
        <f t="shared" si="37"/>
        <v>70833.333333333328</v>
      </c>
      <c r="V94" s="123">
        <f t="shared" si="37"/>
        <v>70833.333333333328</v>
      </c>
    </row>
    <row r="95" spans="1:22">
      <c r="A95" s="92">
        <f>A94+1</f>
        <v>69</v>
      </c>
      <c r="B95" t="s">
        <v>207</v>
      </c>
      <c r="D95" s="111">
        <v>163</v>
      </c>
      <c r="E95" s="111">
        <f>F95-D95</f>
        <v>-163</v>
      </c>
      <c r="F95" s="111">
        <v>0</v>
      </c>
      <c r="G95" s="111"/>
      <c r="H95" s="111"/>
      <c r="I95" s="106"/>
      <c r="J95" s="109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</row>
    <row r="96" spans="1:22">
      <c r="A96" s="92">
        <f t="shared" ref="A96:A97" si="38">A95+1</f>
        <v>70</v>
      </c>
      <c r="B96" s="120" t="s">
        <v>208</v>
      </c>
      <c r="C96" s="120"/>
      <c r="D96" s="111">
        <v>95212</v>
      </c>
      <c r="E96" s="122">
        <f>F96-D96</f>
        <v>-95212</v>
      </c>
      <c r="F96" s="106">
        <v>0</v>
      </c>
      <c r="G96" s="106"/>
      <c r="H96" s="106">
        <v>48</v>
      </c>
      <c r="I96" s="106"/>
      <c r="J96" s="109"/>
    </row>
    <row r="97" spans="1:22">
      <c r="A97" s="92">
        <f t="shared" si="38"/>
        <v>71</v>
      </c>
      <c r="B97" t="s">
        <v>209</v>
      </c>
      <c r="D97" s="125">
        <f>SUM(D94:D96)</f>
        <v>98620</v>
      </c>
      <c r="E97" s="106">
        <f>F97-D97</f>
        <v>-98620</v>
      </c>
      <c r="F97" s="126">
        <f>SUM(F94:F96)</f>
        <v>0</v>
      </c>
      <c r="G97" s="106"/>
      <c r="H97" s="106">
        <v>0</v>
      </c>
      <c r="I97" s="106"/>
      <c r="J97" s="109"/>
    </row>
    <row r="98" spans="1:22" ht="7.5" customHeight="1">
      <c r="A98" s="92" t="s">
        <v>0</v>
      </c>
      <c r="D98" s="106"/>
      <c r="E98" s="106"/>
      <c r="F98" s="106"/>
      <c r="G98" s="106"/>
      <c r="H98" s="122">
        <v>0</v>
      </c>
      <c r="I98" s="106"/>
      <c r="J98" s="109"/>
    </row>
    <row r="99" spans="1:22">
      <c r="A99" s="92"/>
      <c r="B99" s="151" t="s">
        <v>210</v>
      </c>
      <c r="D99" s="106"/>
      <c r="E99" s="106"/>
      <c r="F99" s="106" t="s">
        <v>0</v>
      </c>
      <c r="G99" s="106"/>
      <c r="H99" s="106">
        <v>48</v>
      </c>
      <c r="I99" s="106"/>
      <c r="J99" s="109"/>
    </row>
    <row r="100" spans="1:22">
      <c r="A100" s="92">
        <f>A97+1</f>
        <v>72</v>
      </c>
      <c r="B100" t="s">
        <v>211</v>
      </c>
      <c r="D100" s="111">
        <v>418</v>
      </c>
      <c r="E100" s="111">
        <f>F100-D100</f>
        <v>48</v>
      </c>
      <c r="F100" s="111">
        <v>466</v>
      </c>
      <c r="G100" s="111"/>
      <c r="H100" s="111"/>
      <c r="I100" s="106"/>
      <c r="J100" s="109">
        <f t="shared" ref="J100" si="39">SUM(K100:V100)/1000</f>
        <v>465.99999999999994</v>
      </c>
      <c r="K100" s="110">
        <v>38833.333333333336</v>
      </c>
      <c r="L100" s="110">
        <v>38833.333333333336</v>
      </c>
      <c r="M100" s="110">
        <v>38833.333333333336</v>
      </c>
      <c r="N100" s="110">
        <v>38833.333333333336</v>
      </c>
      <c r="O100" s="110">
        <v>38833.333333333336</v>
      </c>
      <c r="P100" s="110">
        <v>38833.333333333336</v>
      </c>
      <c r="Q100" s="110">
        <f t="shared" ref="Q100:V100" si="40">$F100*1000/12</f>
        <v>38833.333333333336</v>
      </c>
      <c r="R100" s="110">
        <f t="shared" si="40"/>
        <v>38833.333333333336</v>
      </c>
      <c r="S100" s="110">
        <f t="shared" si="40"/>
        <v>38833.333333333336</v>
      </c>
      <c r="T100" s="110">
        <f t="shared" si="40"/>
        <v>38833.333333333336</v>
      </c>
      <c r="U100" s="110">
        <f t="shared" si="40"/>
        <v>38833.333333333336</v>
      </c>
      <c r="V100" s="110">
        <f t="shared" si="40"/>
        <v>38833.333333333336</v>
      </c>
    </row>
    <row r="101" spans="1:22" ht="6.75" customHeight="1">
      <c r="A101" s="92"/>
      <c r="D101" s="111"/>
      <c r="E101" s="106"/>
      <c r="F101" s="111"/>
      <c r="G101" s="106"/>
      <c r="H101" s="106" t="s">
        <v>0</v>
      </c>
      <c r="I101" s="106"/>
      <c r="J101" s="109"/>
    </row>
    <row r="102" spans="1:22" ht="6" customHeight="1">
      <c r="A102" s="92"/>
      <c r="D102" s="106"/>
      <c r="E102" s="106"/>
      <c r="F102" s="106"/>
      <c r="G102" s="106"/>
      <c r="H102" s="106"/>
      <c r="I102" s="106"/>
      <c r="J102" s="109"/>
    </row>
    <row r="103" spans="1:22">
      <c r="A103" s="92">
        <f>A100+1</f>
        <v>73</v>
      </c>
      <c r="B103" s="140" t="s">
        <v>4</v>
      </c>
      <c r="C103" s="141"/>
      <c r="D103" s="142">
        <f>D91+D97+D100</f>
        <v>229875</v>
      </c>
      <c r="E103" s="142">
        <f>F103-D103</f>
        <v>-175220.10329566943</v>
      </c>
      <c r="F103" s="143">
        <f>F91+F97+F100</f>
        <v>54654.896704330582</v>
      </c>
      <c r="G103" s="106"/>
      <c r="H103" s="106">
        <v>24</v>
      </c>
      <c r="I103" s="106"/>
      <c r="J103" s="109"/>
    </row>
    <row r="104" spans="1:22" ht="7.5" customHeight="1">
      <c r="A104" s="92"/>
      <c r="D104" s="106"/>
      <c r="E104" s="106"/>
      <c r="F104" s="106"/>
      <c r="G104" s="106"/>
      <c r="H104" s="106"/>
      <c r="I104" s="106"/>
      <c r="J104" s="109"/>
    </row>
    <row r="105" spans="1:22">
      <c r="A105" s="92">
        <f>A103+1</f>
        <v>74</v>
      </c>
      <c r="B105" s="140" t="s">
        <v>212</v>
      </c>
      <c r="C105" s="141"/>
      <c r="D105" s="142">
        <f>D78-D103</f>
        <v>168065</v>
      </c>
      <c r="E105" s="142">
        <f>F105-D105</f>
        <v>11341.363002669445</v>
      </c>
      <c r="F105" s="143">
        <f>F78-F103</f>
        <v>179406.36300266944</v>
      </c>
      <c r="G105" s="106"/>
      <c r="H105" s="142">
        <v>62497.890920372694</v>
      </c>
      <c r="I105" s="106"/>
      <c r="J105" s="109"/>
    </row>
    <row r="106" spans="1:22" ht="6" customHeight="1">
      <c r="A106" s="92"/>
      <c r="D106" s="106"/>
      <c r="E106" s="106"/>
      <c r="F106" s="106"/>
      <c r="G106" s="106"/>
      <c r="H106" s="106"/>
      <c r="I106" s="106"/>
      <c r="J106" s="109"/>
    </row>
    <row r="107" spans="1:22" ht="12.75" customHeight="1">
      <c r="A107" s="92"/>
      <c r="B107" s="144"/>
      <c r="D107" s="106"/>
      <c r="E107" s="152">
        <f>F105/D105-1</f>
        <v>6.7482004002436202E-2</v>
      </c>
      <c r="G107" s="106"/>
      <c r="H107" s="106"/>
      <c r="I107" s="106"/>
      <c r="J107" s="109"/>
    </row>
    <row r="108" spans="1:22" ht="9" customHeight="1">
      <c r="A108" s="92"/>
      <c r="B108" s="153"/>
      <c r="D108" s="106"/>
      <c r="F108"/>
      <c r="G108" s="106"/>
      <c r="H108" s="106"/>
      <c r="I108" s="106"/>
      <c r="J108" s="109"/>
    </row>
    <row r="109" spans="1:22" ht="12.75" customHeight="1">
      <c r="A109" s="92"/>
      <c r="B109" s="144"/>
      <c r="D109" s="109"/>
      <c r="F109" s="109">
        <v>9300991</v>
      </c>
      <c r="J109" s="109"/>
    </row>
    <row r="110" spans="1:22">
      <c r="J110" s="109"/>
    </row>
    <row r="111" spans="1:22">
      <c r="F111" s="155">
        <f>F105*1000/F109</f>
        <v>19.288951360416267</v>
      </c>
      <c r="I111" s="149" t="s">
        <v>213</v>
      </c>
      <c r="J111" s="123">
        <f>SUM(K111:V111)</f>
        <v>160841021.52746943</v>
      </c>
      <c r="K111" s="123">
        <f t="shared" ref="K111:V111" si="41">K28+K44+K58-K91</f>
        <v>18702228.837630454</v>
      </c>
      <c r="L111" s="123">
        <f t="shared" si="41"/>
        <v>16670497.13088613</v>
      </c>
      <c r="M111" s="123">
        <f t="shared" si="41"/>
        <v>15227749.131000487</v>
      </c>
      <c r="N111" s="123">
        <f t="shared" si="41"/>
        <v>9822898.6207917333</v>
      </c>
      <c r="O111" s="123">
        <f t="shared" si="41"/>
        <v>6487171.5245482698</v>
      </c>
      <c r="P111" s="123">
        <f t="shared" si="41"/>
        <v>6829511.7827217709</v>
      </c>
      <c r="Q111" s="123">
        <f t="shared" si="41"/>
        <v>10357892.686195081</v>
      </c>
      <c r="R111" s="123">
        <f t="shared" si="41"/>
        <v>14930851.711730512</v>
      </c>
      <c r="S111" s="123">
        <f t="shared" si="41"/>
        <v>12573843.320080999</v>
      </c>
      <c r="T111" s="123">
        <f t="shared" si="41"/>
        <v>13815173.645499364</v>
      </c>
      <c r="U111" s="123">
        <f t="shared" si="41"/>
        <v>17328976.456170343</v>
      </c>
      <c r="V111" s="123">
        <f t="shared" si="41"/>
        <v>18094226.680214297</v>
      </c>
    </row>
    <row r="112" spans="1:22">
      <c r="J112" s="109"/>
    </row>
    <row r="113" spans="9:22">
      <c r="I113" s="149" t="s">
        <v>214</v>
      </c>
      <c r="J113" s="123">
        <f>SUM(K113:V113)</f>
        <v>179406463.40266943</v>
      </c>
      <c r="K113" s="123">
        <f t="shared" ref="K113:V113" si="42">K111+K37+K73+K76-K100</f>
        <v>20283447.836030457</v>
      </c>
      <c r="L113" s="123">
        <f t="shared" si="42"/>
        <v>18232858.435318131</v>
      </c>
      <c r="M113" s="123">
        <f t="shared" si="42"/>
        <v>16777867.438008487</v>
      </c>
      <c r="N113" s="123">
        <f t="shared" si="42"/>
        <v>11379207.384511732</v>
      </c>
      <c r="O113" s="123">
        <f t="shared" si="42"/>
        <v>8027851.0341882706</v>
      </c>
      <c r="P113" s="123">
        <f t="shared" si="42"/>
        <v>8341981.5450817719</v>
      </c>
      <c r="Q113" s="123">
        <f t="shared" si="42"/>
        <v>11919385.886501746</v>
      </c>
      <c r="R113" s="123">
        <f t="shared" si="42"/>
        <v>16486945.091997178</v>
      </c>
      <c r="S113" s="123">
        <f t="shared" si="42"/>
        <v>14111138.596307665</v>
      </c>
      <c r="T113" s="123">
        <f t="shared" si="42"/>
        <v>15329298.222606029</v>
      </c>
      <c r="U113" s="123">
        <f t="shared" si="42"/>
        <v>18849789.826469012</v>
      </c>
      <c r="V113" s="123">
        <f t="shared" si="42"/>
        <v>19666692.105648965</v>
      </c>
    </row>
    <row r="114" spans="9:22">
      <c r="J114" s="109"/>
    </row>
    <row r="115" spans="9:22">
      <c r="J115" s="109"/>
    </row>
    <row r="116" spans="9:22">
      <c r="J116" s="109"/>
    </row>
    <row r="117" spans="9:22">
      <c r="J117" s="109"/>
    </row>
    <row r="118" spans="9:22">
      <c r="J118" s="109"/>
    </row>
    <row r="119" spans="9:22">
      <c r="J119" s="109"/>
    </row>
    <row r="120" spans="9:22">
      <c r="J120" s="109"/>
    </row>
    <row r="121" spans="9:22">
      <c r="J121" s="109"/>
    </row>
    <row r="122" spans="9:22">
      <c r="J122" s="109"/>
    </row>
    <row r="123" spans="9:22">
      <c r="J123" s="109"/>
    </row>
    <row r="124" spans="9:22">
      <c r="J124" s="109"/>
    </row>
    <row r="125" spans="9:22">
      <c r="J125" s="109"/>
    </row>
    <row r="126" spans="9:22">
      <c r="J126" s="109"/>
    </row>
    <row r="127" spans="9:22">
      <c r="J127" s="109"/>
    </row>
    <row r="128" spans="9:22">
      <c r="J128" s="109"/>
    </row>
    <row r="129" spans="10:10">
      <c r="J129" s="109"/>
    </row>
    <row r="130" spans="10:10">
      <c r="J130" s="109"/>
    </row>
    <row r="131" spans="10:10">
      <c r="J131" s="109"/>
    </row>
    <row r="132" spans="10:10">
      <c r="J132" s="109"/>
    </row>
    <row r="133" spans="10:10">
      <c r="J133" s="109"/>
    </row>
    <row r="134" spans="10:10">
      <c r="J134" s="109"/>
    </row>
    <row r="135" spans="10:10">
      <c r="J135" s="109"/>
    </row>
    <row r="136" spans="10:10">
      <c r="J136" s="109"/>
    </row>
    <row r="137" spans="10:10">
      <c r="J137" s="109"/>
    </row>
    <row r="138" spans="10:10">
      <c r="J138" s="109"/>
    </row>
    <row r="139" spans="10:10">
      <c r="J139" s="109"/>
    </row>
    <row r="140" spans="10:10">
      <c r="J140" s="109"/>
    </row>
    <row r="141" spans="10:10">
      <c r="J141" s="109"/>
    </row>
    <row r="142" spans="10:10">
      <c r="J142" s="109"/>
    </row>
    <row r="143" spans="10:10">
      <c r="J143" s="109"/>
    </row>
    <row r="144" spans="10:10">
      <c r="J144" s="109"/>
    </row>
    <row r="145" spans="10:10">
      <c r="J145" s="109"/>
    </row>
    <row r="146" spans="10:10">
      <c r="J146" s="109"/>
    </row>
    <row r="147" spans="10:10">
      <c r="J147" s="109"/>
    </row>
    <row r="148" spans="10:10">
      <c r="J148" s="109"/>
    </row>
    <row r="149" spans="10:10">
      <c r="J149" s="109"/>
    </row>
    <row r="150" spans="10:10">
      <c r="J150" s="109"/>
    </row>
    <row r="151" spans="10:10">
      <c r="J151" s="109"/>
    </row>
    <row r="152" spans="10:10">
      <c r="J152" s="109"/>
    </row>
    <row r="153" spans="10:10">
      <c r="J153" s="109"/>
    </row>
    <row r="154" spans="10:10">
      <c r="J154" s="109"/>
    </row>
    <row r="155" spans="10:10">
      <c r="J155" s="109"/>
    </row>
    <row r="156" spans="10:10">
      <c r="J156" s="109"/>
    </row>
    <row r="157" spans="10:10">
      <c r="J157" s="109"/>
    </row>
    <row r="158" spans="10:10">
      <c r="J158" s="109"/>
    </row>
    <row r="159" spans="10:10">
      <c r="J159" s="109"/>
    </row>
    <row r="160" spans="10:10">
      <c r="J160" s="109"/>
    </row>
    <row r="161" spans="10:10">
      <c r="J161" s="109"/>
    </row>
    <row r="162" spans="10:10">
      <c r="J162" s="109"/>
    </row>
    <row r="163" spans="10:10">
      <c r="J163" s="109"/>
    </row>
    <row r="164" spans="10:10">
      <c r="J164" s="109"/>
    </row>
    <row r="165" spans="10:10">
      <c r="J165" s="109"/>
    </row>
    <row r="166" spans="10:10">
      <c r="J166" s="109"/>
    </row>
    <row r="167" spans="10:10">
      <c r="J167" s="109"/>
    </row>
    <row r="168" spans="10:10">
      <c r="J168" s="109"/>
    </row>
    <row r="169" spans="10:10">
      <c r="J169" s="109"/>
    </row>
    <row r="170" spans="10:10">
      <c r="J170" s="109"/>
    </row>
    <row r="171" spans="10:10">
      <c r="J171" s="109"/>
    </row>
    <row r="172" spans="10:10">
      <c r="J172" s="109"/>
    </row>
    <row r="173" spans="10:10">
      <c r="J173" s="109"/>
    </row>
    <row r="174" spans="10:10">
      <c r="J174" s="109"/>
    </row>
    <row r="175" spans="10:10">
      <c r="J175" s="109"/>
    </row>
    <row r="176" spans="10:10">
      <c r="J176" s="109"/>
    </row>
    <row r="177" spans="10:10">
      <c r="J177" s="109"/>
    </row>
    <row r="178" spans="10:10">
      <c r="J178" s="109"/>
    </row>
    <row r="179" spans="10:10">
      <c r="J179" s="109"/>
    </row>
    <row r="180" spans="10:10">
      <c r="J180" s="109"/>
    </row>
    <row r="181" spans="10:10">
      <c r="J181" s="109"/>
    </row>
    <row r="182" spans="10:10">
      <c r="J182" s="109"/>
    </row>
    <row r="183" spans="10:10">
      <c r="J183" s="109"/>
    </row>
    <row r="184" spans="10:10">
      <c r="J184" s="109"/>
    </row>
    <row r="185" spans="10:10">
      <c r="J185" s="109"/>
    </row>
    <row r="186" spans="10:10">
      <c r="J186" s="109"/>
    </row>
    <row r="187" spans="10:10">
      <c r="J187" s="109"/>
    </row>
    <row r="188" spans="10:10">
      <c r="J188" s="109"/>
    </row>
    <row r="189" spans="10:10">
      <c r="J189" s="109"/>
    </row>
    <row r="190" spans="10:10">
      <c r="J190" s="109"/>
    </row>
    <row r="191" spans="10:10">
      <c r="J191" s="109"/>
    </row>
    <row r="192" spans="10:10">
      <c r="J192" s="109"/>
    </row>
    <row r="193" spans="10:10">
      <c r="J193" s="109"/>
    </row>
    <row r="194" spans="10:10">
      <c r="J194" s="109"/>
    </row>
    <row r="195" spans="10:10">
      <c r="J195" s="109"/>
    </row>
    <row r="196" spans="10:10">
      <c r="J196" s="109"/>
    </row>
    <row r="197" spans="10:10">
      <c r="J197" s="109"/>
    </row>
    <row r="198" spans="10:10">
      <c r="J198" s="109"/>
    </row>
    <row r="199" spans="10:10">
      <c r="J199" s="109"/>
    </row>
    <row r="200" spans="10:10">
      <c r="J200" s="109"/>
    </row>
    <row r="201" spans="10:10">
      <c r="J201" s="109"/>
    </row>
    <row r="202" spans="10:10">
      <c r="J202" s="109"/>
    </row>
    <row r="203" spans="10:10">
      <c r="J203" s="109"/>
    </row>
    <row r="204" spans="10:10">
      <c r="J204" s="109"/>
    </row>
    <row r="205" spans="10:10">
      <c r="J205" s="109"/>
    </row>
    <row r="206" spans="10:10">
      <c r="J206" s="109"/>
    </row>
    <row r="207" spans="10:10">
      <c r="J207" s="109"/>
    </row>
    <row r="208" spans="10:10">
      <c r="J208" s="109"/>
    </row>
    <row r="209" spans="10:10">
      <c r="J209" s="109"/>
    </row>
    <row r="210" spans="10:10">
      <c r="J210" s="109"/>
    </row>
    <row r="211" spans="10:10">
      <c r="J211" s="109"/>
    </row>
    <row r="212" spans="10:10">
      <c r="J212" s="109"/>
    </row>
    <row r="213" spans="10:10">
      <c r="J213" s="109"/>
    </row>
    <row r="214" spans="10:10">
      <c r="J214" s="109"/>
    </row>
    <row r="215" spans="10:10">
      <c r="J215" s="109"/>
    </row>
    <row r="216" spans="10:10">
      <c r="J216" s="109"/>
    </row>
    <row r="217" spans="10:10">
      <c r="J217" s="109"/>
    </row>
    <row r="218" spans="10:10">
      <c r="J218" s="109"/>
    </row>
    <row r="219" spans="10:10">
      <c r="J219" s="109"/>
    </row>
    <row r="220" spans="10:10">
      <c r="J220" s="109"/>
    </row>
    <row r="221" spans="10:10">
      <c r="J221" s="109"/>
    </row>
    <row r="222" spans="10:10">
      <c r="J222" s="109"/>
    </row>
    <row r="223" spans="10:10">
      <c r="J223" s="109"/>
    </row>
    <row r="224" spans="10:10">
      <c r="J224" s="109"/>
    </row>
    <row r="225" spans="10:10">
      <c r="J225" s="109"/>
    </row>
    <row r="226" spans="10:10">
      <c r="J226" s="109"/>
    </row>
    <row r="227" spans="10:10">
      <c r="J227" s="109"/>
    </row>
    <row r="228" spans="10:10">
      <c r="J228" s="109"/>
    </row>
    <row r="229" spans="10:10">
      <c r="J229" s="109"/>
    </row>
    <row r="230" spans="10:10">
      <c r="J230" s="109"/>
    </row>
    <row r="231" spans="10:10">
      <c r="J231" s="109"/>
    </row>
    <row r="232" spans="10:10">
      <c r="J232" s="109"/>
    </row>
    <row r="233" spans="10:10">
      <c r="J233" s="109"/>
    </row>
    <row r="234" spans="10:10">
      <c r="J234" s="109"/>
    </row>
    <row r="235" spans="10:10">
      <c r="J235" s="109"/>
    </row>
    <row r="236" spans="10:10">
      <c r="J236" s="109"/>
    </row>
    <row r="237" spans="10:10">
      <c r="J237" s="109"/>
    </row>
    <row r="238" spans="10:10">
      <c r="J238" s="109"/>
    </row>
    <row r="239" spans="10:10">
      <c r="J239" s="109"/>
    </row>
    <row r="240" spans="10:10">
      <c r="J240" s="109"/>
    </row>
    <row r="241" spans="10:10">
      <c r="J241" s="109"/>
    </row>
    <row r="242" spans="10:10">
      <c r="J242" s="109"/>
    </row>
    <row r="243" spans="10:10">
      <c r="J243" s="109"/>
    </row>
    <row r="244" spans="10:10">
      <c r="J244" s="109"/>
    </row>
    <row r="245" spans="10:10">
      <c r="J245" s="109"/>
    </row>
    <row r="246" spans="10:10">
      <c r="J246" s="109"/>
    </row>
    <row r="247" spans="10:10">
      <c r="J247" s="109"/>
    </row>
    <row r="248" spans="10:10">
      <c r="J248" s="109"/>
    </row>
    <row r="249" spans="10:10">
      <c r="J249" s="109"/>
    </row>
    <row r="250" spans="10:10">
      <c r="J250" s="109"/>
    </row>
    <row r="251" spans="10:10">
      <c r="J251" s="109"/>
    </row>
    <row r="252" spans="10:10">
      <c r="J252" s="109"/>
    </row>
    <row r="253" spans="10:10">
      <c r="J253" s="109"/>
    </row>
    <row r="254" spans="10:10">
      <c r="J254" s="109"/>
    </row>
    <row r="255" spans="10:10">
      <c r="J255" s="109"/>
    </row>
    <row r="256" spans="10:10">
      <c r="J256" s="109"/>
    </row>
    <row r="257" spans="10:10">
      <c r="J257" s="109"/>
    </row>
    <row r="258" spans="10:10">
      <c r="J258" s="109"/>
    </row>
    <row r="259" spans="10:10">
      <c r="J259" s="109"/>
    </row>
    <row r="260" spans="10:10">
      <c r="J260" s="109"/>
    </row>
    <row r="261" spans="10:10">
      <c r="J261" s="109"/>
    </row>
    <row r="262" spans="10:10">
      <c r="J262" s="109"/>
    </row>
    <row r="263" spans="10:10">
      <c r="J263" s="109"/>
    </row>
    <row r="264" spans="10:10">
      <c r="J264" s="109"/>
    </row>
    <row r="265" spans="10:10">
      <c r="J265" s="109"/>
    </row>
    <row r="266" spans="10:10">
      <c r="J266" s="109"/>
    </row>
    <row r="267" spans="10:10">
      <c r="J267" s="109"/>
    </row>
    <row r="268" spans="10:10">
      <c r="J268" s="109"/>
    </row>
    <row r="269" spans="10:10">
      <c r="J269" s="109"/>
    </row>
    <row r="270" spans="10:10">
      <c r="J270" s="109"/>
    </row>
    <row r="271" spans="10:10">
      <c r="J271" s="109"/>
    </row>
    <row r="272" spans="10:10">
      <c r="J272" s="109"/>
    </row>
    <row r="273" spans="10:10">
      <c r="J273" s="109"/>
    </row>
    <row r="274" spans="10:10">
      <c r="J274" s="109"/>
    </row>
    <row r="275" spans="10:10">
      <c r="J275" s="109"/>
    </row>
    <row r="276" spans="10:10">
      <c r="J276" s="109"/>
    </row>
    <row r="277" spans="10:10">
      <c r="J277" s="109"/>
    </row>
    <row r="278" spans="10:10">
      <c r="J278" s="109"/>
    </row>
    <row r="279" spans="10:10">
      <c r="J279" s="109"/>
    </row>
    <row r="280" spans="10:10">
      <c r="J280" s="109"/>
    </row>
    <row r="281" spans="10:10">
      <c r="J281" s="109"/>
    </row>
    <row r="282" spans="10:10">
      <c r="J282" s="109"/>
    </row>
    <row r="283" spans="10:10">
      <c r="J283" s="109"/>
    </row>
    <row r="284" spans="10:10">
      <c r="J284" s="109"/>
    </row>
    <row r="285" spans="10:10">
      <c r="J285" s="109"/>
    </row>
    <row r="286" spans="10:10">
      <c r="J286" s="109"/>
    </row>
    <row r="287" spans="10:10">
      <c r="J287" s="109"/>
    </row>
    <row r="288" spans="10:10">
      <c r="J288" s="109"/>
    </row>
    <row r="289" spans="10:10">
      <c r="J289" s="109"/>
    </row>
    <row r="290" spans="10:10">
      <c r="J290" s="109"/>
    </row>
    <row r="291" spans="10:10">
      <c r="J291" s="109"/>
    </row>
    <row r="292" spans="10:10">
      <c r="J292" s="109"/>
    </row>
    <row r="293" spans="10:10">
      <c r="J293" s="109"/>
    </row>
    <row r="294" spans="10:10">
      <c r="J294" s="109"/>
    </row>
    <row r="295" spans="10:10">
      <c r="J295" s="109"/>
    </row>
    <row r="296" spans="10:10">
      <c r="J296" s="109"/>
    </row>
    <row r="297" spans="10:10">
      <c r="J297" s="109"/>
    </row>
    <row r="298" spans="10:10">
      <c r="J298" s="109"/>
    </row>
    <row r="299" spans="10:10">
      <c r="J299" s="109"/>
    </row>
    <row r="300" spans="10:10">
      <c r="J300" s="109"/>
    </row>
    <row r="301" spans="10:10">
      <c r="J301" s="109"/>
    </row>
    <row r="302" spans="10:10">
      <c r="J302" s="109"/>
    </row>
    <row r="303" spans="10:10">
      <c r="J303" s="109"/>
    </row>
    <row r="304" spans="10:10">
      <c r="J304" s="109"/>
    </row>
    <row r="305" spans="10:10">
      <c r="J305" s="109"/>
    </row>
    <row r="306" spans="10:10">
      <c r="J306" s="109"/>
    </row>
    <row r="307" spans="10:10">
      <c r="J307" s="109"/>
    </row>
    <row r="308" spans="10:10">
      <c r="J308" s="109"/>
    </row>
    <row r="309" spans="10:10">
      <c r="J309" s="109"/>
    </row>
    <row r="310" spans="10:10">
      <c r="J310" s="109"/>
    </row>
    <row r="311" spans="10:10">
      <c r="J311" s="109"/>
    </row>
    <row r="312" spans="10:10">
      <c r="J312" s="109"/>
    </row>
    <row r="313" spans="10:10">
      <c r="J313" s="109"/>
    </row>
    <row r="314" spans="10:10">
      <c r="J314" s="109"/>
    </row>
    <row r="315" spans="10:10">
      <c r="J315" s="109"/>
    </row>
    <row r="316" spans="10:10">
      <c r="J316" s="109"/>
    </row>
    <row r="317" spans="10:10">
      <c r="J317" s="109"/>
    </row>
    <row r="318" spans="10:10">
      <c r="J318" s="109"/>
    </row>
    <row r="319" spans="10:10">
      <c r="J319" s="109"/>
    </row>
    <row r="320" spans="10:10">
      <c r="J320" s="109"/>
    </row>
    <row r="321" spans="10:10">
      <c r="J321" s="109"/>
    </row>
    <row r="322" spans="10:10">
      <c r="J322" s="109"/>
    </row>
    <row r="323" spans="10:10">
      <c r="J323" s="109"/>
    </row>
    <row r="324" spans="10:10">
      <c r="J324" s="109"/>
    </row>
    <row r="325" spans="10:10">
      <c r="J325" s="109"/>
    </row>
    <row r="326" spans="10:10">
      <c r="J326" s="109"/>
    </row>
    <row r="327" spans="10:10">
      <c r="J327" s="109"/>
    </row>
    <row r="328" spans="10:10">
      <c r="J328" s="109"/>
    </row>
    <row r="329" spans="10:10">
      <c r="J329" s="109"/>
    </row>
    <row r="330" spans="10:10">
      <c r="J330" s="109"/>
    </row>
    <row r="331" spans="10:10">
      <c r="J331" s="109"/>
    </row>
    <row r="332" spans="10:10">
      <c r="J332" s="109"/>
    </row>
    <row r="333" spans="10:10">
      <c r="J333" s="109"/>
    </row>
    <row r="334" spans="10:10">
      <c r="J334" s="109"/>
    </row>
    <row r="335" spans="10:10">
      <c r="J335" s="109"/>
    </row>
    <row r="336" spans="10:10">
      <c r="J336" s="109"/>
    </row>
    <row r="337" spans="10:10">
      <c r="J337" s="109"/>
    </row>
    <row r="338" spans="10:10">
      <c r="J338" s="109"/>
    </row>
    <row r="339" spans="10:10">
      <c r="J339" s="109"/>
    </row>
    <row r="340" spans="10:10">
      <c r="J340" s="109"/>
    </row>
    <row r="341" spans="10:10">
      <c r="J341" s="109"/>
    </row>
    <row r="342" spans="10:10">
      <c r="J342" s="109"/>
    </row>
    <row r="343" spans="10:10">
      <c r="J343" s="109"/>
    </row>
    <row r="344" spans="10:10">
      <c r="J344" s="109"/>
    </row>
    <row r="345" spans="10:10">
      <c r="J345" s="109"/>
    </row>
    <row r="346" spans="10:10">
      <c r="J346" s="109"/>
    </row>
    <row r="347" spans="10:10">
      <c r="J347" s="109"/>
    </row>
    <row r="348" spans="10:10">
      <c r="J348" s="109"/>
    </row>
    <row r="349" spans="10:10">
      <c r="J349" s="109"/>
    </row>
    <row r="350" spans="10:10">
      <c r="J350" s="109"/>
    </row>
    <row r="351" spans="10:10">
      <c r="J351" s="109"/>
    </row>
    <row r="352" spans="10:10">
      <c r="J352" s="109"/>
    </row>
    <row r="353" spans="10:10">
      <c r="J353" s="109"/>
    </row>
    <row r="354" spans="10:10">
      <c r="J354" s="109"/>
    </row>
    <row r="355" spans="10:10">
      <c r="J355" s="109"/>
    </row>
    <row r="356" spans="10:10">
      <c r="J356" s="109"/>
    </row>
    <row r="357" spans="10:10">
      <c r="J357" s="109"/>
    </row>
    <row r="358" spans="10:10">
      <c r="J358" s="109"/>
    </row>
    <row r="359" spans="10:10">
      <c r="J359" s="109"/>
    </row>
    <row r="360" spans="10:10">
      <c r="J360" s="109"/>
    </row>
    <row r="361" spans="10:10">
      <c r="J361" s="109"/>
    </row>
    <row r="362" spans="10:10">
      <c r="J362" s="109"/>
    </row>
    <row r="363" spans="10:10">
      <c r="J363" s="109"/>
    </row>
    <row r="364" spans="10:10">
      <c r="J364" s="109"/>
    </row>
    <row r="365" spans="10:10">
      <c r="J365" s="109"/>
    </row>
    <row r="366" spans="10:10">
      <c r="J366" s="109"/>
    </row>
    <row r="367" spans="10:10">
      <c r="J367" s="109"/>
    </row>
    <row r="368" spans="10:10">
      <c r="J368" s="109"/>
    </row>
    <row r="369" spans="10:10">
      <c r="J369" s="109"/>
    </row>
    <row r="370" spans="10:10">
      <c r="J370" s="109"/>
    </row>
    <row r="371" spans="10:10">
      <c r="J371" s="109"/>
    </row>
    <row r="372" spans="10:10">
      <c r="J372" s="109"/>
    </row>
    <row r="373" spans="10:10">
      <c r="J373" s="109"/>
    </row>
    <row r="374" spans="10:10">
      <c r="J374" s="109"/>
    </row>
    <row r="375" spans="10:10">
      <c r="J375" s="109"/>
    </row>
    <row r="376" spans="10:10">
      <c r="J376" s="109"/>
    </row>
    <row r="377" spans="10:10">
      <c r="J377" s="109"/>
    </row>
    <row r="378" spans="10:10">
      <c r="J378" s="109"/>
    </row>
    <row r="379" spans="10:10">
      <c r="J379" s="109"/>
    </row>
    <row r="380" spans="10:10">
      <c r="J380" s="109"/>
    </row>
    <row r="381" spans="10:10">
      <c r="J381" s="109"/>
    </row>
    <row r="382" spans="10:10">
      <c r="J382" s="109"/>
    </row>
    <row r="383" spans="10:10">
      <c r="J383" s="109"/>
    </row>
    <row r="384" spans="10:10">
      <c r="J384" s="109"/>
    </row>
    <row r="385" spans="10:10">
      <c r="J385" s="109"/>
    </row>
    <row r="386" spans="10:10">
      <c r="J386" s="109"/>
    </row>
    <row r="387" spans="10:10">
      <c r="J387" s="109"/>
    </row>
    <row r="388" spans="10:10">
      <c r="J388" s="109"/>
    </row>
    <row r="389" spans="10:10">
      <c r="J389" s="109"/>
    </row>
    <row r="390" spans="10:10">
      <c r="J390" s="109"/>
    </row>
    <row r="391" spans="10:10">
      <c r="J391" s="109"/>
    </row>
    <row r="392" spans="10:10">
      <c r="J392" s="109"/>
    </row>
    <row r="393" spans="10:10">
      <c r="J393" s="109"/>
    </row>
    <row r="394" spans="10:10">
      <c r="J394" s="109"/>
    </row>
    <row r="395" spans="10:10">
      <c r="J395" s="109"/>
    </row>
    <row r="396" spans="10:10">
      <c r="J396" s="109"/>
    </row>
    <row r="397" spans="10:10">
      <c r="J397" s="109"/>
    </row>
    <row r="398" spans="10:10">
      <c r="J398" s="109"/>
    </row>
    <row r="399" spans="10:10">
      <c r="J399" s="109"/>
    </row>
    <row r="400" spans="10:10">
      <c r="J400" s="109"/>
    </row>
    <row r="401" spans="10:10">
      <c r="J401" s="109"/>
    </row>
    <row r="402" spans="10:10">
      <c r="J402" s="109"/>
    </row>
    <row r="403" spans="10:10">
      <c r="J403" s="109"/>
    </row>
    <row r="404" spans="10:10">
      <c r="J404" s="109"/>
    </row>
    <row r="405" spans="10:10">
      <c r="J405" s="109"/>
    </row>
    <row r="406" spans="10:10">
      <c r="J406" s="109"/>
    </row>
    <row r="407" spans="10:10">
      <c r="J407" s="109"/>
    </row>
    <row r="408" spans="10:10">
      <c r="J408" s="109"/>
    </row>
    <row r="409" spans="10:10">
      <c r="J409" s="109"/>
    </row>
    <row r="410" spans="10:10">
      <c r="J410" s="109"/>
    </row>
    <row r="411" spans="10:10">
      <c r="J411" s="109"/>
    </row>
    <row r="412" spans="10:10">
      <c r="J412" s="109"/>
    </row>
    <row r="413" spans="10:10">
      <c r="J413" s="109"/>
    </row>
    <row r="414" spans="10:10">
      <c r="J414" s="109"/>
    </row>
    <row r="415" spans="10:10">
      <c r="J415" s="109"/>
    </row>
    <row r="416" spans="10:10">
      <c r="J416" s="109"/>
    </row>
    <row r="417" spans="10:10">
      <c r="J417" s="109"/>
    </row>
    <row r="418" spans="10:10">
      <c r="J418" s="109"/>
    </row>
    <row r="419" spans="10:10">
      <c r="J419" s="109"/>
    </row>
    <row r="420" spans="10:10">
      <c r="J420" s="109"/>
    </row>
    <row r="421" spans="10:10">
      <c r="J421" s="109"/>
    </row>
    <row r="422" spans="10:10">
      <c r="J422" s="109"/>
    </row>
    <row r="423" spans="10:10">
      <c r="J423" s="109"/>
    </row>
    <row r="424" spans="10:10">
      <c r="J424" s="109"/>
    </row>
    <row r="425" spans="10:10">
      <c r="J425" s="109"/>
    </row>
    <row r="426" spans="10:10">
      <c r="J426" s="109"/>
    </row>
    <row r="427" spans="10:10">
      <c r="J427" s="109"/>
    </row>
    <row r="428" spans="10:10">
      <c r="J428" s="109"/>
    </row>
    <row r="429" spans="10:10">
      <c r="J429" s="109"/>
    </row>
    <row r="430" spans="10:10">
      <c r="J430" s="109"/>
    </row>
    <row r="431" spans="10:10">
      <c r="J431" s="109"/>
    </row>
    <row r="432" spans="10:10">
      <c r="J432" s="109"/>
    </row>
    <row r="433" spans="10:10">
      <c r="J433" s="109"/>
    </row>
    <row r="434" spans="10:10">
      <c r="J434" s="109"/>
    </row>
    <row r="435" spans="10:10">
      <c r="J435" s="109"/>
    </row>
    <row r="436" spans="10:10">
      <c r="J436" s="109"/>
    </row>
    <row r="437" spans="10:10">
      <c r="J437" s="109"/>
    </row>
    <row r="438" spans="10:10">
      <c r="J438" s="109"/>
    </row>
    <row r="439" spans="10:10">
      <c r="J439" s="109"/>
    </row>
    <row r="440" spans="10:10">
      <c r="J440" s="109"/>
    </row>
    <row r="441" spans="10:10">
      <c r="J441" s="109"/>
    </row>
    <row r="442" spans="10:10">
      <c r="J442" s="109"/>
    </row>
    <row r="443" spans="10:10">
      <c r="J443" s="109"/>
    </row>
    <row r="444" spans="10:10">
      <c r="J444" s="109"/>
    </row>
    <row r="445" spans="10:10">
      <c r="J445" s="109"/>
    </row>
    <row r="446" spans="10:10">
      <c r="J446" s="109"/>
    </row>
    <row r="447" spans="10:10">
      <c r="J447" s="109"/>
    </row>
    <row r="448" spans="10:10">
      <c r="J448" s="109"/>
    </row>
    <row r="449" spans="10:10">
      <c r="J449" s="109"/>
    </row>
    <row r="450" spans="10:10">
      <c r="J450" s="109"/>
    </row>
    <row r="451" spans="10:10">
      <c r="J451" s="109"/>
    </row>
    <row r="452" spans="10:10">
      <c r="J452" s="109"/>
    </row>
    <row r="453" spans="10:10">
      <c r="J453" s="109"/>
    </row>
    <row r="454" spans="10:10">
      <c r="J454" s="109"/>
    </row>
    <row r="455" spans="10:10">
      <c r="J455" s="109"/>
    </row>
    <row r="456" spans="10:10">
      <c r="J456" s="109"/>
    </row>
    <row r="457" spans="10:10">
      <c r="J457" s="109"/>
    </row>
    <row r="458" spans="10:10">
      <c r="J458" s="109"/>
    </row>
    <row r="459" spans="10:10">
      <c r="J459" s="109"/>
    </row>
    <row r="460" spans="10:10">
      <c r="J460" s="109"/>
    </row>
    <row r="461" spans="10:10">
      <c r="J461" s="109"/>
    </row>
    <row r="462" spans="10:10">
      <c r="J462" s="109"/>
    </row>
    <row r="463" spans="10:10">
      <c r="J463" s="109"/>
    </row>
    <row r="464" spans="10:10">
      <c r="J464" s="109"/>
    </row>
    <row r="465" spans="10:10">
      <c r="J465" s="109"/>
    </row>
    <row r="466" spans="10:10">
      <c r="J466" s="109"/>
    </row>
    <row r="467" spans="10:10">
      <c r="J467" s="109"/>
    </row>
    <row r="468" spans="10:10">
      <c r="J468" s="109"/>
    </row>
    <row r="469" spans="10:10">
      <c r="J469" s="109"/>
    </row>
    <row r="470" spans="10:10">
      <c r="J470" s="109"/>
    </row>
    <row r="471" spans="10:10">
      <c r="J471" s="109"/>
    </row>
    <row r="472" spans="10:10">
      <c r="J472" s="109"/>
    </row>
    <row r="473" spans="10:10">
      <c r="J473" s="109"/>
    </row>
    <row r="474" spans="10:10">
      <c r="J474" s="109"/>
    </row>
    <row r="475" spans="10:10">
      <c r="J475" s="109"/>
    </row>
    <row r="476" spans="10:10">
      <c r="J476" s="109"/>
    </row>
    <row r="477" spans="10:10">
      <c r="J477" s="109"/>
    </row>
    <row r="478" spans="10:10">
      <c r="J478" s="109"/>
    </row>
    <row r="479" spans="10:10">
      <c r="J479" s="109"/>
    </row>
    <row r="480" spans="10:10">
      <c r="J480" s="109"/>
    </row>
    <row r="481" spans="10:10">
      <c r="J481" s="109"/>
    </row>
    <row r="482" spans="10:10">
      <c r="J482" s="109"/>
    </row>
    <row r="483" spans="10:10">
      <c r="J483" s="109"/>
    </row>
    <row r="484" spans="10:10">
      <c r="J484" s="109"/>
    </row>
    <row r="485" spans="10:10">
      <c r="J485" s="109"/>
    </row>
    <row r="486" spans="10:10">
      <c r="J486" s="109"/>
    </row>
    <row r="487" spans="10:10">
      <c r="J487" s="109"/>
    </row>
    <row r="488" spans="10:10">
      <c r="J488" s="109"/>
    </row>
    <row r="489" spans="10:10">
      <c r="J489" s="109"/>
    </row>
    <row r="490" spans="10:10">
      <c r="J490" s="109"/>
    </row>
    <row r="491" spans="10:10">
      <c r="J491" s="109"/>
    </row>
    <row r="492" spans="10:10">
      <c r="J492" s="109"/>
    </row>
    <row r="493" spans="10:10">
      <c r="J493" s="109"/>
    </row>
    <row r="494" spans="10:10">
      <c r="J494" s="109"/>
    </row>
    <row r="495" spans="10:10">
      <c r="J495" s="109"/>
    </row>
    <row r="496" spans="10:10">
      <c r="J496" s="109"/>
    </row>
    <row r="497" spans="10:10">
      <c r="J497" s="109"/>
    </row>
    <row r="498" spans="10:10">
      <c r="J498" s="109"/>
    </row>
    <row r="499" spans="10:10">
      <c r="J499" s="109"/>
    </row>
    <row r="500" spans="10:10">
      <c r="J500" s="109"/>
    </row>
    <row r="501" spans="10:10">
      <c r="J501" s="109"/>
    </row>
    <row r="502" spans="10:10">
      <c r="J502" s="109"/>
    </row>
    <row r="503" spans="10:10">
      <c r="J503" s="109"/>
    </row>
    <row r="504" spans="10:10">
      <c r="J504" s="109"/>
    </row>
    <row r="505" spans="10:10">
      <c r="J505" s="109"/>
    </row>
    <row r="506" spans="10:10">
      <c r="J506" s="109"/>
    </row>
    <row r="507" spans="10:10">
      <c r="J507" s="109"/>
    </row>
    <row r="508" spans="10:10">
      <c r="J508" s="109"/>
    </row>
    <row r="509" spans="10:10">
      <c r="J509" s="109"/>
    </row>
    <row r="510" spans="10:10">
      <c r="J510" s="109"/>
    </row>
    <row r="511" spans="10:10">
      <c r="J511" s="109"/>
    </row>
    <row r="512" spans="10:10">
      <c r="J512" s="109"/>
    </row>
    <row r="513" spans="10:10">
      <c r="J513" s="109"/>
    </row>
    <row r="514" spans="10:10">
      <c r="J514" s="109"/>
    </row>
    <row r="515" spans="10:10">
      <c r="J515" s="109"/>
    </row>
    <row r="516" spans="10:10">
      <c r="J516" s="109"/>
    </row>
    <row r="517" spans="10:10">
      <c r="J517" s="109"/>
    </row>
    <row r="518" spans="10:10">
      <c r="J518" s="109"/>
    </row>
    <row r="519" spans="10:10">
      <c r="J519" s="109"/>
    </row>
    <row r="520" spans="10:10">
      <c r="J520" s="109"/>
    </row>
    <row r="521" spans="10:10">
      <c r="J521" s="109"/>
    </row>
    <row r="522" spans="10:10">
      <c r="J522" s="109"/>
    </row>
    <row r="523" spans="10:10">
      <c r="J523" s="109"/>
    </row>
    <row r="524" spans="10:10">
      <c r="J524" s="109"/>
    </row>
    <row r="525" spans="10:10">
      <c r="J525" s="109"/>
    </row>
    <row r="526" spans="10:10">
      <c r="J526" s="109"/>
    </row>
    <row r="527" spans="10:10">
      <c r="J527" s="109"/>
    </row>
    <row r="528" spans="10:10">
      <c r="J528" s="109"/>
    </row>
    <row r="529" spans="10:10">
      <c r="J529" s="109"/>
    </row>
    <row r="530" spans="10:10">
      <c r="J530" s="109"/>
    </row>
    <row r="531" spans="10:10">
      <c r="J531" s="109"/>
    </row>
    <row r="532" spans="10:10">
      <c r="J532" s="109"/>
    </row>
    <row r="533" spans="10:10">
      <c r="J533" s="109"/>
    </row>
    <row r="534" spans="10:10">
      <c r="J534" s="109"/>
    </row>
    <row r="535" spans="10:10">
      <c r="J535" s="109"/>
    </row>
    <row r="536" spans="10:10">
      <c r="J536" s="109"/>
    </row>
    <row r="537" spans="10:10">
      <c r="J537" s="109"/>
    </row>
    <row r="538" spans="10:10">
      <c r="J538" s="109"/>
    </row>
    <row r="539" spans="10:10">
      <c r="J539" s="109"/>
    </row>
    <row r="540" spans="10:10">
      <c r="J540" s="109"/>
    </row>
    <row r="541" spans="10:10">
      <c r="J541" s="109"/>
    </row>
    <row r="542" spans="10:10">
      <c r="J542" s="109"/>
    </row>
    <row r="543" spans="10:10">
      <c r="J543" s="109"/>
    </row>
    <row r="544" spans="10:10">
      <c r="J544" s="109"/>
    </row>
    <row r="545" spans="10:10">
      <c r="J545" s="109"/>
    </row>
    <row r="546" spans="10:10">
      <c r="J546" s="109"/>
    </row>
    <row r="547" spans="10:10">
      <c r="J547" s="109"/>
    </row>
    <row r="548" spans="10:10">
      <c r="J548" s="109"/>
    </row>
    <row r="549" spans="10:10">
      <c r="J549" s="109"/>
    </row>
    <row r="550" spans="10:10">
      <c r="J550" s="109"/>
    </row>
    <row r="551" spans="10:10">
      <c r="J551" s="109"/>
    </row>
    <row r="552" spans="10:10">
      <c r="J552" s="109"/>
    </row>
    <row r="553" spans="10:10">
      <c r="J553" s="109"/>
    </row>
    <row r="554" spans="10:10">
      <c r="J554" s="109"/>
    </row>
    <row r="555" spans="10:10">
      <c r="J555" s="109"/>
    </row>
    <row r="556" spans="10:10">
      <c r="J556" s="109"/>
    </row>
    <row r="557" spans="10:10">
      <c r="J557" s="109"/>
    </row>
    <row r="558" spans="10:10">
      <c r="J558" s="109"/>
    </row>
    <row r="559" spans="10:10">
      <c r="J559" s="109"/>
    </row>
    <row r="560" spans="10:10">
      <c r="J560" s="109"/>
    </row>
    <row r="561" spans="10:10">
      <c r="J561" s="109"/>
    </row>
    <row r="562" spans="10:10">
      <c r="J562" s="109"/>
    </row>
    <row r="563" spans="10:10">
      <c r="J563" s="109"/>
    </row>
    <row r="564" spans="10:10">
      <c r="J564" s="109"/>
    </row>
    <row r="565" spans="10:10">
      <c r="J565" s="109"/>
    </row>
    <row r="566" spans="10:10">
      <c r="J566" s="109"/>
    </row>
    <row r="567" spans="10:10">
      <c r="J567" s="109"/>
    </row>
    <row r="568" spans="10:10">
      <c r="J568" s="109"/>
    </row>
    <row r="569" spans="10:10">
      <c r="J569" s="109"/>
    </row>
    <row r="570" spans="10:10">
      <c r="J570" s="109"/>
    </row>
    <row r="571" spans="10:10">
      <c r="J571" s="109"/>
    </row>
    <row r="572" spans="10:10">
      <c r="J572" s="109"/>
    </row>
    <row r="573" spans="10:10">
      <c r="J573" s="109"/>
    </row>
    <row r="574" spans="10:10">
      <c r="J574" s="109"/>
    </row>
    <row r="575" spans="10:10">
      <c r="J575" s="109"/>
    </row>
    <row r="576" spans="10:10">
      <c r="J576" s="109"/>
    </row>
    <row r="577" spans="10:10">
      <c r="J577" s="109"/>
    </row>
    <row r="578" spans="10:10">
      <c r="J578" s="109"/>
    </row>
    <row r="579" spans="10:10">
      <c r="J579" s="109"/>
    </row>
    <row r="580" spans="10:10">
      <c r="J580" s="109"/>
    </row>
    <row r="581" spans="10:10">
      <c r="J581" s="109"/>
    </row>
    <row r="582" spans="10:10">
      <c r="J582" s="109"/>
    </row>
    <row r="583" spans="10:10">
      <c r="J583" s="109"/>
    </row>
    <row r="584" spans="10:10">
      <c r="J584" s="109"/>
    </row>
    <row r="585" spans="10:10">
      <c r="J585" s="109"/>
    </row>
    <row r="586" spans="10:10">
      <c r="J586" s="109"/>
    </row>
    <row r="587" spans="10:10">
      <c r="J587" s="109"/>
    </row>
    <row r="588" spans="10:10">
      <c r="J588" s="109"/>
    </row>
    <row r="589" spans="10:10">
      <c r="J589" s="109"/>
    </row>
    <row r="590" spans="10:10">
      <c r="J590" s="109"/>
    </row>
    <row r="591" spans="10:10">
      <c r="J591" s="109"/>
    </row>
    <row r="592" spans="10:10">
      <c r="J592" s="109"/>
    </row>
    <row r="593" spans="10:10">
      <c r="J593" s="109"/>
    </row>
    <row r="594" spans="10:10">
      <c r="J594" s="109"/>
    </row>
    <row r="595" spans="10:10">
      <c r="J595" s="109"/>
    </row>
    <row r="596" spans="10:10">
      <c r="J596" s="109"/>
    </row>
    <row r="597" spans="10:10">
      <c r="J597" s="109"/>
    </row>
    <row r="598" spans="10:10">
      <c r="J598" s="109"/>
    </row>
    <row r="599" spans="10:10">
      <c r="J599" s="109"/>
    </row>
    <row r="600" spans="10:10">
      <c r="J600" s="109"/>
    </row>
    <row r="601" spans="10:10">
      <c r="J601" s="109"/>
    </row>
    <row r="602" spans="10:10">
      <c r="J602" s="109"/>
    </row>
    <row r="603" spans="10:10">
      <c r="J603" s="109"/>
    </row>
    <row r="604" spans="10:10">
      <c r="J604" s="109"/>
    </row>
    <row r="605" spans="10:10">
      <c r="J605" s="109"/>
    </row>
    <row r="606" spans="10:10">
      <c r="J606" s="109"/>
    </row>
    <row r="607" spans="10:10">
      <c r="J607" s="109"/>
    </row>
    <row r="608" spans="10:10">
      <c r="J608" s="109"/>
    </row>
    <row r="609" spans="10:10">
      <c r="J609" s="109"/>
    </row>
    <row r="610" spans="10:10">
      <c r="J610" s="109"/>
    </row>
    <row r="611" spans="10:10">
      <c r="J611" s="109"/>
    </row>
    <row r="612" spans="10:10">
      <c r="J612" s="109"/>
    </row>
    <row r="613" spans="10:10">
      <c r="J613" s="109"/>
    </row>
    <row r="614" spans="10:10">
      <c r="J614" s="109"/>
    </row>
    <row r="615" spans="10:10">
      <c r="J615" s="109"/>
    </row>
    <row r="616" spans="10:10">
      <c r="J616" s="109"/>
    </row>
    <row r="617" spans="10:10">
      <c r="J617" s="109"/>
    </row>
    <row r="618" spans="10:10">
      <c r="J618" s="109"/>
    </row>
    <row r="619" spans="10:10">
      <c r="J619" s="109"/>
    </row>
    <row r="620" spans="10:10">
      <c r="J620" s="109"/>
    </row>
    <row r="621" spans="10:10">
      <c r="J621" s="109"/>
    </row>
    <row r="622" spans="10:10">
      <c r="J622" s="109"/>
    </row>
    <row r="623" spans="10:10">
      <c r="J623" s="109"/>
    </row>
    <row r="624" spans="10:10">
      <c r="J624" s="109"/>
    </row>
    <row r="625" spans="10:10">
      <c r="J625" s="109"/>
    </row>
    <row r="626" spans="10:10">
      <c r="J626" s="109"/>
    </row>
    <row r="627" spans="10:10">
      <c r="J627" s="109"/>
    </row>
    <row r="628" spans="10:10">
      <c r="J628" s="109"/>
    </row>
    <row r="629" spans="10:10">
      <c r="J629" s="109"/>
    </row>
    <row r="630" spans="10:10">
      <c r="J630" s="109"/>
    </row>
    <row r="631" spans="10:10">
      <c r="J631" s="109"/>
    </row>
    <row r="632" spans="10:10">
      <c r="J632" s="109"/>
    </row>
    <row r="633" spans="10:10">
      <c r="J633" s="109"/>
    </row>
    <row r="634" spans="10:10">
      <c r="J634" s="109"/>
    </row>
    <row r="635" spans="10:10">
      <c r="J635" s="109"/>
    </row>
    <row r="636" spans="10:10">
      <c r="J636" s="109"/>
    </row>
    <row r="637" spans="10:10">
      <c r="J637" s="109"/>
    </row>
    <row r="638" spans="10:10">
      <c r="J638" s="109"/>
    </row>
    <row r="639" spans="10:10">
      <c r="J639" s="109"/>
    </row>
    <row r="640" spans="10:10">
      <c r="J640" s="109"/>
    </row>
    <row r="641" spans="10:10">
      <c r="J641" s="109"/>
    </row>
    <row r="642" spans="10:10">
      <c r="J642" s="109"/>
    </row>
    <row r="643" spans="10:10">
      <c r="J643" s="109"/>
    </row>
    <row r="644" spans="10:10">
      <c r="J644" s="109"/>
    </row>
    <row r="645" spans="10:10">
      <c r="J645" s="109"/>
    </row>
    <row r="646" spans="10:10">
      <c r="J646" s="109"/>
    </row>
    <row r="647" spans="10:10">
      <c r="J647" s="109"/>
    </row>
    <row r="648" spans="10:10">
      <c r="J648" s="109"/>
    </row>
    <row r="649" spans="10:10">
      <c r="J649" s="109"/>
    </row>
    <row r="650" spans="10:10">
      <c r="J650" s="109"/>
    </row>
    <row r="651" spans="10:10">
      <c r="J651" s="109"/>
    </row>
    <row r="652" spans="10:10">
      <c r="J652" s="109"/>
    </row>
    <row r="653" spans="10:10">
      <c r="J653" s="109"/>
    </row>
    <row r="654" spans="10:10">
      <c r="J654" s="109"/>
    </row>
    <row r="655" spans="10:10">
      <c r="J655" s="109"/>
    </row>
    <row r="656" spans="10:10">
      <c r="J656" s="109"/>
    </row>
    <row r="657" spans="10:10">
      <c r="J657" s="109"/>
    </row>
    <row r="658" spans="10:10">
      <c r="J658" s="109"/>
    </row>
    <row r="659" spans="10:10">
      <c r="J659" s="109"/>
    </row>
    <row r="660" spans="10:10">
      <c r="J660" s="109"/>
    </row>
    <row r="661" spans="10:10">
      <c r="J661" s="109"/>
    </row>
    <row r="662" spans="10:10">
      <c r="J662" s="109"/>
    </row>
    <row r="663" spans="10:10">
      <c r="J663" s="109"/>
    </row>
    <row r="664" spans="10:10">
      <c r="J664" s="109"/>
    </row>
    <row r="665" spans="10:10">
      <c r="J665" s="109"/>
    </row>
    <row r="666" spans="10:10">
      <c r="J666" s="109"/>
    </row>
    <row r="667" spans="10:10">
      <c r="J667" s="109"/>
    </row>
    <row r="668" spans="10:10">
      <c r="J668" s="109"/>
    </row>
    <row r="669" spans="10:10">
      <c r="J669" s="109"/>
    </row>
    <row r="670" spans="10:10">
      <c r="J670" s="109"/>
    </row>
    <row r="671" spans="10:10">
      <c r="J671" s="109"/>
    </row>
    <row r="672" spans="10:10">
      <c r="J672" s="109"/>
    </row>
    <row r="673" spans="10:10">
      <c r="J673" s="109"/>
    </row>
    <row r="674" spans="10:10">
      <c r="J674" s="109"/>
    </row>
    <row r="675" spans="10:10">
      <c r="J675" s="109"/>
    </row>
    <row r="676" spans="10:10">
      <c r="J676" s="109"/>
    </row>
    <row r="677" spans="10:10">
      <c r="J677" s="109"/>
    </row>
    <row r="678" spans="10:10">
      <c r="J678" s="109"/>
    </row>
    <row r="679" spans="10:10">
      <c r="J679" s="109"/>
    </row>
    <row r="680" spans="10:10">
      <c r="J680" s="109"/>
    </row>
    <row r="681" spans="10:10">
      <c r="J681" s="109"/>
    </row>
    <row r="682" spans="10:10">
      <c r="J682" s="109"/>
    </row>
    <row r="683" spans="10:10">
      <c r="J683" s="109"/>
    </row>
    <row r="684" spans="10:10">
      <c r="J684" s="109"/>
    </row>
  </sheetData>
  <pageMargins left="0.75" right="0.75" top="1" bottom="1" header="0.5" footer="0.5"/>
  <pageSetup scale="80" orientation="portrait" r:id="rId1"/>
  <headerFooter scaleWithDoc="0" alignWithMargins="0">
    <oddHeader>&amp;CAttachment G (Power Supply Net Expense - 2018 backup)</oddHeader>
    <oddFooter>&amp;CNOVEMBER 2016 POWER SUPPLY UPDATE&amp;R&amp;"Arial,Regular"&amp;12Page &amp;P of &amp;N</oddFooter>
  </headerFooter>
  <rowBreaks count="1" manualBreakCount="1">
    <brk id="5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view="pageBreakPreview" zoomScaleNormal="100" zoomScaleSheetLayoutView="100" workbookViewId="0">
      <selection activeCell="I37" activeCellId="1" sqref="C29 I37"/>
    </sheetView>
  </sheetViews>
  <sheetFormatPr defaultColWidth="11.42578125" defaultRowHeight="12.75"/>
  <cols>
    <col min="1" max="1" width="4.42578125" style="5" customWidth="1"/>
    <col min="2" max="2" width="4.85546875" style="5" customWidth="1"/>
    <col min="3" max="3" width="14.28515625" style="5" hidden="1" customWidth="1"/>
    <col min="4" max="5" width="0.140625" style="5" hidden="1" customWidth="1"/>
    <col min="6" max="6" width="26.7109375" style="1" customWidth="1"/>
    <col min="7" max="7" width="11" style="1" customWidth="1"/>
    <col min="8" max="8" width="3" style="1" customWidth="1"/>
    <col min="9" max="9" width="10.42578125" style="1" customWidth="1"/>
    <col min="10" max="10" width="1.7109375" style="1" customWidth="1"/>
    <col min="11" max="11" width="12" style="4" customWidth="1"/>
    <col min="12" max="12" width="2.42578125" style="3" customWidth="1"/>
    <col min="13" max="13" width="12.7109375" style="1" customWidth="1"/>
    <col min="14" max="14" width="1.42578125" style="2" customWidth="1"/>
    <col min="15" max="15" width="12.7109375" style="1" customWidth="1"/>
    <col min="16" max="16384" width="11.42578125" style="1"/>
  </cols>
  <sheetData>
    <row r="1" spans="1:16" ht="15.75">
      <c r="A1" s="159" t="s">
        <v>104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52"/>
    </row>
    <row r="2" spans="1:16" ht="15.75">
      <c r="A2" s="159" t="s">
        <v>103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52"/>
    </row>
    <row r="3" spans="1:16" ht="15.75">
      <c r="A3" s="159" t="s">
        <v>102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52"/>
    </row>
    <row r="4" spans="1:16" ht="15.75">
      <c r="A4" s="159" t="s">
        <v>101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52"/>
    </row>
    <row r="5" spans="1:16" ht="12" customHeight="1" thickBot="1">
      <c r="A5" s="160" t="s">
        <v>100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O5" s="158" t="s">
        <v>99</v>
      </c>
      <c r="P5" s="51" t="s">
        <v>98</v>
      </c>
    </row>
    <row r="6" spans="1:16" ht="12" customHeight="1">
      <c r="A6" s="55"/>
      <c r="B6" s="55"/>
      <c r="C6" s="55"/>
      <c r="D6" s="55"/>
      <c r="E6" s="55"/>
      <c r="F6" s="54"/>
      <c r="H6" s="43"/>
      <c r="K6" s="13"/>
      <c r="M6" s="78" t="s">
        <v>95</v>
      </c>
      <c r="O6" s="158"/>
      <c r="P6" s="51" t="s">
        <v>97</v>
      </c>
    </row>
    <row r="7" spans="1:16" ht="12" customHeight="1">
      <c r="A7" s="55"/>
      <c r="B7" s="55"/>
      <c r="C7" s="55"/>
      <c r="D7" s="55"/>
      <c r="E7" s="55"/>
      <c r="F7" s="54"/>
      <c r="H7" s="43"/>
      <c r="I7" s="43" t="s">
        <v>96</v>
      </c>
      <c r="K7" s="43" t="s">
        <v>80</v>
      </c>
      <c r="L7" s="53"/>
      <c r="M7" s="79" t="s">
        <v>77</v>
      </c>
      <c r="N7" s="52"/>
      <c r="O7" s="51"/>
      <c r="P7" s="51" t="s">
        <v>95</v>
      </c>
    </row>
    <row r="8" spans="1:16">
      <c r="A8" s="13"/>
      <c r="B8" s="13"/>
      <c r="C8" s="13"/>
      <c r="D8" s="13"/>
      <c r="E8" s="13"/>
      <c r="I8" s="45" t="s">
        <v>94</v>
      </c>
      <c r="K8" s="45"/>
      <c r="M8" s="80">
        <v>2017</v>
      </c>
      <c r="N8" s="46"/>
      <c r="O8" s="45">
        <v>2017</v>
      </c>
      <c r="P8" s="45">
        <v>2017</v>
      </c>
    </row>
    <row r="9" spans="1:16">
      <c r="A9" s="13" t="s">
        <v>93</v>
      </c>
      <c r="B9" s="13" t="s">
        <v>92</v>
      </c>
      <c r="C9" s="13" t="s">
        <v>91</v>
      </c>
      <c r="D9" s="13" t="s">
        <v>90</v>
      </c>
      <c r="E9" s="13"/>
      <c r="I9" s="50">
        <v>40799</v>
      </c>
      <c r="K9" s="45"/>
      <c r="M9" s="80" t="s">
        <v>89</v>
      </c>
      <c r="N9" s="46"/>
      <c r="O9" s="45" t="s">
        <v>89</v>
      </c>
      <c r="P9" s="45" t="s">
        <v>89</v>
      </c>
    </row>
    <row r="10" spans="1:16">
      <c r="A10" s="47" t="s">
        <v>86</v>
      </c>
      <c r="B10" s="49" t="s">
        <v>88</v>
      </c>
      <c r="C10" s="49" t="s">
        <v>87</v>
      </c>
      <c r="D10" s="49" t="s">
        <v>86</v>
      </c>
      <c r="E10" s="49" t="s">
        <v>85</v>
      </c>
      <c r="F10" s="48"/>
      <c r="I10" s="47" t="s">
        <v>84</v>
      </c>
      <c r="K10" s="47" t="s">
        <v>83</v>
      </c>
      <c r="M10" s="81" t="s">
        <v>82</v>
      </c>
      <c r="N10" s="46"/>
      <c r="O10" s="47" t="s">
        <v>82</v>
      </c>
      <c r="P10" s="47" t="s">
        <v>82</v>
      </c>
    </row>
    <row r="11" spans="1:16">
      <c r="A11" s="13"/>
      <c r="B11" s="13"/>
      <c r="C11" s="13"/>
      <c r="D11" s="13"/>
      <c r="E11" s="13"/>
      <c r="F11" s="35" t="s">
        <v>81</v>
      </c>
      <c r="I11" s="45"/>
      <c r="K11" s="19"/>
      <c r="M11" s="80"/>
      <c r="N11" s="46"/>
      <c r="O11" s="45"/>
    </row>
    <row r="12" spans="1:16">
      <c r="A12" s="13"/>
      <c r="B12" s="13"/>
      <c r="C12" s="13"/>
      <c r="D12" s="13"/>
      <c r="E12" s="13"/>
      <c r="F12" s="35"/>
      <c r="I12" s="45"/>
      <c r="K12" s="19"/>
      <c r="M12" s="80"/>
      <c r="N12" s="46"/>
      <c r="O12" s="45"/>
    </row>
    <row r="13" spans="1:16">
      <c r="A13" s="13">
        <v>1</v>
      </c>
      <c r="B13" s="13" t="s">
        <v>80</v>
      </c>
      <c r="C13" s="13">
        <v>9802453</v>
      </c>
      <c r="D13" s="13">
        <v>556030</v>
      </c>
      <c r="E13" s="13" t="s">
        <v>50</v>
      </c>
      <c r="F13" s="1" t="s">
        <v>79</v>
      </c>
      <c r="I13" s="42">
        <v>62</v>
      </c>
      <c r="J13" s="30"/>
      <c r="K13" s="42">
        <v>21</v>
      </c>
      <c r="L13" s="32"/>
      <c r="M13" s="66">
        <v>83</v>
      </c>
      <c r="N13" s="29"/>
      <c r="O13" s="42">
        <v>83</v>
      </c>
    </row>
    <row r="14" spans="1:16">
      <c r="A14" s="13"/>
      <c r="B14" s="13"/>
      <c r="C14" s="13"/>
      <c r="D14" s="13"/>
      <c r="E14" s="13"/>
      <c r="I14" s="29"/>
      <c r="J14" s="30"/>
      <c r="K14" s="29"/>
      <c r="L14" s="28"/>
      <c r="M14" s="67"/>
      <c r="N14" s="29"/>
      <c r="O14" s="29"/>
    </row>
    <row r="15" spans="1:16">
      <c r="A15" s="13"/>
      <c r="B15" s="13"/>
      <c r="C15" s="13"/>
      <c r="D15" s="13"/>
      <c r="E15" s="13"/>
      <c r="F15" s="35" t="s">
        <v>78</v>
      </c>
      <c r="I15" s="29"/>
      <c r="J15" s="30"/>
      <c r="K15" s="29"/>
      <c r="L15" s="28"/>
      <c r="M15" s="67"/>
      <c r="N15" s="29"/>
      <c r="O15" s="29"/>
    </row>
    <row r="16" spans="1:16">
      <c r="A16" s="13"/>
      <c r="B16" s="13"/>
      <c r="C16" s="13"/>
      <c r="D16" s="13"/>
      <c r="E16" s="13"/>
      <c r="F16" s="35"/>
      <c r="I16" s="29"/>
      <c r="J16" s="30"/>
      <c r="K16" s="29"/>
      <c r="L16" s="28"/>
      <c r="M16" s="67"/>
      <c r="N16" s="29"/>
      <c r="O16" s="29"/>
    </row>
    <row r="17" spans="1:15">
      <c r="A17" s="13">
        <v>2</v>
      </c>
      <c r="B17" s="13" t="s">
        <v>77</v>
      </c>
      <c r="C17" s="13"/>
      <c r="D17" s="13"/>
      <c r="E17" s="13"/>
      <c r="F17" s="1" t="s">
        <v>76</v>
      </c>
      <c r="I17" s="29">
        <v>328</v>
      </c>
      <c r="J17" s="30"/>
      <c r="K17" s="29">
        <v>-16</v>
      </c>
      <c r="L17" s="28"/>
      <c r="M17" s="67">
        <v>312</v>
      </c>
      <c r="N17" s="29"/>
      <c r="O17" s="29">
        <v>312</v>
      </c>
    </row>
    <row r="18" spans="1:15">
      <c r="A18" s="13">
        <v>3</v>
      </c>
      <c r="B18" s="13" t="s">
        <v>75</v>
      </c>
      <c r="C18" s="13"/>
      <c r="D18" s="13"/>
      <c r="E18" s="13"/>
      <c r="F18" s="1" t="s">
        <v>74</v>
      </c>
      <c r="I18" s="29">
        <v>85</v>
      </c>
      <c r="J18" s="30"/>
      <c r="K18" s="29">
        <v>57</v>
      </c>
      <c r="L18" s="28"/>
      <c r="M18" s="67">
        <v>142</v>
      </c>
      <c r="N18" s="29"/>
      <c r="O18" s="29">
        <v>142</v>
      </c>
    </row>
    <row r="19" spans="1:15">
      <c r="A19" s="13">
        <v>4</v>
      </c>
      <c r="B19" s="13" t="s">
        <v>73</v>
      </c>
      <c r="C19" s="13"/>
      <c r="D19" s="13"/>
      <c r="E19" s="13"/>
      <c r="F19" s="1" t="s">
        <v>72</v>
      </c>
      <c r="I19" s="29">
        <v>158</v>
      </c>
      <c r="J19" s="30"/>
      <c r="K19" s="29">
        <v>15</v>
      </c>
      <c r="L19" s="28"/>
      <c r="M19" s="67">
        <v>173</v>
      </c>
      <c r="N19" s="29"/>
      <c r="O19" s="29">
        <v>173</v>
      </c>
    </row>
    <row r="20" spans="1:15">
      <c r="A20" s="13">
        <v>5</v>
      </c>
      <c r="B20" s="43" t="s">
        <v>71</v>
      </c>
      <c r="C20" s="13"/>
      <c r="D20" s="13"/>
      <c r="E20" s="13"/>
      <c r="F20" s="1" t="s">
        <v>70</v>
      </c>
      <c r="I20" s="29">
        <v>50</v>
      </c>
      <c r="J20" s="29"/>
      <c r="K20" s="29">
        <v>-25</v>
      </c>
      <c r="L20" s="44"/>
      <c r="M20" s="67">
        <v>25</v>
      </c>
      <c r="N20" s="29"/>
      <c r="O20" s="29">
        <v>25</v>
      </c>
    </row>
    <row r="21" spans="1:15">
      <c r="A21" s="13"/>
      <c r="B21" s="43"/>
      <c r="C21" s="13"/>
      <c r="D21" s="13"/>
      <c r="E21" s="13"/>
      <c r="I21" s="29"/>
      <c r="J21" s="29"/>
      <c r="K21" s="29"/>
      <c r="L21" s="44"/>
      <c r="M21" s="67"/>
      <c r="N21" s="29"/>
      <c r="O21" s="29"/>
    </row>
    <row r="22" spans="1:15">
      <c r="A22" s="13"/>
      <c r="B22" s="43"/>
      <c r="C22" s="13"/>
      <c r="D22" s="13"/>
      <c r="E22" s="13"/>
      <c r="F22" s="18" t="s">
        <v>69</v>
      </c>
      <c r="I22" s="40">
        <v>621</v>
      </c>
      <c r="J22" s="30"/>
      <c r="K22" s="40">
        <v>31</v>
      </c>
      <c r="L22" s="28"/>
      <c r="M22" s="68">
        <v>652</v>
      </c>
      <c r="N22" s="41"/>
      <c r="O22" s="40">
        <v>652</v>
      </c>
    </row>
    <row r="23" spans="1:15">
      <c r="A23" s="13"/>
      <c r="B23" s="43"/>
      <c r="C23" s="13"/>
      <c r="D23" s="13"/>
      <c r="E23" s="13"/>
      <c r="I23" s="29"/>
      <c r="J23" s="30"/>
      <c r="K23" s="29"/>
      <c r="L23" s="28"/>
      <c r="M23" s="67"/>
      <c r="N23" s="29"/>
      <c r="O23" s="29"/>
    </row>
    <row r="24" spans="1:15">
      <c r="A24" s="13"/>
      <c r="B24" s="43"/>
      <c r="C24" s="13"/>
      <c r="D24" s="13"/>
      <c r="E24" s="13"/>
      <c r="F24" s="35" t="s">
        <v>68</v>
      </c>
      <c r="I24" s="29"/>
      <c r="J24" s="30"/>
      <c r="K24" s="29"/>
      <c r="L24" s="28"/>
      <c r="M24" s="67"/>
      <c r="N24" s="29"/>
      <c r="O24" s="29"/>
    </row>
    <row r="25" spans="1:15">
      <c r="A25" s="13"/>
      <c r="B25" s="43"/>
      <c r="C25" s="13"/>
      <c r="D25" s="13"/>
      <c r="E25" s="13"/>
      <c r="F25" s="35"/>
      <c r="I25" s="29"/>
      <c r="J25" s="30"/>
      <c r="K25" s="29"/>
      <c r="L25" s="28"/>
      <c r="M25" s="67"/>
      <c r="N25" s="29"/>
      <c r="O25" s="29"/>
    </row>
    <row r="26" spans="1:15">
      <c r="A26" s="13">
        <v>6</v>
      </c>
      <c r="B26" s="43" t="s">
        <v>67</v>
      </c>
      <c r="C26" s="13" t="s">
        <v>66</v>
      </c>
      <c r="D26" s="13" t="s">
        <v>65</v>
      </c>
      <c r="E26" s="13"/>
      <c r="F26" s="1" t="s">
        <v>64</v>
      </c>
      <c r="I26" s="29">
        <v>107</v>
      </c>
      <c r="J26" s="30"/>
      <c r="K26" s="29">
        <v>-32</v>
      </c>
      <c r="L26" s="28"/>
      <c r="M26" s="67">
        <v>75</v>
      </c>
      <c r="N26" s="29"/>
      <c r="O26" s="29">
        <v>75</v>
      </c>
    </row>
    <row r="27" spans="1:15">
      <c r="A27" s="13">
        <v>7</v>
      </c>
      <c r="B27" s="13" t="s">
        <v>63</v>
      </c>
      <c r="C27" s="13" t="s">
        <v>62</v>
      </c>
      <c r="D27" s="13" t="s">
        <v>61</v>
      </c>
      <c r="E27" s="13" t="s">
        <v>60</v>
      </c>
      <c r="F27" s="1" t="s">
        <v>59</v>
      </c>
      <c r="I27" s="29">
        <v>15</v>
      </c>
      <c r="J27" s="30"/>
      <c r="K27" s="29">
        <v>0</v>
      </c>
      <c r="L27" s="28"/>
      <c r="M27" s="67">
        <v>15</v>
      </c>
      <c r="N27" s="29"/>
      <c r="O27" s="29">
        <v>15</v>
      </c>
    </row>
    <row r="28" spans="1:15">
      <c r="A28" s="13">
        <v>8</v>
      </c>
      <c r="B28" s="13" t="s">
        <v>58</v>
      </c>
      <c r="C28" s="13">
        <v>9802455</v>
      </c>
      <c r="D28" s="13" t="s">
        <v>57</v>
      </c>
      <c r="E28" s="13" t="s">
        <v>56</v>
      </c>
      <c r="F28" s="1" t="s">
        <v>55</v>
      </c>
      <c r="I28" s="29">
        <v>484</v>
      </c>
      <c r="J28" s="30"/>
      <c r="K28" s="29">
        <v>194</v>
      </c>
      <c r="L28" s="28"/>
      <c r="M28" s="67">
        <v>678</v>
      </c>
      <c r="N28" s="29"/>
      <c r="O28" s="29">
        <v>678</v>
      </c>
    </row>
    <row r="29" spans="1:15">
      <c r="A29" s="13">
        <v>9</v>
      </c>
      <c r="B29" s="13" t="s">
        <v>54</v>
      </c>
      <c r="C29" s="13">
        <v>9802455</v>
      </c>
      <c r="D29" s="13">
        <v>566153</v>
      </c>
      <c r="E29" s="13" t="s">
        <v>53</v>
      </c>
      <c r="F29" s="1" t="s">
        <v>52</v>
      </c>
      <c r="I29" s="29">
        <v>421</v>
      </c>
      <c r="J29" s="30"/>
      <c r="K29" s="29">
        <v>22</v>
      </c>
      <c r="L29" s="28"/>
      <c r="M29" s="67">
        <v>443</v>
      </c>
      <c r="N29" s="29"/>
      <c r="O29" s="29">
        <v>443</v>
      </c>
    </row>
    <row r="30" spans="1:15">
      <c r="A30" s="13">
        <v>10</v>
      </c>
      <c r="B30" s="13" t="s">
        <v>51</v>
      </c>
      <c r="C30" s="13">
        <v>9802455</v>
      </c>
      <c r="D30" s="13">
        <v>566152</v>
      </c>
      <c r="E30" s="13" t="s">
        <v>50</v>
      </c>
      <c r="F30" s="1" t="s">
        <v>49</v>
      </c>
      <c r="H30" s="31"/>
      <c r="I30" s="29">
        <v>41</v>
      </c>
      <c r="J30" s="30"/>
      <c r="K30" s="29">
        <v>0</v>
      </c>
      <c r="L30" s="28"/>
      <c r="M30" s="66">
        <v>41</v>
      </c>
      <c r="N30" s="29"/>
      <c r="O30" s="42">
        <v>41</v>
      </c>
    </row>
    <row r="31" spans="1:15">
      <c r="A31" s="13"/>
      <c r="B31" s="13"/>
      <c r="C31" s="13"/>
      <c r="D31" s="13"/>
      <c r="E31" s="13"/>
      <c r="F31" s="18" t="s">
        <v>48</v>
      </c>
      <c r="I31" s="40">
        <v>1068</v>
      </c>
      <c r="J31" s="30"/>
      <c r="K31" s="40">
        <v>184</v>
      </c>
      <c r="L31" s="32"/>
      <c r="M31" s="68">
        <v>1252</v>
      </c>
      <c r="N31" s="41"/>
      <c r="O31" s="40">
        <v>1252</v>
      </c>
    </row>
    <row r="32" spans="1:15">
      <c r="A32" s="13"/>
      <c r="B32" s="13"/>
      <c r="C32" s="13"/>
      <c r="D32" s="13"/>
      <c r="E32" s="13"/>
      <c r="F32" s="18"/>
      <c r="I32" s="41"/>
      <c r="J32" s="30"/>
      <c r="K32" s="41"/>
      <c r="L32" s="32"/>
      <c r="M32" s="69"/>
      <c r="N32" s="41"/>
      <c r="O32" s="41"/>
    </row>
    <row r="33" spans="1:16">
      <c r="A33" s="13"/>
      <c r="B33" s="13"/>
      <c r="C33" s="13"/>
      <c r="D33" s="13"/>
      <c r="E33" s="13"/>
      <c r="F33" s="35" t="s">
        <v>47</v>
      </c>
      <c r="I33" s="41"/>
      <c r="J33" s="30"/>
      <c r="K33" s="41"/>
      <c r="L33" s="32"/>
      <c r="M33" s="69"/>
      <c r="N33" s="41"/>
      <c r="O33" s="41"/>
    </row>
    <row r="34" spans="1:16">
      <c r="B34" s="13"/>
      <c r="C34" s="13"/>
      <c r="D34" s="13"/>
      <c r="E34" s="13"/>
      <c r="F34" s="35"/>
      <c r="I34" s="41"/>
      <c r="J34" s="30"/>
      <c r="K34" s="41"/>
      <c r="L34" s="32"/>
      <c r="M34" s="69"/>
      <c r="N34" s="41"/>
      <c r="O34" s="41"/>
    </row>
    <row r="35" spans="1:16">
      <c r="A35" s="13">
        <v>11</v>
      </c>
      <c r="B35" s="13" t="s">
        <v>46</v>
      </c>
      <c r="F35" s="1" t="s">
        <v>45</v>
      </c>
      <c r="I35" s="29">
        <v>9</v>
      </c>
      <c r="J35" s="30"/>
      <c r="K35" s="29">
        <v>0</v>
      </c>
      <c r="L35" s="28"/>
      <c r="M35" s="67">
        <v>9</v>
      </c>
      <c r="N35" s="29"/>
      <c r="O35" s="29">
        <v>9</v>
      </c>
    </row>
    <row r="36" spans="1:16">
      <c r="A36" s="13">
        <v>12</v>
      </c>
      <c r="B36" s="13" t="s">
        <v>44</v>
      </c>
      <c r="F36" s="1" t="s">
        <v>43</v>
      </c>
      <c r="I36" s="29">
        <v>23</v>
      </c>
      <c r="J36" s="30"/>
      <c r="K36" s="29">
        <v>0</v>
      </c>
      <c r="L36" s="28"/>
      <c r="M36" s="67">
        <v>23</v>
      </c>
      <c r="N36" s="29"/>
      <c r="O36" s="29">
        <v>23</v>
      </c>
    </row>
    <row r="37" spans="1:16">
      <c r="A37" s="13"/>
      <c r="B37" s="13"/>
      <c r="C37" s="13"/>
      <c r="D37" s="13"/>
      <c r="E37" s="13"/>
      <c r="F37" s="18" t="s">
        <v>42</v>
      </c>
      <c r="I37" s="40">
        <v>32</v>
      </c>
      <c r="J37" s="30"/>
      <c r="K37" s="40">
        <v>0</v>
      </c>
      <c r="L37" s="32"/>
      <c r="M37" s="68">
        <v>32</v>
      </c>
      <c r="N37" s="41"/>
      <c r="O37" s="40">
        <v>32</v>
      </c>
    </row>
    <row r="38" spans="1:16">
      <c r="A38" s="13"/>
      <c r="B38" s="13"/>
      <c r="C38" s="13"/>
      <c r="D38" s="13"/>
      <c r="E38" s="13"/>
      <c r="I38" s="36"/>
      <c r="J38" s="38"/>
      <c r="K38" s="36"/>
      <c r="L38" s="37"/>
      <c r="M38" s="82"/>
      <c r="N38" s="29"/>
      <c r="O38" s="36"/>
    </row>
    <row r="39" spans="1:16">
      <c r="A39" s="13"/>
      <c r="B39" s="13"/>
      <c r="C39" s="13"/>
      <c r="D39" s="13"/>
      <c r="E39" s="13"/>
      <c r="F39" s="18" t="s">
        <v>41</v>
      </c>
      <c r="I39" s="39">
        <v>1783</v>
      </c>
      <c r="J39" s="38"/>
      <c r="K39" s="39">
        <v>236</v>
      </c>
      <c r="L39" s="37"/>
      <c r="M39" s="83">
        <v>2019</v>
      </c>
      <c r="N39" s="29"/>
      <c r="O39" s="39">
        <v>2019</v>
      </c>
      <c r="P39" s="39">
        <v>0</v>
      </c>
    </row>
    <row r="40" spans="1:16">
      <c r="B40" s="13"/>
      <c r="C40" s="13"/>
      <c r="D40" s="13"/>
      <c r="E40" s="13"/>
      <c r="I40" s="36"/>
      <c r="J40" s="38"/>
      <c r="K40" s="36"/>
      <c r="L40" s="37"/>
      <c r="M40" s="82"/>
      <c r="N40" s="29"/>
      <c r="O40" s="36"/>
    </row>
    <row r="41" spans="1:16">
      <c r="A41" s="13"/>
      <c r="B41" s="13"/>
      <c r="F41" s="35" t="s">
        <v>40</v>
      </c>
      <c r="I41" s="33"/>
      <c r="K41" s="33"/>
      <c r="M41" s="84"/>
      <c r="N41" s="34"/>
      <c r="O41" s="33"/>
    </row>
    <row r="42" spans="1:16">
      <c r="A42" s="13"/>
      <c r="B42" s="13"/>
      <c r="F42" s="35"/>
      <c r="I42" s="33"/>
      <c r="K42" s="33"/>
      <c r="M42" s="84"/>
      <c r="N42" s="34"/>
      <c r="O42" s="33"/>
    </row>
    <row r="43" spans="1:16">
      <c r="A43" s="13">
        <v>13</v>
      </c>
      <c r="B43" s="13" t="s">
        <v>39</v>
      </c>
      <c r="F43" s="1" t="s">
        <v>38</v>
      </c>
      <c r="G43" s="31"/>
      <c r="H43" s="31"/>
      <c r="I43" s="20">
        <v>5982</v>
      </c>
      <c r="J43" s="30"/>
      <c r="K43" s="29">
        <v>271</v>
      </c>
      <c r="L43" s="28"/>
      <c r="M43" s="72">
        <v>6253</v>
      </c>
      <c r="N43" s="20"/>
      <c r="O43" s="20">
        <v>6253</v>
      </c>
    </row>
    <row r="44" spans="1:16" s="31" customFormat="1">
      <c r="A44" s="13">
        <v>14</v>
      </c>
      <c r="B44" s="13" t="s">
        <v>37</v>
      </c>
      <c r="C44" s="25"/>
      <c r="D44" s="25"/>
      <c r="E44" s="25"/>
      <c r="F44" s="1" t="s">
        <v>36</v>
      </c>
      <c r="I44" s="20">
        <v>1079</v>
      </c>
      <c r="J44" s="30"/>
      <c r="K44" s="29">
        <v>0</v>
      </c>
      <c r="L44" s="28"/>
      <c r="M44" s="73">
        <v>1815</v>
      </c>
      <c r="N44" s="20"/>
      <c r="O44" s="20">
        <v>1079</v>
      </c>
      <c r="P44" s="26">
        <f>M44-O44</f>
        <v>736</v>
      </c>
    </row>
    <row r="45" spans="1:16" s="31" customFormat="1">
      <c r="A45" s="23">
        <v>15</v>
      </c>
      <c r="B45" s="23" t="s">
        <v>35</v>
      </c>
      <c r="C45" s="25"/>
      <c r="D45" s="25"/>
      <c r="E45" s="25"/>
      <c r="F45" s="31" t="s">
        <v>34</v>
      </c>
      <c r="I45" s="20">
        <v>1628</v>
      </c>
      <c r="J45" s="30"/>
      <c r="K45" s="29">
        <v>-6</v>
      </c>
      <c r="L45" s="28"/>
      <c r="M45" s="73">
        <v>2274</v>
      </c>
      <c r="N45" s="20"/>
      <c r="O45" s="20">
        <v>1622</v>
      </c>
      <c r="P45" s="26">
        <f>M45-O45</f>
        <v>652</v>
      </c>
    </row>
    <row r="46" spans="1:16" s="31" customFormat="1">
      <c r="A46" s="13">
        <v>16</v>
      </c>
      <c r="B46" s="13" t="s">
        <v>33</v>
      </c>
      <c r="C46" s="25"/>
      <c r="D46" s="25"/>
      <c r="E46" s="25"/>
      <c r="F46" s="1" t="s">
        <v>32</v>
      </c>
      <c r="I46" s="20">
        <v>360</v>
      </c>
      <c r="J46" s="30"/>
      <c r="K46" s="29">
        <v>0</v>
      </c>
      <c r="L46" s="28"/>
      <c r="M46" s="72">
        <v>360</v>
      </c>
      <c r="N46" s="20"/>
      <c r="O46" s="20">
        <v>360</v>
      </c>
    </row>
    <row r="47" spans="1:16" s="31" customFormat="1">
      <c r="A47" s="13">
        <v>17</v>
      </c>
      <c r="B47" s="13" t="s">
        <v>31</v>
      </c>
      <c r="C47" s="25"/>
      <c r="D47" s="25"/>
      <c r="E47" s="25"/>
      <c r="F47" s="1" t="s">
        <v>30</v>
      </c>
      <c r="I47" s="20">
        <v>74</v>
      </c>
      <c r="J47" s="30"/>
      <c r="K47" s="29">
        <v>0</v>
      </c>
      <c r="L47" s="28"/>
      <c r="M47" s="72">
        <v>74</v>
      </c>
      <c r="N47" s="20"/>
      <c r="O47" s="20">
        <v>74</v>
      </c>
    </row>
    <row r="48" spans="1:16" s="31" customFormat="1">
      <c r="A48" s="13">
        <v>18</v>
      </c>
      <c r="B48" s="13" t="s">
        <v>29</v>
      </c>
      <c r="C48" s="25"/>
      <c r="D48" s="25"/>
      <c r="E48" s="25"/>
      <c r="F48" s="1" t="s">
        <v>28</v>
      </c>
      <c r="I48" s="20">
        <v>3517</v>
      </c>
      <c r="J48" s="30"/>
      <c r="K48" s="29">
        <v>-690</v>
      </c>
      <c r="L48" s="28"/>
      <c r="M48" s="72">
        <v>2827</v>
      </c>
      <c r="N48" s="20"/>
      <c r="O48" s="20">
        <v>2827</v>
      </c>
    </row>
    <row r="49" spans="1:16" s="31" customFormat="1">
      <c r="A49" s="23">
        <v>19</v>
      </c>
      <c r="B49" s="23" t="s">
        <v>27</v>
      </c>
      <c r="C49" s="25"/>
      <c r="D49" s="25"/>
      <c r="E49" s="25"/>
      <c r="F49" s="31" t="s">
        <v>26</v>
      </c>
      <c r="I49" s="20">
        <v>247</v>
      </c>
      <c r="J49" s="30"/>
      <c r="K49" s="29">
        <v>-17</v>
      </c>
      <c r="L49" s="28"/>
      <c r="M49" s="72">
        <v>230</v>
      </c>
      <c r="N49" s="20"/>
      <c r="O49" s="20">
        <v>230</v>
      </c>
    </row>
    <row r="50" spans="1:16" s="31" customFormat="1">
      <c r="A50" s="13">
        <v>20</v>
      </c>
      <c r="B50" s="13" t="s">
        <v>25</v>
      </c>
      <c r="C50" s="25"/>
      <c r="D50" s="25"/>
      <c r="E50" s="25"/>
      <c r="F50" s="1" t="s">
        <v>24</v>
      </c>
      <c r="I50" s="20">
        <v>28</v>
      </c>
      <c r="J50" s="30"/>
      <c r="K50" s="29">
        <v>0</v>
      </c>
      <c r="L50" s="28"/>
      <c r="M50" s="72">
        <v>28</v>
      </c>
      <c r="N50" s="20"/>
      <c r="O50" s="20">
        <v>28</v>
      </c>
    </row>
    <row r="51" spans="1:16" s="31" customFormat="1">
      <c r="A51" s="13">
        <v>21</v>
      </c>
      <c r="B51" s="13" t="s">
        <v>23</v>
      </c>
      <c r="C51" s="25"/>
      <c r="D51" s="25"/>
      <c r="E51" s="25"/>
      <c r="F51" s="1" t="s">
        <v>22</v>
      </c>
      <c r="I51" s="20">
        <v>8</v>
      </c>
      <c r="K51" s="29">
        <v>0</v>
      </c>
      <c r="L51" s="32"/>
      <c r="M51" s="72">
        <v>8</v>
      </c>
      <c r="N51" s="20"/>
      <c r="O51" s="20">
        <v>8</v>
      </c>
    </row>
    <row r="52" spans="1:16" s="31" customFormat="1">
      <c r="A52" s="13">
        <v>22</v>
      </c>
      <c r="B52" s="13" t="s">
        <v>21</v>
      </c>
      <c r="C52" s="25"/>
      <c r="D52" s="25"/>
      <c r="E52" s="25"/>
      <c r="F52" s="1" t="s">
        <v>20</v>
      </c>
      <c r="I52" s="20">
        <v>200</v>
      </c>
      <c r="J52" s="30"/>
      <c r="K52" s="29">
        <v>-200</v>
      </c>
      <c r="L52" s="28"/>
      <c r="M52" s="72">
        <v>0</v>
      </c>
      <c r="N52" s="20"/>
      <c r="O52" s="20">
        <v>0</v>
      </c>
    </row>
    <row r="53" spans="1:16" s="31" customFormat="1">
      <c r="A53" s="13">
        <v>23</v>
      </c>
      <c r="B53" s="13" t="s">
        <v>19</v>
      </c>
      <c r="C53" s="25"/>
      <c r="D53" s="25"/>
      <c r="E53" s="25"/>
      <c r="F53" s="1" t="s">
        <v>18</v>
      </c>
      <c r="I53" s="20">
        <v>52</v>
      </c>
      <c r="J53" s="30"/>
      <c r="K53" s="29">
        <v>0</v>
      </c>
      <c r="L53" s="28"/>
      <c r="M53" s="72">
        <v>52</v>
      </c>
      <c r="N53" s="20"/>
      <c r="O53" s="20">
        <v>52</v>
      </c>
    </row>
    <row r="54" spans="1:16" s="31" customFormat="1">
      <c r="A54" s="13">
        <v>24</v>
      </c>
      <c r="B54" s="13" t="s">
        <v>17</v>
      </c>
      <c r="C54" s="25"/>
      <c r="D54" s="25"/>
      <c r="E54" s="25"/>
      <c r="F54" s="1" t="s">
        <v>16</v>
      </c>
      <c r="I54" s="20">
        <v>9</v>
      </c>
      <c r="J54" s="30"/>
      <c r="K54" s="29">
        <v>0</v>
      </c>
      <c r="L54" s="28"/>
      <c r="M54" s="72">
        <v>9</v>
      </c>
      <c r="N54" s="20"/>
      <c r="O54" s="20">
        <v>9</v>
      </c>
    </row>
    <row r="55" spans="1:16" s="31" customFormat="1">
      <c r="A55" s="13">
        <v>25</v>
      </c>
      <c r="B55" s="13" t="s">
        <v>15</v>
      </c>
      <c r="C55" s="25"/>
      <c r="D55" s="25"/>
      <c r="E55" s="25"/>
      <c r="F55" s="1" t="s">
        <v>14</v>
      </c>
      <c r="I55" s="20">
        <v>3192</v>
      </c>
      <c r="J55" s="30"/>
      <c r="K55" s="29">
        <v>0</v>
      </c>
      <c r="L55" s="28"/>
      <c r="M55" s="72">
        <v>3192</v>
      </c>
      <c r="N55" s="20"/>
      <c r="O55" s="20">
        <v>3192</v>
      </c>
    </row>
    <row r="56" spans="1:16" s="31" customFormat="1">
      <c r="A56" s="13">
        <v>26</v>
      </c>
      <c r="B56" s="13" t="s">
        <v>13</v>
      </c>
      <c r="C56" s="25"/>
      <c r="D56" s="25"/>
      <c r="E56" s="25"/>
      <c r="F56" s="1" t="s">
        <v>12</v>
      </c>
      <c r="I56" s="20">
        <v>600</v>
      </c>
      <c r="J56" s="30"/>
      <c r="K56" s="29">
        <v>0</v>
      </c>
      <c r="L56" s="28"/>
      <c r="M56" s="72">
        <v>600</v>
      </c>
      <c r="N56" s="20"/>
      <c r="O56" s="20">
        <v>600</v>
      </c>
    </row>
    <row r="57" spans="1:16" s="31" customFormat="1">
      <c r="A57" s="13">
        <v>27</v>
      </c>
      <c r="B57" s="13" t="s">
        <v>11</v>
      </c>
      <c r="C57" s="25"/>
      <c r="D57" s="25"/>
      <c r="E57" s="25"/>
      <c r="F57" s="1" t="s">
        <v>10</v>
      </c>
      <c r="I57" s="20">
        <v>6</v>
      </c>
      <c r="J57" s="30"/>
      <c r="K57" s="29">
        <v>0</v>
      </c>
      <c r="L57" s="28"/>
      <c r="M57" s="72">
        <v>6</v>
      </c>
      <c r="N57" s="20"/>
      <c r="O57" s="20">
        <v>6</v>
      </c>
    </row>
    <row r="58" spans="1:16">
      <c r="A58" s="13">
        <v>28</v>
      </c>
      <c r="B58" s="13" t="s">
        <v>9</v>
      </c>
      <c r="F58" s="1" t="s">
        <v>8</v>
      </c>
      <c r="H58" s="31"/>
      <c r="I58" s="20">
        <v>88</v>
      </c>
      <c r="J58" s="30"/>
      <c r="K58" s="29">
        <v>0</v>
      </c>
      <c r="L58" s="28"/>
      <c r="M58" s="73">
        <v>94</v>
      </c>
      <c r="N58" s="20"/>
      <c r="O58" s="20">
        <v>88</v>
      </c>
      <c r="P58" s="26">
        <f>M58-O58</f>
        <v>6</v>
      </c>
    </row>
    <row r="59" spans="1:16">
      <c r="A59" s="23"/>
      <c r="B59" s="25"/>
      <c r="F59" s="18"/>
      <c r="I59" s="15">
        <v>17070</v>
      </c>
      <c r="J59" s="18"/>
      <c r="K59" s="15">
        <v>-642</v>
      </c>
      <c r="M59" s="75">
        <f>SUM(M43:M58)</f>
        <v>17822</v>
      </c>
      <c r="N59" s="16"/>
      <c r="O59" s="24">
        <f>SUM(O43:O58)</f>
        <v>16428</v>
      </c>
      <c r="P59" s="24">
        <f>SUM(P43:P58)</f>
        <v>1394</v>
      </c>
    </row>
    <row r="60" spans="1:16" ht="13.5" thickBot="1">
      <c r="A60" s="23"/>
      <c r="I60" s="19"/>
      <c r="K60" s="19"/>
      <c r="M60" s="85" t="s">
        <v>7</v>
      </c>
      <c r="N60" s="22"/>
      <c r="O60" s="21" t="s">
        <v>6</v>
      </c>
      <c r="P60" s="21" t="s">
        <v>5</v>
      </c>
    </row>
    <row r="61" spans="1:16" ht="13.5" thickBot="1">
      <c r="A61" s="13"/>
      <c r="F61" s="18" t="s">
        <v>4</v>
      </c>
      <c r="I61" s="15">
        <v>17070</v>
      </c>
      <c r="K61" s="15">
        <v>-642</v>
      </c>
      <c r="M61" s="62">
        <f>M59</f>
        <v>17822</v>
      </c>
      <c r="N61" s="16"/>
      <c r="O61" s="15">
        <f>O59</f>
        <v>16428</v>
      </c>
      <c r="P61" s="15">
        <f>P59</f>
        <v>1394</v>
      </c>
    </row>
    <row r="62" spans="1:16" ht="13.5" thickBot="1">
      <c r="I62" s="19"/>
      <c r="K62" s="19"/>
      <c r="M62" s="86"/>
      <c r="N62" s="20"/>
      <c r="O62" s="19"/>
      <c r="P62" s="19"/>
    </row>
    <row r="63" spans="1:16">
      <c r="A63" s="13"/>
      <c r="F63" s="18" t="s">
        <v>3</v>
      </c>
      <c r="I63" s="15">
        <f>I39-I61</f>
        <v>-15287</v>
      </c>
      <c r="J63" s="17"/>
      <c r="K63" s="15">
        <f>K39-K61</f>
        <v>878</v>
      </c>
      <c r="M63" s="77">
        <f>M39-M61</f>
        <v>-15803</v>
      </c>
      <c r="N63" s="16"/>
      <c r="O63" s="15">
        <f>O39-O61</f>
        <v>-14409</v>
      </c>
      <c r="P63" s="14">
        <f>P39-P61</f>
        <v>-1394</v>
      </c>
    </row>
    <row r="64" spans="1:16">
      <c r="K64" s="1"/>
    </row>
    <row r="65" spans="1:16">
      <c r="A65" s="13"/>
      <c r="F65" s="7" t="s">
        <v>2</v>
      </c>
      <c r="G65" s="12" t="s">
        <v>0</v>
      </c>
      <c r="H65" s="12"/>
      <c r="I65" s="7"/>
      <c r="J65" s="7"/>
      <c r="K65" s="7"/>
      <c r="L65" s="9"/>
      <c r="M65" s="7"/>
      <c r="N65" s="8"/>
      <c r="O65" s="11">
        <v>0.65629999999999999</v>
      </c>
      <c r="P65" s="10">
        <f>P63*O65</f>
        <v>-914.88220000000001</v>
      </c>
    </row>
    <row r="66" spans="1:16" ht="13.5" thickBot="1">
      <c r="F66" s="7" t="s">
        <v>1</v>
      </c>
      <c r="G66" s="7"/>
      <c r="H66" s="7"/>
      <c r="I66" s="7"/>
      <c r="J66" s="7"/>
      <c r="K66" s="7"/>
      <c r="L66" s="9"/>
      <c r="M66" s="7"/>
      <c r="N66" s="8"/>
      <c r="O66" s="7"/>
      <c r="P66" s="6">
        <f>P65*0.65/0.61931</f>
        <v>-960.21932473236348</v>
      </c>
    </row>
    <row r="67" spans="1:16" ht="13.5" thickTop="1">
      <c r="G67" s="1" t="s">
        <v>0</v>
      </c>
      <c r="K67" s="1"/>
    </row>
    <row r="68" spans="1:16">
      <c r="K68" s="1"/>
    </row>
    <row r="69" spans="1:16">
      <c r="K69" s="1"/>
    </row>
  </sheetData>
  <mergeCells count="6">
    <mergeCell ref="O5:O6"/>
    <mergeCell ref="A1:M1"/>
    <mergeCell ref="A2:M2"/>
    <mergeCell ref="A3:M3"/>
    <mergeCell ref="A4:M4"/>
    <mergeCell ref="A5:M5"/>
  </mergeCells>
  <pageMargins left="1" right="0" top="0.75" bottom="0" header="0.5" footer="0.25"/>
  <pageSetup scale="73" orientation="portrait" r:id="rId1"/>
  <headerFooter scaleWithDoc="0" alignWithMargins="0">
    <oddHeader>&amp;CAttachment G - Backup (Transmission Revenue)&amp;RRevised Exhibit No. __(BAC-2)</oddHeader>
    <oddFooter>&amp;CNOVEMBER 2016 POWER SUPPLY UPDATE
&amp;R&amp;"-,Regular"Page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tabSelected="1" view="pageBreakPreview" zoomScaleNormal="100" zoomScaleSheetLayoutView="100" workbookViewId="0">
      <selection activeCell="I37" activeCellId="1" sqref="C29 I37"/>
    </sheetView>
  </sheetViews>
  <sheetFormatPr defaultColWidth="11.42578125" defaultRowHeight="12.75"/>
  <cols>
    <col min="1" max="1" width="4.42578125" style="5" customWidth="1"/>
    <col min="2" max="2" width="4.85546875" style="5" customWidth="1"/>
    <col min="3" max="3" width="14.28515625" style="5" hidden="1" customWidth="1"/>
    <col min="4" max="5" width="0.140625" style="5" hidden="1" customWidth="1"/>
    <col min="6" max="6" width="26.7109375" style="1" customWidth="1"/>
    <col min="7" max="7" width="11" style="1" customWidth="1"/>
    <col min="8" max="8" width="3" style="1" customWidth="1"/>
    <col min="9" max="9" width="10.42578125" style="1" customWidth="1"/>
    <col min="10" max="10" width="1.7109375" style="1" customWidth="1"/>
    <col min="11" max="11" width="12" style="4" customWidth="1"/>
    <col min="12" max="12" width="2.42578125" style="3" customWidth="1"/>
    <col min="13" max="13" width="12.7109375" style="1" customWidth="1"/>
    <col min="14" max="14" width="1.42578125" style="2" customWidth="1"/>
    <col min="15" max="15" width="12" style="4" customWidth="1"/>
    <col min="16" max="16" width="2.140625" style="3" customWidth="1"/>
    <col min="17" max="17" width="11.42578125" style="1"/>
    <col min="18" max="18" width="11" style="1" bestFit="1" customWidth="1"/>
    <col min="19" max="19" width="12.7109375" style="1" customWidth="1"/>
    <col min="20" max="16384" width="11.42578125" style="1"/>
  </cols>
  <sheetData>
    <row r="1" spans="1:20" ht="15.75">
      <c r="A1" s="159" t="s">
        <v>104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52"/>
      <c r="O1" s="52"/>
      <c r="P1" s="52"/>
      <c r="Q1" s="52"/>
    </row>
    <row r="2" spans="1:20" ht="15.75">
      <c r="A2" s="159" t="s">
        <v>103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52"/>
      <c r="O2" s="52"/>
      <c r="P2" s="52"/>
      <c r="Q2" s="52"/>
    </row>
    <row r="3" spans="1:20" ht="15.75">
      <c r="A3" s="159" t="s">
        <v>102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52"/>
      <c r="O3" s="52"/>
      <c r="P3" s="52"/>
      <c r="Q3" s="52"/>
      <c r="S3" s="59"/>
      <c r="T3" s="60" t="s">
        <v>98</v>
      </c>
    </row>
    <row r="4" spans="1:20" ht="15.75">
      <c r="A4" s="159" t="s">
        <v>101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52"/>
      <c r="O4" s="52"/>
      <c r="P4" s="52"/>
      <c r="Q4" s="52"/>
      <c r="S4" s="61" t="s">
        <v>107</v>
      </c>
      <c r="T4" s="161" t="s">
        <v>106</v>
      </c>
    </row>
    <row r="5" spans="1:20" ht="12" customHeight="1">
      <c r="A5" s="160" t="s">
        <v>100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O5" s="13"/>
      <c r="S5" s="61" t="s">
        <v>108</v>
      </c>
      <c r="T5" s="161"/>
    </row>
    <row r="6" spans="1:20" ht="12" customHeight="1" thickBot="1">
      <c r="A6" s="55"/>
      <c r="B6" s="55"/>
      <c r="C6" s="55"/>
      <c r="D6" s="55"/>
      <c r="E6" s="55"/>
      <c r="F6" s="54"/>
      <c r="H6" s="56"/>
      <c r="K6" s="13"/>
      <c r="M6" s="51" t="s">
        <v>95</v>
      </c>
      <c r="O6" s="13"/>
    </row>
    <row r="7" spans="1:20" ht="12" customHeight="1">
      <c r="A7" s="55"/>
      <c r="B7" s="55"/>
      <c r="C7" s="55"/>
      <c r="D7" s="55"/>
      <c r="E7" s="55"/>
      <c r="F7" s="54"/>
      <c r="H7" s="56"/>
      <c r="I7" s="56" t="s">
        <v>96</v>
      </c>
      <c r="K7" s="56" t="s">
        <v>80</v>
      </c>
      <c r="L7" s="53"/>
      <c r="M7" s="56" t="s">
        <v>77</v>
      </c>
      <c r="N7" s="52"/>
      <c r="O7" s="56" t="s">
        <v>75</v>
      </c>
      <c r="P7" s="53"/>
      <c r="Q7" s="56" t="s">
        <v>73</v>
      </c>
      <c r="R7" s="63" t="s">
        <v>71</v>
      </c>
      <c r="S7" s="57" t="s">
        <v>67</v>
      </c>
      <c r="T7" s="57" t="s">
        <v>63</v>
      </c>
    </row>
    <row r="8" spans="1:20">
      <c r="A8" s="13"/>
      <c r="B8" s="13"/>
      <c r="C8" s="13"/>
      <c r="D8" s="13"/>
      <c r="E8" s="13"/>
      <c r="I8" s="45" t="s">
        <v>94</v>
      </c>
      <c r="K8" s="45"/>
      <c r="M8" s="45">
        <v>2017</v>
      </c>
      <c r="N8" s="46"/>
      <c r="O8" s="45"/>
      <c r="Q8" s="45">
        <v>2018</v>
      </c>
      <c r="R8" s="64" t="s">
        <v>105</v>
      </c>
      <c r="S8" s="46" t="s">
        <v>105</v>
      </c>
      <c r="T8" s="52" t="s">
        <v>105</v>
      </c>
    </row>
    <row r="9" spans="1:20">
      <c r="A9" s="13" t="s">
        <v>93</v>
      </c>
      <c r="B9" s="13" t="s">
        <v>92</v>
      </c>
      <c r="C9" s="13" t="s">
        <v>91</v>
      </c>
      <c r="D9" s="13" t="s">
        <v>90</v>
      </c>
      <c r="E9" s="13"/>
      <c r="I9" s="50">
        <v>40799</v>
      </c>
      <c r="K9" s="45"/>
      <c r="M9" s="45" t="s">
        <v>89</v>
      </c>
      <c r="N9" s="46"/>
      <c r="O9" s="45"/>
      <c r="Q9" s="45" t="s">
        <v>89</v>
      </c>
      <c r="R9" s="64" t="s">
        <v>89</v>
      </c>
      <c r="S9" s="45" t="s">
        <v>89</v>
      </c>
      <c r="T9" s="45" t="s">
        <v>89</v>
      </c>
    </row>
    <row r="10" spans="1:20">
      <c r="A10" s="47" t="s">
        <v>86</v>
      </c>
      <c r="B10" s="49" t="s">
        <v>88</v>
      </c>
      <c r="C10" s="49" t="s">
        <v>87</v>
      </c>
      <c r="D10" s="49" t="s">
        <v>86</v>
      </c>
      <c r="E10" s="49" t="s">
        <v>85</v>
      </c>
      <c r="F10" s="48"/>
      <c r="I10" s="47" t="s">
        <v>84</v>
      </c>
      <c r="K10" s="47" t="s">
        <v>83</v>
      </c>
      <c r="M10" s="47" t="s">
        <v>82</v>
      </c>
      <c r="N10" s="46"/>
      <c r="O10" s="47" t="s">
        <v>83</v>
      </c>
      <c r="Q10" s="47" t="s">
        <v>82</v>
      </c>
      <c r="R10" s="65" t="s">
        <v>82</v>
      </c>
      <c r="S10" s="47" t="s">
        <v>82</v>
      </c>
      <c r="T10" s="47" t="s">
        <v>82</v>
      </c>
    </row>
    <row r="11" spans="1:20">
      <c r="A11" s="13"/>
      <c r="B11" s="13"/>
      <c r="C11" s="13"/>
      <c r="D11" s="13"/>
      <c r="E11" s="13"/>
      <c r="F11" s="35" t="s">
        <v>81</v>
      </c>
      <c r="I11" s="45"/>
      <c r="K11" s="19"/>
      <c r="M11" s="45"/>
      <c r="N11" s="46"/>
      <c r="O11" s="19"/>
      <c r="Q11" s="45"/>
      <c r="R11" s="64" t="s">
        <v>110</v>
      </c>
      <c r="S11" s="45"/>
    </row>
    <row r="12" spans="1:20">
      <c r="A12" s="13"/>
      <c r="B12" s="13"/>
      <c r="C12" s="13"/>
      <c r="D12" s="13"/>
      <c r="E12" s="13"/>
      <c r="F12" s="35"/>
      <c r="I12" s="45"/>
      <c r="K12" s="19"/>
      <c r="M12" s="45"/>
      <c r="N12" s="46"/>
      <c r="O12" s="19"/>
      <c r="Q12" s="45"/>
      <c r="R12" s="64" t="s">
        <v>111</v>
      </c>
      <c r="S12" s="45"/>
    </row>
    <row r="13" spans="1:20">
      <c r="A13" s="13">
        <v>1</v>
      </c>
      <c r="B13" s="13" t="s">
        <v>80</v>
      </c>
      <c r="C13" s="13">
        <v>9802453</v>
      </c>
      <c r="D13" s="13">
        <v>556030</v>
      </c>
      <c r="E13" s="13" t="s">
        <v>50</v>
      </c>
      <c r="F13" s="1" t="s">
        <v>79</v>
      </c>
      <c r="I13" s="42">
        <v>62</v>
      </c>
      <c r="J13" s="30"/>
      <c r="K13" s="42">
        <v>21</v>
      </c>
      <c r="L13" s="32"/>
      <c r="M13" s="42">
        <v>83</v>
      </c>
      <c r="N13" s="29"/>
      <c r="O13" s="42">
        <v>0</v>
      </c>
      <c r="P13" s="32"/>
      <c r="Q13" s="42">
        <v>83</v>
      </c>
      <c r="R13" s="66">
        <v>83</v>
      </c>
      <c r="S13" s="42">
        <v>83</v>
      </c>
      <c r="T13" s="58"/>
    </row>
    <row r="14" spans="1:20">
      <c r="A14" s="13"/>
      <c r="B14" s="13"/>
      <c r="C14" s="13"/>
      <c r="D14" s="13"/>
      <c r="E14" s="13"/>
      <c r="I14" s="29"/>
      <c r="J14" s="30"/>
      <c r="K14" s="29"/>
      <c r="L14" s="28"/>
      <c r="M14" s="29"/>
      <c r="N14" s="29"/>
      <c r="O14" s="29"/>
      <c r="P14" s="28"/>
      <c r="Q14" s="29"/>
      <c r="R14" s="67"/>
      <c r="S14" s="29"/>
    </row>
    <row r="15" spans="1:20">
      <c r="A15" s="13"/>
      <c r="B15" s="13"/>
      <c r="C15" s="13"/>
      <c r="D15" s="13"/>
      <c r="E15" s="13"/>
      <c r="F15" s="35" t="s">
        <v>78</v>
      </c>
      <c r="I15" s="29"/>
      <c r="J15" s="30"/>
      <c r="K15" s="29"/>
      <c r="L15" s="28"/>
      <c r="M15" s="29"/>
      <c r="N15" s="29"/>
      <c r="O15" s="29"/>
      <c r="P15" s="28"/>
      <c r="Q15" s="29"/>
      <c r="R15" s="67"/>
      <c r="S15" s="29"/>
    </row>
    <row r="16" spans="1:20">
      <c r="A16" s="13"/>
      <c r="B16" s="13"/>
      <c r="C16" s="13"/>
      <c r="D16" s="13"/>
      <c r="E16" s="13"/>
      <c r="F16" s="35"/>
      <c r="I16" s="29"/>
      <c r="J16" s="30"/>
      <c r="K16" s="29"/>
      <c r="L16" s="28"/>
      <c r="M16" s="29"/>
      <c r="N16" s="29"/>
      <c r="O16" s="29"/>
      <c r="P16" s="28"/>
      <c r="Q16" s="29"/>
      <c r="R16" s="67"/>
      <c r="S16" s="29"/>
    </row>
    <row r="17" spans="1:20">
      <c r="A17" s="13">
        <v>2</v>
      </c>
      <c r="B17" s="13" t="s">
        <v>77</v>
      </c>
      <c r="C17" s="13"/>
      <c r="D17" s="13"/>
      <c r="E17" s="13"/>
      <c r="F17" s="1" t="s">
        <v>76</v>
      </c>
      <c r="I17" s="29">
        <v>328</v>
      </c>
      <c r="J17" s="30"/>
      <c r="K17" s="29">
        <v>-16</v>
      </c>
      <c r="L17" s="28"/>
      <c r="M17" s="29">
        <v>312</v>
      </c>
      <c r="N17" s="29"/>
      <c r="O17" s="29">
        <v>0</v>
      </c>
      <c r="P17" s="28"/>
      <c r="Q17" s="29">
        <v>312</v>
      </c>
      <c r="R17" s="67">
        <v>312</v>
      </c>
      <c r="S17" s="29">
        <v>312</v>
      </c>
    </row>
    <row r="18" spans="1:20">
      <c r="A18" s="13">
        <v>3</v>
      </c>
      <c r="B18" s="13" t="s">
        <v>75</v>
      </c>
      <c r="C18" s="13"/>
      <c r="D18" s="13"/>
      <c r="E18" s="13"/>
      <c r="F18" s="1" t="s">
        <v>74</v>
      </c>
      <c r="I18" s="29">
        <v>85</v>
      </c>
      <c r="J18" s="30"/>
      <c r="K18" s="29">
        <v>57</v>
      </c>
      <c r="L18" s="28"/>
      <c r="M18" s="29">
        <v>142</v>
      </c>
      <c r="N18" s="29"/>
      <c r="O18" s="29">
        <v>0</v>
      </c>
      <c r="P18" s="28"/>
      <c r="Q18" s="29">
        <v>142</v>
      </c>
      <c r="R18" s="67">
        <v>142</v>
      </c>
      <c r="S18" s="29">
        <v>142</v>
      </c>
    </row>
    <row r="19" spans="1:20">
      <c r="A19" s="13">
        <v>4</v>
      </c>
      <c r="B19" s="13" t="s">
        <v>73</v>
      </c>
      <c r="C19" s="13"/>
      <c r="D19" s="13"/>
      <c r="E19" s="13"/>
      <c r="F19" s="1" t="s">
        <v>72</v>
      </c>
      <c r="I19" s="29">
        <v>158</v>
      </c>
      <c r="J19" s="30"/>
      <c r="K19" s="29">
        <v>15</v>
      </c>
      <c r="L19" s="28"/>
      <c r="M19" s="29">
        <v>173</v>
      </c>
      <c r="N19" s="29"/>
      <c r="O19" s="29">
        <v>0</v>
      </c>
      <c r="P19" s="28"/>
      <c r="Q19" s="29">
        <v>173</v>
      </c>
      <c r="R19" s="67">
        <v>173</v>
      </c>
      <c r="S19" s="29">
        <v>173</v>
      </c>
    </row>
    <row r="20" spans="1:20">
      <c r="A20" s="13">
        <v>5</v>
      </c>
      <c r="B20" s="56" t="s">
        <v>71</v>
      </c>
      <c r="C20" s="13"/>
      <c r="D20" s="13"/>
      <c r="E20" s="13"/>
      <c r="F20" s="1" t="s">
        <v>70</v>
      </c>
      <c r="I20" s="29">
        <v>50</v>
      </c>
      <c r="J20" s="29"/>
      <c r="K20" s="29">
        <v>-25</v>
      </c>
      <c r="L20" s="44"/>
      <c r="M20" s="29">
        <v>25</v>
      </c>
      <c r="N20" s="29"/>
      <c r="O20" s="29">
        <v>0</v>
      </c>
      <c r="P20" s="44"/>
      <c r="Q20" s="29">
        <v>25</v>
      </c>
      <c r="R20" s="67">
        <v>25</v>
      </c>
      <c r="S20" s="29">
        <v>25</v>
      </c>
    </row>
    <row r="21" spans="1:20">
      <c r="A21" s="13"/>
      <c r="B21" s="56"/>
      <c r="C21" s="13"/>
      <c r="D21" s="13"/>
      <c r="E21" s="13"/>
      <c r="I21" s="29"/>
      <c r="J21" s="29"/>
      <c r="K21" s="29"/>
      <c r="L21" s="44"/>
      <c r="M21" s="29"/>
      <c r="N21" s="29"/>
      <c r="O21" s="29"/>
      <c r="P21" s="44"/>
      <c r="Q21" s="29"/>
      <c r="R21" s="67"/>
      <c r="S21" s="29"/>
    </row>
    <row r="22" spans="1:20">
      <c r="A22" s="13"/>
      <c r="B22" s="56"/>
      <c r="C22" s="13"/>
      <c r="D22" s="13"/>
      <c r="E22" s="13"/>
      <c r="F22" s="18" t="s">
        <v>69</v>
      </c>
      <c r="I22" s="40">
        <v>621</v>
      </c>
      <c r="J22" s="30"/>
      <c r="K22" s="40">
        <v>31</v>
      </c>
      <c r="L22" s="28"/>
      <c r="M22" s="40">
        <v>652</v>
      </c>
      <c r="N22" s="41"/>
      <c r="O22" s="40">
        <v>0</v>
      </c>
      <c r="P22" s="28"/>
      <c r="Q22" s="40">
        <v>652</v>
      </c>
      <c r="R22" s="68">
        <v>652</v>
      </c>
      <c r="S22" s="40">
        <v>652</v>
      </c>
      <c r="T22" s="40"/>
    </row>
    <row r="23" spans="1:20">
      <c r="A23" s="13"/>
      <c r="B23" s="56"/>
      <c r="C23" s="13"/>
      <c r="D23" s="13"/>
      <c r="E23" s="13"/>
      <c r="I23" s="29"/>
      <c r="J23" s="30"/>
      <c r="K23" s="29"/>
      <c r="L23" s="28"/>
      <c r="M23" s="29"/>
      <c r="N23" s="29"/>
      <c r="O23" s="29"/>
      <c r="P23" s="28"/>
      <c r="Q23" s="29"/>
      <c r="R23" s="67"/>
      <c r="S23" s="29"/>
    </row>
    <row r="24" spans="1:20">
      <c r="A24" s="13"/>
      <c r="B24" s="56"/>
      <c r="C24" s="13"/>
      <c r="D24" s="13"/>
      <c r="E24" s="13"/>
      <c r="F24" s="35" t="s">
        <v>68</v>
      </c>
      <c r="I24" s="29"/>
      <c r="J24" s="30"/>
      <c r="K24" s="29"/>
      <c r="L24" s="28"/>
      <c r="M24" s="29"/>
      <c r="N24" s="29"/>
      <c r="O24" s="29"/>
      <c r="P24" s="28"/>
      <c r="Q24" s="29"/>
      <c r="R24" s="67"/>
      <c r="S24" s="29"/>
    </row>
    <row r="25" spans="1:20">
      <c r="A25" s="13"/>
      <c r="B25" s="56"/>
      <c r="C25" s="13"/>
      <c r="D25" s="13"/>
      <c r="E25" s="13"/>
      <c r="F25" s="35"/>
      <c r="I25" s="29"/>
      <c r="J25" s="30"/>
      <c r="K25" s="29"/>
      <c r="L25" s="28"/>
      <c r="M25" s="29"/>
      <c r="N25" s="29"/>
      <c r="O25" s="29"/>
      <c r="P25" s="28"/>
      <c r="Q25" s="29"/>
      <c r="R25" s="67"/>
      <c r="S25" s="29"/>
    </row>
    <row r="26" spans="1:20">
      <c r="A26" s="13">
        <v>6</v>
      </c>
      <c r="B26" s="56" t="s">
        <v>67</v>
      </c>
      <c r="C26" s="13" t="s">
        <v>66</v>
      </c>
      <c r="D26" s="13" t="s">
        <v>65</v>
      </c>
      <c r="E26" s="13"/>
      <c r="F26" s="1" t="s">
        <v>64</v>
      </c>
      <c r="I26" s="29">
        <v>107</v>
      </c>
      <c r="J26" s="30"/>
      <c r="K26" s="29">
        <v>-32</v>
      </c>
      <c r="L26" s="28"/>
      <c r="M26" s="29">
        <v>75</v>
      </c>
      <c r="N26" s="29"/>
      <c r="O26" s="29">
        <v>0</v>
      </c>
      <c r="P26" s="28"/>
      <c r="Q26" s="29">
        <v>75</v>
      </c>
      <c r="R26" s="67">
        <v>75</v>
      </c>
      <c r="S26" s="29">
        <v>75</v>
      </c>
    </row>
    <row r="27" spans="1:20">
      <c r="A27" s="13">
        <v>7</v>
      </c>
      <c r="B27" s="13" t="s">
        <v>63</v>
      </c>
      <c r="C27" s="13" t="s">
        <v>62</v>
      </c>
      <c r="D27" s="13" t="s">
        <v>61</v>
      </c>
      <c r="E27" s="13" t="s">
        <v>60</v>
      </c>
      <c r="F27" s="1" t="s">
        <v>59</v>
      </c>
      <c r="I27" s="29">
        <v>15</v>
      </c>
      <c r="J27" s="30"/>
      <c r="K27" s="29">
        <v>0</v>
      </c>
      <c r="L27" s="28"/>
      <c r="M27" s="29">
        <v>15</v>
      </c>
      <c r="N27" s="29"/>
      <c r="O27" s="29">
        <v>0</v>
      </c>
      <c r="P27" s="28"/>
      <c r="Q27" s="29">
        <v>15</v>
      </c>
      <c r="R27" s="67">
        <v>15</v>
      </c>
      <c r="S27" s="29">
        <v>15</v>
      </c>
    </row>
    <row r="28" spans="1:20">
      <c r="A28" s="13">
        <v>8</v>
      </c>
      <c r="B28" s="13" t="s">
        <v>58</v>
      </c>
      <c r="C28" s="13">
        <v>9802455</v>
      </c>
      <c r="D28" s="13" t="s">
        <v>57</v>
      </c>
      <c r="E28" s="13" t="s">
        <v>56</v>
      </c>
      <c r="F28" s="1" t="s">
        <v>55</v>
      </c>
      <c r="I28" s="29">
        <v>484</v>
      </c>
      <c r="J28" s="30"/>
      <c r="K28" s="29">
        <v>194</v>
      </c>
      <c r="L28" s="28"/>
      <c r="M28" s="29">
        <v>678</v>
      </c>
      <c r="N28" s="29"/>
      <c r="O28" s="29">
        <v>0</v>
      </c>
      <c r="P28" s="28"/>
      <c r="Q28" s="29">
        <v>678</v>
      </c>
      <c r="R28" s="67">
        <v>678</v>
      </c>
      <c r="S28" s="29">
        <v>678</v>
      </c>
    </row>
    <row r="29" spans="1:20">
      <c r="A29" s="13">
        <v>9</v>
      </c>
      <c r="B29" s="13" t="s">
        <v>54</v>
      </c>
      <c r="C29" s="13">
        <v>9802455</v>
      </c>
      <c r="D29" s="13">
        <v>566153</v>
      </c>
      <c r="E29" s="13" t="s">
        <v>53</v>
      </c>
      <c r="F29" s="1" t="s">
        <v>52</v>
      </c>
      <c r="I29" s="29">
        <v>421</v>
      </c>
      <c r="J29" s="30"/>
      <c r="K29" s="29">
        <v>22</v>
      </c>
      <c r="L29" s="28"/>
      <c r="M29" s="29">
        <v>443</v>
      </c>
      <c r="N29" s="29"/>
      <c r="O29" s="29">
        <v>0</v>
      </c>
      <c r="P29" s="28"/>
      <c r="Q29" s="29">
        <v>443</v>
      </c>
      <c r="R29" s="67">
        <v>443</v>
      </c>
      <c r="S29" s="29">
        <v>443</v>
      </c>
    </row>
    <row r="30" spans="1:20">
      <c r="A30" s="13">
        <v>10</v>
      </c>
      <c r="B30" s="13" t="s">
        <v>51</v>
      </c>
      <c r="C30" s="13">
        <v>9802455</v>
      </c>
      <c r="D30" s="13">
        <v>566152</v>
      </c>
      <c r="E30" s="13" t="s">
        <v>50</v>
      </c>
      <c r="F30" s="1" t="s">
        <v>49</v>
      </c>
      <c r="H30" s="31"/>
      <c r="I30" s="29">
        <v>41</v>
      </c>
      <c r="J30" s="30"/>
      <c r="K30" s="29">
        <v>0</v>
      </c>
      <c r="L30" s="28"/>
      <c r="M30" s="42">
        <v>41</v>
      </c>
      <c r="N30" s="29"/>
      <c r="O30" s="29">
        <v>0</v>
      </c>
      <c r="P30" s="28"/>
      <c r="Q30" s="42">
        <v>41</v>
      </c>
      <c r="R30" s="66">
        <v>41</v>
      </c>
      <c r="S30" s="42">
        <v>41</v>
      </c>
    </row>
    <row r="31" spans="1:20">
      <c r="A31" s="13"/>
      <c r="B31" s="13"/>
      <c r="C31" s="13"/>
      <c r="D31" s="13"/>
      <c r="E31" s="13"/>
      <c r="F31" s="18" t="s">
        <v>48</v>
      </c>
      <c r="I31" s="40">
        <v>1068</v>
      </c>
      <c r="J31" s="30"/>
      <c r="K31" s="40">
        <v>184</v>
      </c>
      <c r="L31" s="32"/>
      <c r="M31" s="40">
        <v>1252</v>
      </c>
      <c r="N31" s="41"/>
      <c r="O31" s="40">
        <v>0</v>
      </c>
      <c r="P31" s="32"/>
      <c r="Q31" s="40">
        <v>1252</v>
      </c>
      <c r="R31" s="68">
        <v>1252</v>
      </c>
      <c r="S31" s="40">
        <v>1252</v>
      </c>
      <c r="T31" s="40"/>
    </row>
    <row r="32" spans="1:20">
      <c r="A32" s="13"/>
      <c r="B32" s="13"/>
      <c r="C32" s="13"/>
      <c r="D32" s="13"/>
      <c r="E32" s="13"/>
      <c r="F32" s="18"/>
      <c r="I32" s="41"/>
      <c r="J32" s="30"/>
      <c r="K32" s="41"/>
      <c r="L32" s="32"/>
      <c r="M32" s="41"/>
      <c r="N32" s="41"/>
      <c r="O32" s="41"/>
      <c r="P32" s="32"/>
      <c r="Q32" s="41"/>
      <c r="R32" s="69"/>
      <c r="S32" s="41"/>
    </row>
    <row r="33" spans="1:20">
      <c r="A33" s="13"/>
      <c r="B33" s="13"/>
      <c r="C33" s="13"/>
      <c r="D33" s="13"/>
      <c r="E33" s="13"/>
      <c r="F33" s="35" t="s">
        <v>47</v>
      </c>
      <c r="I33" s="41"/>
      <c r="J33" s="30"/>
      <c r="K33" s="41"/>
      <c r="L33" s="32"/>
      <c r="M33" s="41"/>
      <c r="N33" s="41"/>
      <c r="O33" s="41"/>
      <c r="P33" s="32"/>
      <c r="Q33" s="41"/>
      <c r="R33" s="69"/>
      <c r="S33" s="41"/>
    </row>
    <row r="34" spans="1:20">
      <c r="B34" s="13"/>
      <c r="C34" s="13"/>
      <c r="D34" s="13"/>
      <c r="E34" s="13"/>
      <c r="F34" s="35"/>
      <c r="I34" s="41"/>
      <c r="J34" s="30"/>
      <c r="K34" s="41"/>
      <c r="L34" s="32"/>
      <c r="M34" s="41"/>
      <c r="N34" s="41"/>
      <c r="O34" s="41"/>
      <c r="P34" s="32"/>
      <c r="Q34" s="41"/>
      <c r="R34" s="69"/>
      <c r="S34" s="41"/>
    </row>
    <row r="35" spans="1:20">
      <c r="A35" s="13">
        <v>11</v>
      </c>
      <c r="B35" s="13" t="s">
        <v>46</v>
      </c>
      <c r="F35" s="1" t="s">
        <v>45</v>
      </c>
      <c r="I35" s="29">
        <v>9</v>
      </c>
      <c r="J35" s="30"/>
      <c r="K35" s="29">
        <v>0</v>
      </c>
      <c r="L35" s="28"/>
      <c r="M35" s="29">
        <v>9</v>
      </c>
      <c r="N35" s="29"/>
      <c r="O35" s="29">
        <v>0</v>
      </c>
      <c r="P35" s="28"/>
      <c r="Q35" s="29">
        <v>9</v>
      </c>
      <c r="R35" s="67">
        <v>9</v>
      </c>
      <c r="S35" s="29">
        <v>9</v>
      </c>
    </row>
    <row r="36" spans="1:20">
      <c r="A36" s="13">
        <v>12</v>
      </c>
      <c r="B36" s="13" t="s">
        <v>44</v>
      </c>
      <c r="F36" s="1" t="s">
        <v>43</v>
      </c>
      <c r="I36" s="29">
        <v>23</v>
      </c>
      <c r="J36" s="30"/>
      <c r="K36" s="29">
        <v>0</v>
      </c>
      <c r="L36" s="28"/>
      <c r="M36" s="29">
        <v>23</v>
      </c>
      <c r="N36" s="29"/>
      <c r="O36" s="29">
        <v>0</v>
      </c>
      <c r="P36" s="28"/>
      <c r="Q36" s="29">
        <v>23</v>
      </c>
      <c r="R36" s="67">
        <v>23</v>
      </c>
      <c r="S36" s="29">
        <v>23</v>
      </c>
    </row>
    <row r="37" spans="1:20">
      <c r="A37" s="13"/>
      <c r="B37" s="13"/>
      <c r="C37" s="13"/>
      <c r="D37" s="13"/>
      <c r="E37" s="13"/>
      <c r="F37" s="18" t="s">
        <v>42</v>
      </c>
      <c r="I37" s="40">
        <v>32</v>
      </c>
      <c r="J37" s="30"/>
      <c r="K37" s="40">
        <v>0</v>
      </c>
      <c r="L37" s="32"/>
      <c r="M37" s="40">
        <v>32</v>
      </c>
      <c r="N37" s="41"/>
      <c r="O37" s="40">
        <v>0</v>
      </c>
      <c r="P37" s="32"/>
      <c r="Q37" s="40">
        <v>32</v>
      </c>
      <c r="R37" s="68">
        <v>32</v>
      </c>
      <c r="S37" s="40">
        <v>32</v>
      </c>
      <c r="T37" s="40"/>
    </row>
    <row r="38" spans="1:20">
      <c r="A38" s="13"/>
      <c r="B38" s="13"/>
      <c r="C38" s="13"/>
      <c r="D38" s="13"/>
      <c r="E38" s="13"/>
      <c r="I38" s="36"/>
      <c r="J38" s="38"/>
      <c r="K38" s="36"/>
      <c r="L38" s="37"/>
      <c r="M38" s="36"/>
      <c r="N38" s="29"/>
      <c r="O38" s="36"/>
      <c r="P38" s="37"/>
      <c r="Q38" s="36"/>
      <c r="R38" s="67"/>
      <c r="S38" s="36"/>
    </row>
    <row r="39" spans="1:20">
      <c r="A39" s="13"/>
      <c r="B39" s="13"/>
      <c r="C39" s="13"/>
      <c r="D39" s="13"/>
      <c r="E39" s="13"/>
      <c r="F39" s="18" t="s">
        <v>41</v>
      </c>
      <c r="I39" s="39">
        <v>1783</v>
      </c>
      <c r="J39" s="38"/>
      <c r="K39" s="39">
        <v>236</v>
      </c>
      <c r="L39" s="37"/>
      <c r="M39" s="39">
        <v>2019</v>
      </c>
      <c r="N39" s="29"/>
      <c r="O39" s="39">
        <v>0</v>
      </c>
      <c r="P39" s="37"/>
      <c r="Q39" s="39">
        <v>2019</v>
      </c>
      <c r="R39" s="70">
        <v>2019</v>
      </c>
      <c r="S39" s="39">
        <v>2019</v>
      </c>
      <c r="T39" s="39">
        <v>0</v>
      </c>
    </row>
    <row r="40" spans="1:20">
      <c r="B40" s="13"/>
      <c r="C40" s="13"/>
      <c r="D40" s="13"/>
      <c r="E40" s="13"/>
      <c r="I40" s="36"/>
      <c r="J40" s="38"/>
      <c r="K40" s="36"/>
      <c r="L40" s="37"/>
      <c r="M40" s="36"/>
      <c r="N40" s="29"/>
      <c r="O40" s="36"/>
      <c r="P40" s="37"/>
      <c r="Q40" s="36"/>
      <c r="R40" s="67"/>
      <c r="S40" s="36"/>
    </row>
    <row r="41" spans="1:20">
      <c r="A41" s="13"/>
      <c r="B41" s="13"/>
      <c r="F41" s="35" t="s">
        <v>40</v>
      </c>
      <c r="I41" s="33"/>
      <c r="K41" s="33"/>
      <c r="M41" s="33"/>
      <c r="N41" s="34"/>
      <c r="O41" s="33"/>
      <c r="Q41" s="33"/>
      <c r="R41" s="71"/>
      <c r="S41" s="33"/>
    </row>
    <row r="42" spans="1:20">
      <c r="A42" s="13"/>
      <c r="B42" s="13"/>
      <c r="F42" s="35"/>
      <c r="I42" s="33"/>
      <c r="K42" s="33"/>
      <c r="M42" s="33"/>
      <c r="N42" s="34"/>
      <c r="O42" s="33"/>
      <c r="Q42" s="33"/>
      <c r="R42" s="71"/>
      <c r="S42" s="33"/>
    </row>
    <row r="43" spans="1:20">
      <c r="A43" s="13">
        <v>13</v>
      </c>
      <c r="B43" s="13" t="s">
        <v>39</v>
      </c>
      <c r="F43" s="1" t="s">
        <v>38</v>
      </c>
      <c r="G43" s="31"/>
      <c r="H43" s="31"/>
      <c r="I43" s="20">
        <v>5982</v>
      </c>
      <c r="J43" s="30"/>
      <c r="K43" s="29">
        <v>271</v>
      </c>
      <c r="L43" s="28"/>
      <c r="M43" s="20">
        <v>6253</v>
      </c>
      <c r="N43" s="20"/>
      <c r="O43" s="29">
        <v>0</v>
      </c>
      <c r="P43" s="28"/>
      <c r="Q43" s="20">
        <v>6253</v>
      </c>
      <c r="R43" s="72">
        <v>6253</v>
      </c>
      <c r="S43" s="20">
        <v>6253</v>
      </c>
    </row>
    <row r="44" spans="1:20" s="31" customFormat="1">
      <c r="A44" s="13">
        <v>14</v>
      </c>
      <c r="B44" s="13" t="s">
        <v>37</v>
      </c>
      <c r="C44" s="25"/>
      <c r="D44" s="25"/>
      <c r="E44" s="25"/>
      <c r="F44" s="1" t="s">
        <v>36</v>
      </c>
      <c r="I44" s="20">
        <v>1079</v>
      </c>
      <c r="J44" s="30"/>
      <c r="K44" s="29">
        <v>0</v>
      </c>
      <c r="L44" s="28"/>
      <c r="M44" s="27">
        <v>1815</v>
      </c>
      <c r="N44" s="20"/>
      <c r="O44" s="29">
        <v>0</v>
      </c>
      <c r="P44" s="28"/>
      <c r="Q44" s="27">
        <v>1815</v>
      </c>
      <c r="R44" s="73">
        <v>1815</v>
      </c>
      <c r="S44" s="20">
        <v>1079</v>
      </c>
      <c r="T44" s="26">
        <f>M44-S44</f>
        <v>736</v>
      </c>
    </row>
    <row r="45" spans="1:20" s="31" customFormat="1">
      <c r="A45" s="23">
        <v>15</v>
      </c>
      <c r="B45" s="23" t="s">
        <v>35</v>
      </c>
      <c r="C45" s="25"/>
      <c r="D45" s="25"/>
      <c r="E45" s="25"/>
      <c r="F45" s="31" t="s">
        <v>34</v>
      </c>
      <c r="I45" s="20">
        <v>1628</v>
      </c>
      <c r="J45" s="30"/>
      <c r="K45" s="29">
        <v>-6</v>
      </c>
      <c r="L45" s="28"/>
      <c r="M45" s="27">
        <v>2274</v>
      </c>
      <c r="N45" s="20"/>
      <c r="O45" s="29">
        <v>0</v>
      </c>
      <c r="P45" s="28"/>
      <c r="Q45" s="27">
        <v>2274</v>
      </c>
      <c r="R45" s="73">
        <v>2274</v>
      </c>
      <c r="S45" s="20">
        <v>1622</v>
      </c>
      <c r="T45" s="26">
        <f>M45-S45</f>
        <v>652</v>
      </c>
    </row>
    <row r="46" spans="1:20" s="31" customFormat="1">
      <c r="A46" s="13">
        <v>16</v>
      </c>
      <c r="B46" s="13" t="s">
        <v>33</v>
      </c>
      <c r="C46" s="25"/>
      <c r="D46" s="25"/>
      <c r="E46" s="25"/>
      <c r="F46" s="1" t="s">
        <v>32</v>
      </c>
      <c r="I46" s="20">
        <v>360</v>
      </c>
      <c r="J46" s="30"/>
      <c r="K46" s="29">
        <v>0</v>
      </c>
      <c r="L46" s="28"/>
      <c r="M46" s="20">
        <v>360</v>
      </c>
      <c r="N46" s="20"/>
      <c r="O46" s="29">
        <v>0</v>
      </c>
      <c r="P46" s="28"/>
      <c r="Q46" s="20">
        <v>360</v>
      </c>
      <c r="R46" s="72">
        <v>360</v>
      </c>
      <c r="S46" s="20">
        <v>360</v>
      </c>
    </row>
    <row r="47" spans="1:20" s="31" customFormat="1">
      <c r="A47" s="13">
        <v>17</v>
      </c>
      <c r="B47" s="13" t="s">
        <v>31</v>
      </c>
      <c r="C47" s="25"/>
      <c r="D47" s="25"/>
      <c r="E47" s="25"/>
      <c r="F47" s="1" t="s">
        <v>30</v>
      </c>
      <c r="I47" s="20">
        <v>74</v>
      </c>
      <c r="J47" s="30"/>
      <c r="K47" s="29">
        <v>0</v>
      </c>
      <c r="L47" s="28"/>
      <c r="M47" s="20">
        <v>74</v>
      </c>
      <c r="N47" s="20"/>
      <c r="O47" s="29">
        <v>0</v>
      </c>
      <c r="P47" s="28"/>
      <c r="Q47" s="20">
        <v>74</v>
      </c>
      <c r="R47" s="72">
        <v>74</v>
      </c>
      <c r="S47" s="20">
        <v>74</v>
      </c>
    </row>
    <row r="48" spans="1:20" s="31" customFormat="1">
      <c r="A48" s="13">
        <v>18</v>
      </c>
      <c r="B48" s="13" t="s">
        <v>29</v>
      </c>
      <c r="C48" s="25"/>
      <c r="D48" s="25"/>
      <c r="E48" s="25"/>
      <c r="F48" s="1" t="s">
        <v>28</v>
      </c>
      <c r="I48" s="20">
        <v>3517</v>
      </c>
      <c r="J48" s="30"/>
      <c r="K48" s="29">
        <v>-690</v>
      </c>
      <c r="L48" s="28"/>
      <c r="M48" s="20">
        <v>2827</v>
      </c>
      <c r="N48" s="20"/>
      <c r="O48" s="29">
        <v>0</v>
      </c>
      <c r="P48" s="28"/>
      <c r="Q48" s="20">
        <v>2827</v>
      </c>
      <c r="R48" s="72">
        <v>2827</v>
      </c>
      <c r="S48" s="20">
        <v>2827</v>
      </c>
    </row>
    <row r="49" spans="1:20" s="31" customFormat="1">
      <c r="A49" s="23">
        <v>19</v>
      </c>
      <c r="B49" s="23" t="s">
        <v>27</v>
      </c>
      <c r="C49" s="25"/>
      <c r="D49" s="25"/>
      <c r="E49" s="25"/>
      <c r="F49" s="31" t="s">
        <v>26</v>
      </c>
      <c r="I49" s="20">
        <v>247</v>
      </c>
      <c r="J49" s="30"/>
      <c r="K49" s="29">
        <v>-17</v>
      </c>
      <c r="L49" s="28"/>
      <c r="M49" s="20">
        <v>230</v>
      </c>
      <c r="N49" s="20"/>
      <c r="O49" s="29">
        <v>0</v>
      </c>
      <c r="P49" s="28"/>
      <c r="Q49" s="20">
        <v>230</v>
      </c>
      <c r="R49" s="72">
        <v>230</v>
      </c>
      <c r="S49" s="20">
        <v>230</v>
      </c>
    </row>
    <row r="50" spans="1:20" s="31" customFormat="1">
      <c r="A50" s="13">
        <v>20</v>
      </c>
      <c r="B50" s="13" t="s">
        <v>25</v>
      </c>
      <c r="C50" s="25"/>
      <c r="D50" s="25"/>
      <c r="E50" s="25"/>
      <c r="F50" s="1" t="s">
        <v>24</v>
      </c>
      <c r="I50" s="20">
        <v>28</v>
      </c>
      <c r="J50" s="30"/>
      <c r="K50" s="29">
        <v>0</v>
      </c>
      <c r="L50" s="28"/>
      <c r="M50" s="20">
        <v>28</v>
      </c>
      <c r="N50" s="20"/>
      <c r="O50" s="29">
        <v>0</v>
      </c>
      <c r="P50" s="28"/>
      <c r="Q50" s="20">
        <v>28</v>
      </c>
      <c r="R50" s="72">
        <v>28</v>
      </c>
      <c r="S50" s="20">
        <v>28</v>
      </c>
    </row>
    <row r="51" spans="1:20" s="31" customFormat="1">
      <c r="A51" s="13">
        <v>21</v>
      </c>
      <c r="B51" s="13" t="s">
        <v>23</v>
      </c>
      <c r="C51" s="25"/>
      <c r="D51" s="25"/>
      <c r="E51" s="25"/>
      <c r="F51" s="1" t="s">
        <v>22</v>
      </c>
      <c r="I51" s="20">
        <v>8</v>
      </c>
      <c r="K51" s="29">
        <v>0</v>
      </c>
      <c r="L51" s="32"/>
      <c r="M51" s="20">
        <v>8</v>
      </c>
      <c r="N51" s="20"/>
      <c r="O51" s="29">
        <v>0</v>
      </c>
      <c r="P51" s="32"/>
      <c r="Q51" s="20">
        <v>8</v>
      </c>
      <c r="R51" s="72">
        <v>8</v>
      </c>
      <c r="S51" s="20">
        <v>8</v>
      </c>
    </row>
    <row r="52" spans="1:20" s="31" customFormat="1">
      <c r="A52" s="13">
        <v>22</v>
      </c>
      <c r="B52" s="13" t="s">
        <v>21</v>
      </c>
      <c r="C52" s="25"/>
      <c r="D52" s="25"/>
      <c r="E52" s="25"/>
      <c r="F52" s="1" t="s">
        <v>20</v>
      </c>
      <c r="I52" s="20">
        <v>200</v>
      </c>
      <c r="J52" s="30"/>
      <c r="K52" s="29">
        <v>-200</v>
      </c>
      <c r="L52" s="28"/>
      <c r="M52" s="20">
        <v>0</v>
      </c>
      <c r="N52" s="20"/>
      <c r="O52" s="29">
        <v>0</v>
      </c>
      <c r="P52" s="28"/>
      <c r="Q52" s="20">
        <v>0</v>
      </c>
      <c r="R52" s="72">
        <v>0</v>
      </c>
      <c r="S52" s="20">
        <v>0</v>
      </c>
    </row>
    <row r="53" spans="1:20" s="31" customFormat="1">
      <c r="A53" s="13">
        <v>23</v>
      </c>
      <c r="B53" s="13" t="s">
        <v>19</v>
      </c>
      <c r="C53" s="25"/>
      <c r="D53" s="25"/>
      <c r="E53" s="25"/>
      <c r="F53" s="1" t="s">
        <v>18</v>
      </c>
      <c r="I53" s="20">
        <v>52</v>
      </c>
      <c r="J53" s="30"/>
      <c r="K53" s="29">
        <v>0</v>
      </c>
      <c r="L53" s="28"/>
      <c r="M53" s="20">
        <v>52</v>
      </c>
      <c r="N53" s="20"/>
      <c r="O53" s="29">
        <v>0</v>
      </c>
      <c r="P53" s="28"/>
      <c r="Q53" s="20">
        <v>52</v>
      </c>
      <c r="R53" s="72">
        <v>52</v>
      </c>
      <c r="S53" s="20">
        <v>52</v>
      </c>
    </row>
    <row r="54" spans="1:20" s="31" customFormat="1">
      <c r="A54" s="13">
        <v>24</v>
      </c>
      <c r="B54" s="13" t="s">
        <v>17</v>
      </c>
      <c r="C54" s="25"/>
      <c r="D54" s="25"/>
      <c r="E54" s="25"/>
      <c r="F54" s="1" t="s">
        <v>16</v>
      </c>
      <c r="I54" s="20">
        <v>9</v>
      </c>
      <c r="J54" s="30"/>
      <c r="K54" s="29">
        <v>0</v>
      </c>
      <c r="L54" s="28"/>
      <c r="M54" s="20">
        <v>9</v>
      </c>
      <c r="N54" s="20"/>
      <c r="O54" s="29">
        <v>0</v>
      </c>
      <c r="P54" s="28"/>
      <c r="Q54" s="20">
        <v>9</v>
      </c>
      <c r="R54" s="72">
        <v>9</v>
      </c>
      <c r="S54" s="20">
        <v>9</v>
      </c>
    </row>
    <row r="55" spans="1:20" s="31" customFormat="1">
      <c r="A55" s="13">
        <v>25</v>
      </c>
      <c r="B55" s="13" t="s">
        <v>15</v>
      </c>
      <c r="C55" s="25"/>
      <c r="D55" s="25"/>
      <c r="E55" s="25"/>
      <c r="F55" s="1" t="s">
        <v>14</v>
      </c>
      <c r="I55" s="20">
        <v>3192</v>
      </c>
      <c r="J55" s="30"/>
      <c r="K55" s="29">
        <v>0</v>
      </c>
      <c r="L55" s="28"/>
      <c r="M55" s="20">
        <v>3192</v>
      </c>
      <c r="N55" s="20"/>
      <c r="O55" s="29">
        <v>0</v>
      </c>
      <c r="P55" s="28"/>
      <c r="Q55" s="20">
        <v>3192</v>
      </c>
      <c r="R55" s="72">
        <v>3192</v>
      </c>
      <c r="S55" s="20">
        <v>3192</v>
      </c>
    </row>
    <row r="56" spans="1:20" s="31" customFormat="1">
      <c r="A56" s="13">
        <v>26</v>
      </c>
      <c r="B56" s="13" t="s">
        <v>13</v>
      </c>
      <c r="C56" s="25"/>
      <c r="D56" s="25"/>
      <c r="E56" s="25"/>
      <c r="F56" s="1" t="s">
        <v>12</v>
      </c>
      <c r="I56" s="20">
        <v>600</v>
      </c>
      <c r="J56" s="30"/>
      <c r="K56" s="29">
        <v>0</v>
      </c>
      <c r="L56" s="28"/>
      <c r="M56" s="20">
        <v>600</v>
      </c>
      <c r="N56" s="20"/>
      <c r="O56" s="29">
        <v>-600</v>
      </c>
      <c r="P56" s="28"/>
      <c r="Q56" s="20">
        <v>0</v>
      </c>
      <c r="R56" s="74">
        <v>300</v>
      </c>
      <c r="S56" s="20">
        <v>300</v>
      </c>
    </row>
    <row r="57" spans="1:20" s="31" customFormat="1">
      <c r="A57" s="13">
        <v>27</v>
      </c>
      <c r="B57" s="13" t="s">
        <v>11</v>
      </c>
      <c r="C57" s="25"/>
      <c r="D57" s="25"/>
      <c r="E57" s="25"/>
      <c r="F57" s="1" t="s">
        <v>10</v>
      </c>
      <c r="I57" s="20">
        <v>6</v>
      </c>
      <c r="J57" s="30"/>
      <c r="K57" s="29">
        <v>0</v>
      </c>
      <c r="L57" s="28"/>
      <c r="M57" s="20">
        <v>6</v>
      </c>
      <c r="N57" s="20"/>
      <c r="O57" s="29">
        <v>0</v>
      </c>
      <c r="P57" s="28"/>
      <c r="Q57" s="20">
        <v>6</v>
      </c>
      <c r="R57" s="72">
        <v>6</v>
      </c>
      <c r="S57" s="20">
        <v>6</v>
      </c>
    </row>
    <row r="58" spans="1:20">
      <c r="A58" s="13">
        <v>28</v>
      </c>
      <c r="B58" s="13" t="s">
        <v>9</v>
      </c>
      <c r="F58" s="1" t="s">
        <v>8</v>
      </c>
      <c r="H58" s="31"/>
      <c r="I58" s="20">
        <v>88</v>
      </c>
      <c r="J58" s="30"/>
      <c r="K58" s="29">
        <v>0</v>
      </c>
      <c r="L58" s="28"/>
      <c r="M58" s="27">
        <v>94</v>
      </c>
      <c r="N58" s="20"/>
      <c r="O58" s="29">
        <v>0</v>
      </c>
      <c r="P58" s="28"/>
      <c r="Q58" s="27">
        <v>94</v>
      </c>
      <c r="R58" s="73">
        <v>94</v>
      </c>
      <c r="S58" s="20">
        <v>88</v>
      </c>
      <c r="T58" s="26">
        <f>M58-S58</f>
        <v>6</v>
      </c>
    </row>
    <row r="59" spans="1:20">
      <c r="A59" s="23"/>
      <c r="B59" s="25"/>
      <c r="F59" s="18"/>
      <c r="I59" s="15">
        <v>17070</v>
      </c>
      <c r="J59" s="18"/>
      <c r="K59" s="15">
        <v>-642</v>
      </c>
      <c r="M59" s="24">
        <f>SUM(M43:M58)</f>
        <v>17822</v>
      </c>
      <c r="N59" s="16"/>
      <c r="O59" s="15">
        <v>-600</v>
      </c>
      <c r="Q59" s="24">
        <f>SUM(Q43:Q58)</f>
        <v>17222</v>
      </c>
      <c r="R59" s="75">
        <f>SUM(R43:R58)</f>
        <v>17522</v>
      </c>
      <c r="S59" s="24">
        <f>SUM(S43:S58)</f>
        <v>16128</v>
      </c>
      <c r="T59" s="24">
        <f>SUM(T43:T58)</f>
        <v>1394</v>
      </c>
    </row>
    <row r="60" spans="1:20" ht="13.5" thickBot="1">
      <c r="A60" s="23"/>
      <c r="I60" s="19"/>
      <c r="K60" s="19"/>
      <c r="M60" s="21" t="s">
        <v>7</v>
      </c>
      <c r="N60" s="22"/>
      <c r="O60" s="19"/>
      <c r="Q60" s="19"/>
      <c r="R60" s="72"/>
      <c r="S60" s="21" t="s">
        <v>6</v>
      </c>
      <c r="T60" s="21" t="s">
        <v>5</v>
      </c>
    </row>
    <row r="61" spans="1:20" ht="13.5" thickBot="1">
      <c r="A61" s="13"/>
      <c r="F61" s="18" t="s">
        <v>4</v>
      </c>
      <c r="I61" s="15">
        <v>17070</v>
      </c>
      <c r="K61" s="15">
        <v>-642</v>
      </c>
      <c r="M61" s="15">
        <f>M59</f>
        <v>17822</v>
      </c>
      <c r="N61" s="16"/>
      <c r="O61" s="15">
        <v>-600</v>
      </c>
      <c r="Q61" s="15">
        <f>Q59</f>
        <v>17222</v>
      </c>
      <c r="R61" s="62">
        <f>R59</f>
        <v>17522</v>
      </c>
      <c r="S61" s="15">
        <f>S59</f>
        <v>16128</v>
      </c>
      <c r="T61" s="15">
        <f>T59</f>
        <v>1394</v>
      </c>
    </row>
    <row r="62" spans="1:20">
      <c r="I62" s="19"/>
      <c r="K62" s="19"/>
      <c r="M62" s="19"/>
      <c r="N62" s="20"/>
      <c r="O62" s="19"/>
      <c r="Q62" s="19"/>
      <c r="R62" s="72"/>
      <c r="S62" s="19"/>
      <c r="T62" s="19"/>
    </row>
    <row r="63" spans="1:20" ht="13.5" thickBot="1">
      <c r="A63" s="13"/>
      <c r="F63" s="18" t="s">
        <v>3</v>
      </c>
      <c r="I63" s="15">
        <f>I39-I61</f>
        <v>-15287</v>
      </c>
      <c r="J63" s="17"/>
      <c r="K63" s="15">
        <f>K39-K61</f>
        <v>878</v>
      </c>
      <c r="M63" s="15">
        <f>M39-M61</f>
        <v>-15803</v>
      </c>
      <c r="N63" s="16"/>
      <c r="O63" s="15">
        <v>600</v>
      </c>
      <c r="Q63" s="15">
        <f>Q39-Q61</f>
        <v>-15203</v>
      </c>
      <c r="R63" s="76">
        <f>R39-R61</f>
        <v>-15503</v>
      </c>
      <c r="S63" s="15">
        <f>S39-S61</f>
        <v>-14109</v>
      </c>
      <c r="T63" s="14">
        <f>T39-T61</f>
        <v>-1394</v>
      </c>
    </row>
    <row r="64" spans="1:20">
      <c r="K64" s="1"/>
      <c r="O64" s="1"/>
    </row>
    <row r="65" spans="1:20">
      <c r="A65" s="13"/>
      <c r="F65" s="7" t="s">
        <v>2</v>
      </c>
      <c r="G65" s="12" t="s">
        <v>0</v>
      </c>
      <c r="H65" s="12"/>
      <c r="I65" s="7"/>
      <c r="J65" s="7"/>
      <c r="K65" s="7"/>
      <c r="L65" s="9"/>
      <c r="M65" s="7"/>
      <c r="N65" s="8"/>
      <c r="O65" s="1"/>
      <c r="S65" s="11">
        <v>0.65629999999999999</v>
      </c>
      <c r="T65" s="10">
        <f>T63*S65</f>
        <v>-914.88220000000001</v>
      </c>
    </row>
    <row r="66" spans="1:20" ht="13.5" thickBot="1">
      <c r="F66" s="7" t="s">
        <v>1</v>
      </c>
      <c r="G66" s="7"/>
      <c r="H66" s="7"/>
      <c r="I66" s="7"/>
      <c r="J66" s="7"/>
      <c r="K66" s="7"/>
      <c r="L66" s="9"/>
      <c r="M66" s="7"/>
      <c r="N66" s="8"/>
      <c r="O66" s="1"/>
      <c r="S66" s="7"/>
      <c r="T66" s="6">
        <f>T65*0.65/0.61931</f>
        <v>-960.21932473236348</v>
      </c>
    </row>
    <row r="67" spans="1:20" ht="15.75" thickTop="1">
      <c r="F67" s="162" t="s">
        <v>109</v>
      </c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</row>
    <row r="68" spans="1:20">
      <c r="K68" s="1"/>
      <c r="O68" s="1"/>
    </row>
    <row r="69" spans="1:20">
      <c r="K69" s="1"/>
      <c r="O69" s="1"/>
    </row>
  </sheetData>
  <mergeCells count="7">
    <mergeCell ref="T4:T5"/>
    <mergeCell ref="F67:T67"/>
    <mergeCell ref="A1:M1"/>
    <mergeCell ref="A2:M2"/>
    <mergeCell ref="A3:M3"/>
    <mergeCell ref="A4:M4"/>
    <mergeCell ref="A5:M5"/>
  </mergeCells>
  <pageMargins left="1" right="0" top="0.75" bottom="0" header="0.5" footer="0.25"/>
  <pageSetup scale="62" orientation="portrait" r:id="rId1"/>
  <headerFooter scaleWithDoc="0" alignWithMargins="0">
    <oddHeader>&amp;CAttachment G - Backup (Transmission Revenue)&amp;RRevised Exhibit No. __(BAC-2)</oddHeader>
    <oddFooter>&amp;CNOVEMBER 2016 POWER SUPPLY UPDATE
&amp;R&amp;"-,Regular"Page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45"/>
  <sheetViews>
    <sheetView tabSelected="1" view="pageBreakPreview" zoomScale="115" zoomScaleNormal="100" zoomScaleSheetLayoutView="115" workbookViewId="0">
      <selection activeCell="I37" activeCellId="1" sqref="C29 I37"/>
    </sheetView>
  </sheetViews>
  <sheetFormatPr defaultColWidth="9.140625" defaultRowHeight="12.75"/>
  <cols>
    <col min="1" max="1" width="22.140625" style="164" customWidth="1"/>
    <col min="2" max="2" width="9.140625" style="164"/>
    <col min="3" max="3" width="11.28515625" style="164" customWidth="1"/>
    <col min="4" max="4" width="9.85546875" style="164" customWidth="1"/>
    <col min="5" max="5" width="2.85546875" style="164" customWidth="1"/>
    <col min="6" max="6" width="12.140625" style="164" customWidth="1"/>
    <col min="7" max="7" width="3.7109375" style="164" customWidth="1"/>
    <col min="8" max="8" width="3" style="164" customWidth="1"/>
    <col min="9" max="9" width="22.140625" style="164" customWidth="1"/>
    <col min="10" max="10" width="9.140625" style="164"/>
    <col min="11" max="11" width="11.28515625" style="164" customWidth="1"/>
    <col min="12" max="12" width="9.85546875" style="164" customWidth="1"/>
    <col min="13" max="13" width="3.42578125" style="164" customWidth="1"/>
    <col min="14" max="14" width="12.140625" style="164" customWidth="1"/>
    <col min="15" max="15" width="3.28515625" style="164" customWidth="1"/>
    <col min="16" max="16" width="11.42578125" style="164" bestFit="1" customWidth="1"/>
    <col min="17" max="17" width="1.85546875" style="164" customWidth="1"/>
    <col min="18" max="18" width="12.140625" style="164" customWidth="1"/>
    <col min="19" max="16384" width="9.140625" style="164"/>
  </cols>
  <sheetData>
    <row r="1" spans="1:18">
      <c r="A1" s="163" t="s">
        <v>104</v>
      </c>
      <c r="B1" s="163"/>
      <c r="C1" s="163"/>
      <c r="D1" s="163"/>
      <c r="E1" s="163"/>
      <c r="F1" s="163"/>
      <c r="G1" s="163"/>
      <c r="H1" s="163"/>
      <c r="I1" s="163" t="s">
        <v>104</v>
      </c>
      <c r="J1" s="163"/>
      <c r="K1" s="163"/>
      <c r="L1" s="163"/>
      <c r="M1" s="163"/>
      <c r="N1" s="163"/>
      <c r="P1" s="163"/>
      <c r="R1" s="163"/>
    </row>
    <row r="2" spans="1:18">
      <c r="A2" s="163" t="s">
        <v>216</v>
      </c>
      <c r="B2" s="163"/>
      <c r="C2" s="163"/>
      <c r="D2" s="163"/>
      <c r="E2" s="163"/>
      <c r="F2" s="163"/>
      <c r="G2" s="163"/>
      <c r="H2" s="163"/>
      <c r="I2" s="163" t="s">
        <v>216</v>
      </c>
      <c r="J2" s="163"/>
      <c r="K2" s="163"/>
      <c r="L2" s="163"/>
      <c r="M2" s="163"/>
      <c r="N2" s="163"/>
      <c r="P2" s="165" t="s">
        <v>95</v>
      </c>
      <c r="Q2" s="166"/>
      <c r="R2" s="165" t="s">
        <v>95</v>
      </c>
    </row>
    <row r="3" spans="1:18">
      <c r="A3" s="167" t="s">
        <v>217</v>
      </c>
      <c r="B3" s="163"/>
      <c r="C3" s="163"/>
      <c r="D3" s="163"/>
      <c r="E3" s="163"/>
      <c r="F3" s="163"/>
      <c r="G3" s="163"/>
      <c r="H3" s="163"/>
      <c r="I3" s="167" t="s">
        <v>218</v>
      </c>
      <c r="J3" s="163"/>
      <c r="K3" s="163"/>
      <c r="L3" s="163"/>
      <c r="M3" s="163"/>
      <c r="N3" s="163"/>
      <c r="P3" s="165" t="s">
        <v>219</v>
      </c>
      <c r="Q3" s="166"/>
      <c r="R3" s="165" t="s">
        <v>219</v>
      </c>
    </row>
    <row r="4" spans="1:18" ht="15.75" thickBot="1">
      <c r="A4" s="168" t="s">
        <v>220</v>
      </c>
      <c r="B4" s="168"/>
      <c r="C4" s="168"/>
      <c r="D4" s="168"/>
      <c r="E4" s="168"/>
      <c r="F4" s="168"/>
      <c r="G4" s="169"/>
      <c r="I4" s="168" t="s">
        <v>221</v>
      </c>
      <c r="J4" s="168"/>
      <c r="K4" s="168"/>
      <c r="L4" s="168"/>
      <c r="M4" s="168"/>
      <c r="N4" s="168"/>
      <c r="P4" s="165" t="s">
        <v>222</v>
      </c>
      <c r="Q4" s="166"/>
      <c r="R4" s="165" t="s">
        <v>222</v>
      </c>
    </row>
    <row r="5" spans="1:18" ht="13.5" thickBot="1">
      <c r="C5" s="170"/>
      <c r="D5" s="165" t="s">
        <v>223</v>
      </c>
      <c r="E5" s="170"/>
      <c r="F5" s="171" t="s">
        <v>224</v>
      </c>
      <c r="G5" s="169"/>
      <c r="H5" s="172"/>
      <c r="K5" s="170"/>
      <c r="L5" s="165" t="s">
        <v>223</v>
      </c>
      <c r="M5" s="170"/>
      <c r="P5" s="165" t="s">
        <v>223</v>
      </c>
      <c r="R5" s="165" t="s">
        <v>223</v>
      </c>
    </row>
    <row r="6" spans="1:18">
      <c r="D6" s="173" t="s">
        <v>225</v>
      </c>
      <c r="E6" s="173"/>
      <c r="F6" s="173" t="s">
        <v>124</v>
      </c>
      <c r="G6" s="169"/>
      <c r="L6" s="173" t="s">
        <v>225</v>
      </c>
      <c r="M6" s="173"/>
      <c r="N6" s="173" t="s">
        <v>124</v>
      </c>
      <c r="P6" s="174" t="s">
        <v>225</v>
      </c>
      <c r="R6" s="174" t="s">
        <v>124</v>
      </c>
    </row>
    <row r="7" spans="1:18">
      <c r="D7" s="173" t="s">
        <v>226</v>
      </c>
      <c r="E7" s="173"/>
      <c r="F7" s="173" t="s">
        <v>227</v>
      </c>
      <c r="G7" s="169"/>
      <c r="L7" s="173" t="s">
        <v>226</v>
      </c>
      <c r="M7" s="173"/>
      <c r="N7" s="173" t="s">
        <v>227</v>
      </c>
      <c r="P7" s="174" t="s">
        <v>226</v>
      </c>
      <c r="R7" s="174" t="s">
        <v>227</v>
      </c>
    </row>
    <row r="8" spans="1:18">
      <c r="D8" s="175" t="s">
        <v>228</v>
      </c>
      <c r="E8" s="175"/>
      <c r="F8" s="175" t="s">
        <v>229</v>
      </c>
      <c r="G8" s="176"/>
      <c r="L8" s="175" t="s">
        <v>228</v>
      </c>
      <c r="M8" s="175"/>
      <c r="N8" s="175" t="s">
        <v>229</v>
      </c>
      <c r="P8" s="177" t="s">
        <v>228</v>
      </c>
      <c r="R8" s="177" t="s">
        <v>229</v>
      </c>
    </row>
    <row r="9" spans="1:18">
      <c r="A9" s="164" t="s">
        <v>230</v>
      </c>
      <c r="E9" s="178"/>
      <c r="F9" s="179">
        <v>0.65629999999999999</v>
      </c>
      <c r="G9" s="180"/>
      <c r="H9" s="179"/>
      <c r="I9" s="164" t="s">
        <v>230</v>
      </c>
      <c r="M9" s="178"/>
      <c r="N9" s="179">
        <v>0.65629999999999999</v>
      </c>
      <c r="R9" s="179">
        <v>0.65629999999999999</v>
      </c>
    </row>
    <row r="10" spans="1:18">
      <c r="G10" s="169"/>
    </row>
    <row r="11" spans="1:18">
      <c r="A11" s="164" t="s">
        <v>231</v>
      </c>
      <c r="D11" s="181">
        <v>56678</v>
      </c>
      <c r="E11" s="182"/>
      <c r="F11" s="182">
        <f>F$9*D11</f>
        <v>37197.771399999998</v>
      </c>
      <c r="G11" s="183"/>
      <c r="H11" s="182"/>
      <c r="I11" s="164" t="s">
        <v>231</v>
      </c>
      <c r="L11" s="182">
        <v>57504</v>
      </c>
      <c r="M11" s="182"/>
      <c r="N11" s="182">
        <f>N$9*L11</f>
        <v>37739.875200000002</v>
      </c>
      <c r="P11" s="182">
        <f>D11-L11</f>
        <v>-826</v>
      </c>
      <c r="R11" s="182">
        <f>R$9*P11</f>
        <v>-542.10379999999998</v>
      </c>
    </row>
    <row r="12" spans="1:18">
      <c r="A12" s="164" t="s">
        <v>232</v>
      </c>
      <c r="D12" s="184">
        <v>466</v>
      </c>
      <c r="E12" s="184"/>
      <c r="F12" s="184">
        <f>F$9*D12</f>
        <v>305.83580000000001</v>
      </c>
      <c r="G12" s="185"/>
      <c r="H12" s="182"/>
      <c r="I12" s="164" t="s">
        <v>232</v>
      </c>
      <c r="L12" s="184">
        <v>466</v>
      </c>
      <c r="M12" s="184"/>
      <c r="N12" s="184">
        <f>N$9*L12</f>
        <v>305.83580000000001</v>
      </c>
      <c r="P12" s="184"/>
      <c r="R12" s="184">
        <f>R$9*P12</f>
        <v>0</v>
      </c>
    </row>
    <row r="13" spans="1:18">
      <c r="A13" s="164" t="s">
        <v>233</v>
      </c>
      <c r="D13" s="184">
        <v>0</v>
      </c>
      <c r="E13" s="184"/>
      <c r="F13" s="184">
        <f>F$9*D13</f>
        <v>0</v>
      </c>
      <c r="G13" s="185"/>
      <c r="H13" s="182"/>
      <c r="I13" s="164" t="s">
        <v>233</v>
      </c>
      <c r="L13" s="184">
        <v>0</v>
      </c>
      <c r="M13" s="184"/>
      <c r="N13" s="184">
        <f>N$9*L13</f>
        <v>0</v>
      </c>
      <c r="P13" s="184"/>
      <c r="R13" s="184">
        <f>R$9*P13</f>
        <v>0</v>
      </c>
    </row>
    <row r="14" spans="1:18">
      <c r="A14" s="164" t="s">
        <v>234</v>
      </c>
      <c r="C14" s="164" t="s">
        <v>228</v>
      </c>
      <c r="D14" s="186">
        <f>17822-D15-D16</f>
        <v>17822</v>
      </c>
      <c r="E14" s="184"/>
      <c r="F14" s="184">
        <f>F$9*D14</f>
        <v>11696.578600000001</v>
      </c>
      <c r="G14" s="185"/>
      <c r="H14" s="187"/>
      <c r="I14" s="164" t="s">
        <v>234</v>
      </c>
      <c r="K14" s="164" t="s">
        <v>228</v>
      </c>
      <c r="L14" s="188">
        <f>16428-L15-L16</f>
        <v>16428</v>
      </c>
      <c r="M14" s="184"/>
      <c r="N14" s="184">
        <f>N$9*L14</f>
        <v>10781.696400000001</v>
      </c>
      <c r="P14" s="182">
        <f>D14-L14</f>
        <v>1394</v>
      </c>
      <c r="R14" s="182">
        <f>R$9*P14</f>
        <v>914.88220000000001</v>
      </c>
    </row>
    <row r="15" spans="1:18">
      <c r="A15" s="164" t="s">
        <v>234</v>
      </c>
      <c r="C15" s="164" t="s">
        <v>235</v>
      </c>
      <c r="D15" s="188">
        <v>0</v>
      </c>
      <c r="E15" s="184"/>
      <c r="F15" s="185">
        <f>D15</f>
        <v>0</v>
      </c>
      <c r="G15" s="185"/>
      <c r="H15" s="189"/>
      <c r="I15" s="164" t="s">
        <v>234</v>
      </c>
      <c r="K15" s="164" t="s">
        <v>235</v>
      </c>
      <c r="L15" s="188">
        <v>0</v>
      </c>
      <c r="M15" s="184"/>
      <c r="N15" s="185">
        <f>L15</f>
        <v>0</v>
      </c>
      <c r="P15" s="188"/>
      <c r="R15" s="185">
        <f>P15</f>
        <v>0</v>
      </c>
    </row>
    <row r="16" spans="1:18">
      <c r="A16" s="164" t="s">
        <v>234</v>
      </c>
      <c r="C16" s="164" t="s">
        <v>236</v>
      </c>
      <c r="D16" s="188">
        <v>0</v>
      </c>
      <c r="E16" s="184"/>
      <c r="F16" s="185">
        <v>0</v>
      </c>
      <c r="G16" s="185"/>
      <c r="H16" s="189"/>
      <c r="I16" s="164" t="s">
        <v>234</v>
      </c>
      <c r="K16" s="164" t="s">
        <v>236</v>
      </c>
      <c r="L16" s="188">
        <v>0</v>
      </c>
      <c r="M16" s="184"/>
      <c r="N16" s="185">
        <v>0</v>
      </c>
      <c r="P16" s="188"/>
      <c r="R16" s="185">
        <v>0</v>
      </c>
    </row>
    <row r="17" spans="1:18">
      <c r="A17" s="164" t="s">
        <v>237</v>
      </c>
      <c r="D17" s="184">
        <v>0</v>
      </c>
      <c r="E17" s="184"/>
      <c r="F17" s="184">
        <f>F$9*D17</f>
        <v>0</v>
      </c>
      <c r="G17" s="185"/>
      <c r="H17" s="182"/>
      <c r="I17" s="164" t="s">
        <v>237</v>
      </c>
      <c r="L17" s="184">
        <v>0</v>
      </c>
      <c r="M17" s="184"/>
      <c r="N17" s="184">
        <f>N$9*L17</f>
        <v>0</v>
      </c>
      <c r="P17" s="184"/>
      <c r="R17" s="184">
        <f>R$9*P17</f>
        <v>0</v>
      </c>
    </row>
    <row r="18" spans="1:18">
      <c r="A18" s="164" t="s">
        <v>238</v>
      </c>
      <c r="D18" s="190">
        <v>0</v>
      </c>
      <c r="E18" s="185"/>
      <c r="F18" s="190">
        <f>D18</f>
        <v>0</v>
      </c>
      <c r="G18" s="185"/>
      <c r="H18" s="182"/>
      <c r="I18" s="164" t="s">
        <v>238</v>
      </c>
      <c r="L18" s="190">
        <v>0</v>
      </c>
      <c r="M18" s="185"/>
      <c r="N18" s="190">
        <f>L18</f>
        <v>0</v>
      </c>
      <c r="P18" s="190"/>
      <c r="R18" s="190">
        <f>P18</f>
        <v>0</v>
      </c>
    </row>
    <row r="19" spans="1:18">
      <c r="A19" s="164" t="s">
        <v>239</v>
      </c>
      <c r="D19" s="184">
        <f>SUM(D11:D18)</f>
        <v>74966</v>
      </c>
      <c r="E19" s="185"/>
      <c r="F19" s="184">
        <f>SUM(F11:F18)</f>
        <v>49200.185799999999</v>
      </c>
      <c r="G19" s="185"/>
      <c r="H19" s="182"/>
      <c r="I19" s="164" t="s">
        <v>239</v>
      </c>
      <c r="L19" s="184">
        <f>SUM(L11:L18)</f>
        <v>74398</v>
      </c>
      <c r="M19" s="185"/>
      <c r="N19" s="184">
        <f>SUM(N11:N18)</f>
        <v>48827.407400000004</v>
      </c>
      <c r="P19" s="184">
        <f>SUM(P11:P18)</f>
        <v>568</v>
      </c>
      <c r="R19" s="184">
        <f>SUM(R11:R18)</f>
        <v>372.77840000000003</v>
      </c>
    </row>
    <row r="20" spans="1:18">
      <c r="D20" s="184"/>
      <c r="E20" s="185"/>
      <c r="F20" s="184"/>
      <c r="G20" s="185"/>
      <c r="H20" s="182"/>
      <c r="L20" s="184"/>
      <c r="M20" s="185"/>
      <c r="N20" s="184"/>
      <c r="P20" s="184"/>
      <c r="R20" s="184"/>
    </row>
    <row r="21" spans="1:18">
      <c r="D21" s="184"/>
      <c r="E21" s="185"/>
      <c r="F21" s="184"/>
      <c r="G21" s="185"/>
      <c r="H21" s="182"/>
      <c r="L21" s="184"/>
      <c r="M21" s="185"/>
      <c r="N21" s="184"/>
      <c r="P21" s="184"/>
      <c r="R21" s="184"/>
    </row>
    <row r="22" spans="1:18">
      <c r="A22" s="164" t="s">
        <v>240</v>
      </c>
      <c r="D22" s="186">
        <v>29206</v>
      </c>
      <c r="E22" s="185"/>
      <c r="F22" s="184">
        <f t="shared" ref="F22:F30" si="0">F$9*D22</f>
        <v>19167.897799999999</v>
      </c>
      <c r="G22" s="185"/>
      <c r="H22" s="182"/>
      <c r="I22" s="164" t="s">
        <v>240</v>
      </c>
      <c r="L22" s="184">
        <v>29225</v>
      </c>
      <c r="M22" s="185"/>
      <c r="N22" s="184">
        <f t="shared" ref="N22:N26" si="1">N$9*L22</f>
        <v>19180.3675</v>
      </c>
      <c r="P22" s="182">
        <f>D22-L22</f>
        <v>-19</v>
      </c>
      <c r="R22" s="184">
        <f t="shared" ref="R22:R26" si="2">R$9*P22</f>
        <v>-12.4697</v>
      </c>
    </row>
    <row r="23" spans="1:18">
      <c r="A23" s="164" t="s">
        <v>241</v>
      </c>
      <c r="D23" s="184">
        <v>0</v>
      </c>
      <c r="E23" s="185"/>
      <c r="F23" s="184">
        <f t="shared" si="0"/>
        <v>0</v>
      </c>
      <c r="G23" s="185"/>
      <c r="H23" s="182"/>
      <c r="I23" s="164" t="s">
        <v>241</v>
      </c>
      <c r="L23" s="184">
        <v>0</v>
      </c>
      <c r="M23" s="185"/>
      <c r="N23" s="184">
        <f t="shared" si="1"/>
        <v>0</v>
      </c>
      <c r="P23" s="184"/>
      <c r="R23" s="184">
        <f t="shared" si="2"/>
        <v>0</v>
      </c>
    </row>
    <row r="24" spans="1:18">
      <c r="A24" s="164" t="s">
        <v>242</v>
      </c>
      <c r="D24" s="186">
        <v>73066</v>
      </c>
      <c r="E24" s="185"/>
      <c r="F24" s="184">
        <f t="shared" si="0"/>
        <v>47953.215799999998</v>
      </c>
      <c r="G24" s="185"/>
      <c r="H24" s="182"/>
      <c r="I24" s="164" t="s">
        <v>242</v>
      </c>
      <c r="L24" s="184">
        <v>76583</v>
      </c>
      <c r="M24" s="185"/>
      <c r="N24" s="184">
        <f t="shared" si="1"/>
        <v>50261.422899999998</v>
      </c>
      <c r="P24" s="182">
        <f>D24-L24</f>
        <v>-3517</v>
      </c>
      <c r="R24" s="184">
        <f t="shared" si="2"/>
        <v>-2308.2071000000001</v>
      </c>
    </row>
    <row r="25" spans="1:18">
      <c r="A25" s="164" t="s">
        <v>243</v>
      </c>
      <c r="D25" s="184">
        <v>1029</v>
      </c>
      <c r="E25" s="185"/>
      <c r="F25" s="184">
        <f t="shared" si="0"/>
        <v>675.33270000000005</v>
      </c>
      <c r="G25" s="185"/>
      <c r="H25" s="182"/>
      <c r="I25" s="164" t="s">
        <v>243</v>
      </c>
      <c r="L25" s="184">
        <v>1029</v>
      </c>
      <c r="M25" s="185"/>
      <c r="N25" s="184">
        <f t="shared" si="1"/>
        <v>675.33270000000005</v>
      </c>
      <c r="P25" s="184"/>
      <c r="R25" s="184">
        <f t="shared" si="2"/>
        <v>0</v>
      </c>
    </row>
    <row r="26" spans="1:18">
      <c r="A26" s="164" t="s">
        <v>244</v>
      </c>
      <c r="D26" s="186">
        <v>113157</v>
      </c>
      <c r="E26" s="185"/>
      <c r="F26" s="184">
        <f t="shared" si="0"/>
        <v>74264.939100000003</v>
      </c>
      <c r="G26" s="185"/>
      <c r="H26" s="182"/>
      <c r="I26" s="164" t="s">
        <v>244</v>
      </c>
      <c r="L26" s="184">
        <v>109783</v>
      </c>
      <c r="M26" s="185"/>
      <c r="N26" s="184">
        <f t="shared" si="1"/>
        <v>72050.582899999994</v>
      </c>
      <c r="P26" s="182">
        <f>D26-L26</f>
        <v>3374</v>
      </c>
      <c r="R26" s="184">
        <f t="shared" si="2"/>
        <v>2214.3562000000002</v>
      </c>
    </row>
    <row r="27" spans="1:18">
      <c r="A27" s="164" t="s">
        <v>245</v>
      </c>
      <c r="D27" s="184">
        <v>0</v>
      </c>
      <c r="E27" s="185"/>
      <c r="F27" s="188">
        <v>0</v>
      </c>
      <c r="G27" s="185"/>
      <c r="I27" s="164" t="s">
        <v>245</v>
      </c>
      <c r="L27" s="184">
        <v>0</v>
      </c>
      <c r="M27" s="185"/>
      <c r="N27" s="188">
        <v>0</v>
      </c>
      <c r="P27" s="184"/>
      <c r="R27" s="188">
        <v>0</v>
      </c>
    </row>
    <row r="28" spans="1:18">
      <c r="A28" s="164" t="s">
        <v>246</v>
      </c>
      <c r="D28" s="184">
        <v>0</v>
      </c>
      <c r="E28" s="185"/>
      <c r="F28" s="184">
        <f t="shared" si="0"/>
        <v>0</v>
      </c>
      <c r="G28" s="185"/>
      <c r="H28" s="182"/>
      <c r="I28" s="164" t="s">
        <v>246</v>
      </c>
      <c r="L28" s="184">
        <v>0</v>
      </c>
      <c r="M28" s="185"/>
      <c r="N28" s="184">
        <f t="shared" ref="N28:N30" si="3">N$9*L28</f>
        <v>0</v>
      </c>
      <c r="P28" s="184"/>
      <c r="R28" s="184">
        <f t="shared" ref="R28:R30" si="4">R$9*P28</f>
        <v>0</v>
      </c>
    </row>
    <row r="29" spans="1:18">
      <c r="A29" s="164" t="s">
        <v>247</v>
      </c>
      <c r="D29" s="184">
        <v>0</v>
      </c>
      <c r="E29" s="185"/>
      <c r="F29" s="184">
        <f t="shared" si="0"/>
        <v>0</v>
      </c>
      <c r="G29" s="185"/>
      <c r="H29" s="182"/>
      <c r="I29" s="164" t="s">
        <v>247</v>
      </c>
      <c r="L29" s="184">
        <v>0</v>
      </c>
      <c r="M29" s="185"/>
      <c r="N29" s="184">
        <f t="shared" si="3"/>
        <v>0</v>
      </c>
      <c r="P29" s="184"/>
      <c r="R29" s="184">
        <f t="shared" si="4"/>
        <v>0</v>
      </c>
    </row>
    <row r="30" spans="1:18">
      <c r="A30" s="164" t="s">
        <v>248</v>
      </c>
      <c r="D30" s="184">
        <v>407</v>
      </c>
      <c r="E30" s="185"/>
      <c r="F30" s="184">
        <f t="shared" si="0"/>
        <v>267.11410000000001</v>
      </c>
      <c r="G30" s="185"/>
      <c r="H30" s="182"/>
      <c r="I30" s="164" t="s">
        <v>248</v>
      </c>
      <c r="L30" s="184">
        <v>407</v>
      </c>
      <c r="M30" s="185"/>
      <c r="N30" s="184">
        <f t="shared" si="3"/>
        <v>267.11410000000001</v>
      </c>
      <c r="P30" s="184"/>
      <c r="R30" s="184">
        <f t="shared" si="4"/>
        <v>0</v>
      </c>
    </row>
    <row r="31" spans="1:18">
      <c r="A31" s="164" t="s">
        <v>249</v>
      </c>
      <c r="D31" s="184">
        <v>0</v>
      </c>
      <c r="E31" s="185"/>
      <c r="F31" s="188">
        <v>0</v>
      </c>
      <c r="G31" s="185"/>
      <c r="H31" s="191"/>
      <c r="I31" s="164" t="s">
        <v>249</v>
      </c>
      <c r="L31" s="184">
        <v>0</v>
      </c>
      <c r="M31" s="185"/>
      <c r="N31" s="188">
        <v>0</v>
      </c>
      <c r="P31" s="184"/>
      <c r="R31" s="188">
        <v>0</v>
      </c>
    </row>
    <row r="32" spans="1:18">
      <c r="A32" s="164" t="s">
        <v>250</v>
      </c>
      <c r="D32" s="186">
        <v>17596</v>
      </c>
      <c r="E32" s="185"/>
      <c r="F32" s="184">
        <f>F$9*D32</f>
        <v>11548.254800000001</v>
      </c>
      <c r="G32" s="185"/>
      <c r="H32" s="182"/>
      <c r="I32" s="164" t="s">
        <v>250</v>
      </c>
      <c r="L32" s="184">
        <v>17766</v>
      </c>
      <c r="M32" s="185"/>
      <c r="N32" s="184">
        <f>N$9*L32</f>
        <v>11659.825800000001</v>
      </c>
      <c r="P32" s="182">
        <f>D32-L32</f>
        <v>-170</v>
      </c>
      <c r="R32" s="184">
        <f>R$9*P32</f>
        <v>-111.571</v>
      </c>
    </row>
    <row r="33" spans="1:18">
      <c r="A33" s="164" t="s">
        <v>251</v>
      </c>
      <c r="D33" s="192">
        <f>SUM(D22:D32)</f>
        <v>234461</v>
      </c>
      <c r="E33" s="185"/>
      <c r="F33" s="192">
        <f>SUM(F22:F32)</f>
        <v>153876.7543</v>
      </c>
      <c r="G33" s="185"/>
      <c r="H33" s="182"/>
      <c r="I33" s="164" t="s">
        <v>251</v>
      </c>
      <c r="L33" s="192">
        <f>SUM(L22:L32)</f>
        <v>234793</v>
      </c>
      <c r="M33" s="185"/>
      <c r="N33" s="192">
        <f>SUM(N22:N32)</f>
        <v>154094.6459</v>
      </c>
      <c r="P33" s="192">
        <f>SUM(P22:P32)</f>
        <v>-332</v>
      </c>
      <c r="R33" s="192">
        <f>SUM(R22:R32)</f>
        <v>-217.89160000000001</v>
      </c>
    </row>
    <row r="34" spans="1:18">
      <c r="G34" s="169"/>
      <c r="H34" s="182"/>
    </row>
    <row r="35" spans="1:18">
      <c r="A35" s="164" t="s">
        <v>252</v>
      </c>
      <c r="D35" s="184">
        <f>D19-D33</f>
        <v>-159495</v>
      </c>
      <c r="E35" s="184"/>
      <c r="F35" s="184">
        <f>F19-F33</f>
        <v>-104676.56849999999</v>
      </c>
      <c r="G35" s="185"/>
      <c r="H35" s="182"/>
      <c r="I35" s="164" t="s">
        <v>252</v>
      </c>
      <c r="L35" s="184">
        <f>L19-L33</f>
        <v>-160395</v>
      </c>
      <c r="M35" s="184"/>
      <c r="N35" s="184">
        <f>N19-N33</f>
        <v>-105267.23850000001</v>
      </c>
      <c r="P35" s="184">
        <f>P19-P33</f>
        <v>900</v>
      </c>
      <c r="R35" s="186">
        <f>R19-R33</f>
        <v>590.67000000000007</v>
      </c>
    </row>
    <row r="36" spans="1:18">
      <c r="E36" s="184"/>
      <c r="F36" s="184"/>
      <c r="G36" s="184"/>
      <c r="M36" s="184"/>
      <c r="N36" s="184"/>
      <c r="R36" s="184"/>
    </row>
    <row r="37" spans="1:18">
      <c r="A37" s="164" t="s">
        <v>253</v>
      </c>
      <c r="C37" s="193">
        <v>0.35</v>
      </c>
      <c r="E37" s="183"/>
      <c r="F37" s="190">
        <f>C37*F35</f>
        <v>-36636.798974999998</v>
      </c>
      <c r="G37" s="182"/>
      <c r="I37" s="164" t="s">
        <v>253</v>
      </c>
      <c r="K37" s="193">
        <v>0.35</v>
      </c>
      <c r="M37" s="183"/>
      <c r="N37" s="190">
        <f>K37*N35</f>
        <v>-36843.533474999997</v>
      </c>
      <c r="R37" s="190">
        <f>K37*R35</f>
        <v>206.73450000000003</v>
      </c>
    </row>
    <row r="38" spans="1:18">
      <c r="E38" s="183"/>
      <c r="F38" s="182"/>
      <c r="G38" s="182"/>
      <c r="M38" s="183"/>
      <c r="N38" s="182"/>
      <c r="R38" s="182"/>
    </row>
    <row r="39" spans="1:18">
      <c r="A39" s="164" t="s">
        <v>254</v>
      </c>
      <c r="E39" s="184"/>
      <c r="F39" s="182">
        <f>F35-F37-1</f>
        <v>-68040.769524999996</v>
      </c>
      <c r="G39" s="184"/>
      <c r="I39" s="164" t="s">
        <v>254</v>
      </c>
      <c r="M39" s="184"/>
      <c r="N39" s="182">
        <f>N35-N37-1</f>
        <v>-68424.705025000003</v>
      </c>
      <c r="R39" s="181">
        <f>R35-R37</f>
        <v>383.93550000000005</v>
      </c>
    </row>
    <row r="40" spans="1:18">
      <c r="E40" s="184"/>
      <c r="F40" s="184"/>
      <c r="G40" s="184"/>
      <c r="M40" s="184"/>
      <c r="N40" s="184"/>
      <c r="R40" s="184"/>
    </row>
    <row r="41" spans="1:18">
      <c r="A41" s="194" t="s">
        <v>255</v>
      </c>
      <c r="I41" s="195"/>
      <c r="M41" s="196" t="s">
        <v>256</v>
      </c>
      <c r="N41" s="197">
        <v>0.61931000000000003</v>
      </c>
      <c r="R41" s="198">
        <f>R39/N41*-1</f>
        <v>-619.94074050152597</v>
      </c>
    </row>
    <row r="42" spans="1:18" ht="15.75" thickBot="1">
      <c r="A42" s="194" t="s">
        <v>257</v>
      </c>
      <c r="I42" s="199" t="s">
        <v>258</v>
      </c>
      <c r="R42" s="200">
        <f>(R41/'[8]Attrition 12.2015 to 2017'!V90)-0.2</f>
        <v>-610.59918409613192</v>
      </c>
    </row>
    <row r="43" spans="1:18" s="201" customFormat="1">
      <c r="D43" s="188"/>
      <c r="E43" s="202"/>
      <c r="F43" s="188"/>
      <c r="G43" s="202"/>
      <c r="H43" s="191"/>
      <c r="L43" s="188"/>
      <c r="M43" s="202"/>
      <c r="N43" s="188"/>
      <c r="P43" s="188"/>
      <c r="R43" s="188"/>
    </row>
    <row r="44" spans="1:18" s="201" customFormat="1">
      <c r="D44" s="188"/>
      <c r="E44" s="202"/>
      <c r="F44" s="188"/>
      <c r="G44" s="202"/>
      <c r="H44" s="191"/>
      <c r="L44" s="188"/>
      <c r="M44" s="202"/>
      <c r="N44" s="188"/>
      <c r="P44" s="188"/>
      <c r="R44" s="188"/>
    </row>
    <row r="45" spans="1:18" s="201" customFormat="1"/>
  </sheetData>
  <mergeCells count="2">
    <mergeCell ref="A4:F4"/>
    <mergeCell ref="I4:N4"/>
  </mergeCells>
  <pageMargins left="1.05" right="0.34" top="0.75" bottom="0.77" header="0.5" footer="0.52"/>
  <pageSetup scale="73" orientation="landscape" r:id="rId1"/>
  <headerFooter scaleWithDoc="0" alignWithMargins="0">
    <oddHeader>&amp;CAttachment G (Electric 2017 Attrition Model Backup)&amp;R(See Revised Exhibit No. EMA-7)</oddHeader>
    <oddFooter>&amp;C&amp;A  (column [K])&amp;RPage &amp;P of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6"/>
  <sheetViews>
    <sheetView tabSelected="1" workbookViewId="0">
      <selection activeCell="I37" activeCellId="1" sqref="C29 I37"/>
    </sheetView>
  </sheetViews>
  <sheetFormatPr defaultColWidth="9.140625" defaultRowHeight="12.75"/>
  <cols>
    <col min="1" max="1" width="6.7109375" style="204" customWidth="1"/>
    <col min="2" max="2" width="3.42578125" style="204" customWidth="1"/>
    <col min="3" max="3" width="36.7109375" style="204" customWidth="1"/>
    <col min="4" max="4" width="9.28515625" style="204" bestFit="1" customWidth="1"/>
    <col min="5" max="5" width="16" style="204" customWidth="1"/>
    <col min="6" max="6" width="2.42578125" style="204" customWidth="1"/>
    <col min="7" max="7" width="11.42578125" style="204" customWidth="1"/>
    <col min="8" max="8" width="11" style="204" customWidth="1"/>
    <col min="9" max="9" width="10.140625" style="204" customWidth="1"/>
    <col min="10" max="10" width="9.28515625" style="204" customWidth="1"/>
    <col min="11" max="16384" width="9.140625" style="204"/>
  </cols>
  <sheetData>
    <row r="1" spans="1:10" ht="42" customHeight="1">
      <c r="A1" s="203" t="s">
        <v>259</v>
      </c>
      <c r="B1" s="203"/>
      <c r="C1" s="203"/>
      <c r="D1" s="203"/>
      <c r="E1" s="203"/>
      <c r="F1" s="203"/>
    </row>
    <row r="2" spans="1:10" ht="12.75" customHeight="1">
      <c r="A2" s="205" t="s">
        <v>260</v>
      </c>
      <c r="B2" s="205"/>
      <c r="C2" s="205"/>
      <c r="D2" s="205"/>
      <c r="E2" s="205"/>
      <c r="F2" s="205"/>
      <c r="G2" s="206" t="s">
        <v>261</v>
      </c>
      <c r="H2" s="206"/>
      <c r="I2" s="206"/>
      <c r="J2" s="206"/>
    </row>
    <row r="3" spans="1:10" ht="27.75" customHeight="1">
      <c r="A3" s="168" t="s">
        <v>100</v>
      </c>
      <c r="B3" s="168"/>
      <c r="C3" s="168"/>
      <c r="D3" s="168"/>
      <c r="E3" s="168"/>
      <c r="F3" s="168"/>
      <c r="G3" s="206"/>
      <c r="H3" s="206"/>
      <c r="I3" s="206"/>
      <c r="J3" s="206"/>
    </row>
    <row r="4" spans="1:10">
      <c r="E4" s="207" t="s">
        <v>262</v>
      </c>
      <c r="G4" s="208" t="s">
        <v>225</v>
      </c>
      <c r="H4" s="208" t="s">
        <v>225</v>
      </c>
      <c r="I4" s="207" t="s">
        <v>263</v>
      </c>
      <c r="J4" s="207"/>
    </row>
    <row r="5" spans="1:10">
      <c r="E5" s="209" t="s">
        <v>264</v>
      </c>
      <c r="G5" s="208" t="s">
        <v>265</v>
      </c>
      <c r="H5" s="208" t="s">
        <v>265</v>
      </c>
      <c r="I5" s="207" t="s">
        <v>225</v>
      </c>
      <c r="J5" s="207" t="s">
        <v>266</v>
      </c>
    </row>
    <row r="6" spans="1:10">
      <c r="A6" s="207" t="s">
        <v>93</v>
      </c>
      <c r="E6" s="207" t="s">
        <v>267</v>
      </c>
      <c r="G6" s="208" t="s">
        <v>268</v>
      </c>
      <c r="H6" s="208" t="s">
        <v>269</v>
      </c>
      <c r="I6" s="207" t="s">
        <v>226</v>
      </c>
      <c r="J6" s="207" t="s">
        <v>262</v>
      </c>
    </row>
    <row r="7" spans="1:10">
      <c r="A7" s="210" t="s">
        <v>86</v>
      </c>
      <c r="C7" s="211" t="s">
        <v>270</v>
      </c>
      <c r="D7" s="207" t="s">
        <v>271</v>
      </c>
      <c r="E7" s="210" t="s">
        <v>265</v>
      </c>
      <c r="G7" s="212" t="s">
        <v>272</v>
      </c>
      <c r="H7" s="212" t="s">
        <v>272</v>
      </c>
      <c r="I7" s="213" t="s">
        <v>273</v>
      </c>
      <c r="J7" s="213" t="s">
        <v>264</v>
      </c>
    </row>
    <row r="8" spans="1:10" ht="20.25" customHeight="1">
      <c r="A8" s="207"/>
      <c r="E8" s="214" t="s">
        <v>274</v>
      </c>
      <c r="F8" s="215"/>
      <c r="G8" s="216"/>
      <c r="H8" s="216"/>
      <c r="I8" s="215"/>
    </row>
    <row r="9" spans="1:10">
      <c r="A9" s="207"/>
      <c r="B9" s="204" t="s">
        <v>275</v>
      </c>
      <c r="E9" s="216" t="s">
        <v>276</v>
      </c>
      <c r="F9" s="215"/>
      <c r="G9" s="216"/>
      <c r="H9" s="216"/>
      <c r="I9" s="215"/>
    </row>
    <row r="10" spans="1:10">
      <c r="A10" s="207">
        <v>1</v>
      </c>
      <c r="B10" s="204" t="s">
        <v>277</v>
      </c>
      <c r="D10" s="217"/>
      <c r="E10" s="218">
        <f>I10+J10</f>
        <v>7724.1690991403102</v>
      </c>
      <c r="F10" s="215"/>
      <c r="G10" s="216"/>
      <c r="H10" s="219"/>
      <c r="I10" s="215"/>
      <c r="J10" s="220">
        <f>'[8]Attrition 12.2015 to 2017'!P7*'[8]Attrition 12.2015 to 2017'!M7</f>
        <v>7724.1690991403102</v>
      </c>
    </row>
    <row r="11" spans="1:10">
      <c r="A11" s="207">
        <v>2</v>
      </c>
      <c r="B11" s="204" t="s">
        <v>278</v>
      </c>
      <c r="E11" s="220">
        <f>I11+J11</f>
        <v>14.506186402128581</v>
      </c>
      <c r="F11" s="215"/>
      <c r="G11" s="216"/>
      <c r="H11" s="216"/>
      <c r="I11" s="215"/>
      <c r="J11" s="220">
        <f>'[8]Attrition 12.2015 to 2017'!P8*'[8]Attrition 12.2015 to 2017'!M8</f>
        <v>14.506186402128581</v>
      </c>
    </row>
    <row r="12" spans="1:10">
      <c r="A12" s="207">
        <v>3</v>
      </c>
      <c r="B12" s="204" t="s">
        <v>279</v>
      </c>
      <c r="E12" s="220">
        <f>I12+J12</f>
        <v>-2524</v>
      </c>
      <c r="F12" s="215"/>
      <c r="G12" s="221">
        <f>ROUND('2017 PF - PS 09.15 load'!F11,0)</f>
        <v>37198</v>
      </c>
      <c r="H12" s="221">
        <f>ROUND('Nov PF Power Supply 2017 load'!F11,0)</f>
        <v>34674</v>
      </c>
      <c r="I12" s="218">
        <f>H12-G12</f>
        <v>-2524</v>
      </c>
    </row>
    <row r="13" spans="1:10">
      <c r="A13" s="207">
        <v>4</v>
      </c>
      <c r="B13" s="204" t="s">
        <v>280</v>
      </c>
      <c r="E13" s="222">
        <f>SUM(E10:E12)</f>
        <v>5214.6752855424384</v>
      </c>
      <c r="F13" s="215"/>
      <c r="G13" s="223">
        <f>SUM(G10:G12)</f>
        <v>37198</v>
      </c>
      <c r="H13" s="223">
        <f>SUM(H10:H12)</f>
        <v>34674</v>
      </c>
      <c r="I13" s="222">
        <f>SUM(I10:I12)</f>
        <v>-2524</v>
      </c>
      <c r="J13" s="222">
        <f>SUM(J10:J12)</f>
        <v>7738.6752855424384</v>
      </c>
    </row>
    <row r="14" spans="1:10">
      <c r="A14" s="207">
        <v>5</v>
      </c>
      <c r="B14" s="204" t="s">
        <v>281</v>
      </c>
      <c r="E14" s="220">
        <f>I14+J14</f>
        <v>0</v>
      </c>
      <c r="F14" s="215"/>
      <c r="G14" s="224">
        <f>ROUND('2017 PF - PS 09.15 load'!F19-'incremental load expense-2017'!G13,0)</f>
        <v>12002</v>
      </c>
      <c r="H14" s="224">
        <f>ROUND('Nov PF Power Supply 2017 load'!F19-H12,0)</f>
        <v>12002</v>
      </c>
      <c r="I14" s="218">
        <f>H14-G14</f>
        <v>0</v>
      </c>
      <c r="J14" s="220">
        <f>'[8]Attrition 12.2015 to 2017'!P11*'[8]Attrition 12.2015 to 2017'!M11</f>
        <v>0</v>
      </c>
    </row>
    <row r="15" spans="1:10">
      <c r="A15" s="207">
        <v>6</v>
      </c>
      <c r="B15" s="204" t="s">
        <v>282</v>
      </c>
      <c r="E15" s="222">
        <f>E13+E14</f>
        <v>5214.6752855424384</v>
      </c>
      <c r="F15" s="215"/>
      <c r="G15" s="221">
        <f>G13+G14</f>
        <v>49200</v>
      </c>
      <c r="H15" s="221">
        <f>H13+H14</f>
        <v>46676</v>
      </c>
      <c r="I15" s="222">
        <f>I13+I14</f>
        <v>-2524</v>
      </c>
      <c r="J15" s="222">
        <f>J13+J14</f>
        <v>7738.6752855424384</v>
      </c>
    </row>
    <row r="16" spans="1:10">
      <c r="A16" s="207"/>
      <c r="E16" s="220"/>
      <c r="F16" s="215"/>
      <c r="G16" s="221"/>
      <c r="H16" s="221"/>
      <c r="I16" s="220"/>
      <c r="J16" s="220"/>
    </row>
    <row r="17" spans="1:10">
      <c r="A17" s="207"/>
      <c r="B17" s="204" t="s">
        <v>283</v>
      </c>
      <c r="E17" s="220"/>
      <c r="F17" s="215"/>
      <c r="G17" s="221"/>
      <c r="H17" s="221"/>
      <c r="I17" s="220"/>
      <c r="J17" s="220"/>
    </row>
    <row r="18" spans="1:10">
      <c r="A18" s="207"/>
      <c r="B18" s="204" t="s">
        <v>284</v>
      </c>
      <c r="E18" s="220"/>
      <c r="F18" s="215"/>
      <c r="G18" s="221"/>
      <c r="H18" s="221"/>
      <c r="I18" s="220"/>
      <c r="J18" s="220"/>
    </row>
    <row r="19" spans="1:10">
      <c r="A19" s="207">
        <v>7</v>
      </c>
      <c r="C19" s="204" t="s">
        <v>285</v>
      </c>
      <c r="E19" s="220">
        <f>I19+J19</f>
        <v>0</v>
      </c>
      <c r="F19" s="215"/>
      <c r="G19" s="221">
        <f>ROUND('2017 PF - PS 09.15 load'!F33-'incremental load expense-2017'!G20,0)</f>
        <v>79612</v>
      </c>
      <c r="H19" s="221">
        <f>ROUND('Nov PF Power Supply 2017 load'!F33-H20,0)</f>
        <v>79612</v>
      </c>
      <c r="I19" s="218">
        <f>H19-G19</f>
        <v>0</v>
      </c>
      <c r="J19" s="220"/>
    </row>
    <row r="20" spans="1:10">
      <c r="A20" s="207">
        <v>8</v>
      </c>
      <c r="C20" s="204" t="s">
        <v>286</v>
      </c>
      <c r="E20" s="220">
        <f>I20+J20</f>
        <v>843</v>
      </c>
      <c r="F20" s="215"/>
      <c r="G20" s="221">
        <f>ROUND('2017 PF - PS 09.15 load'!F26,0)</f>
        <v>74265</v>
      </c>
      <c r="H20" s="221">
        <f>ROUND('Nov PF Power Supply 2017 load'!F26,0)</f>
        <v>75108</v>
      </c>
      <c r="I20" s="218">
        <f>H20-G20</f>
        <v>843</v>
      </c>
      <c r="J20" s="220"/>
    </row>
    <row r="21" spans="1:10">
      <c r="A21" s="207">
        <v>9</v>
      </c>
      <c r="C21" s="204" t="s">
        <v>287</v>
      </c>
      <c r="E21" s="220"/>
      <c r="F21" s="215"/>
      <c r="G21" s="221"/>
      <c r="H21" s="221"/>
      <c r="I21" s="220"/>
      <c r="J21" s="220"/>
    </row>
    <row r="22" spans="1:10">
      <c r="A22" s="207">
        <v>10</v>
      </c>
      <c r="C22" s="204" t="s">
        <v>288</v>
      </c>
      <c r="E22" s="220"/>
      <c r="F22" s="215"/>
      <c r="G22" s="221"/>
      <c r="H22" s="221"/>
      <c r="I22" s="220"/>
      <c r="J22" s="220"/>
    </row>
    <row r="23" spans="1:10">
      <c r="A23" s="207">
        <v>11</v>
      </c>
      <c r="C23" s="204" t="s">
        <v>289</v>
      </c>
      <c r="E23" s="225"/>
      <c r="F23" s="215"/>
      <c r="G23" s="224"/>
      <c r="H23" s="224"/>
      <c r="I23" s="225"/>
      <c r="J23" s="225"/>
    </row>
    <row r="24" spans="1:10">
      <c r="A24" s="207">
        <v>12</v>
      </c>
      <c r="B24" s="204" t="s">
        <v>290</v>
      </c>
      <c r="E24" s="220">
        <f>SUM(E19:E23)</f>
        <v>843</v>
      </c>
      <c r="F24" s="215"/>
      <c r="G24" s="221">
        <f>SUM(G19:G23)</f>
        <v>153877</v>
      </c>
      <c r="H24" s="221">
        <f>SUM(H19:H23)</f>
        <v>154720</v>
      </c>
      <c r="I24" s="220">
        <f>SUM(I19:I23)</f>
        <v>843</v>
      </c>
      <c r="J24" s="220">
        <f>SUM(J19:J23)</f>
        <v>0</v>
      </c>
    </row>
    <row r="25" spans="1:10">
      <c r="A25" s="207"/>
      <c r="E25" s="220"/>
      <c r="F25" s="215"/>
      <c r="G25" s="221"/>
      <c r="H25" s="221"/>
      <c r="I25" s="220"/>
      <c r="J25" s="220"/>
    </row>
    <row r="26" spans="1:10">
      <c r="A26" s="207"/>
      <c r="B26" s="204" t="s">
        <v>291</v>
      </c>
      <c r="E26" s="220"/>
      <c r="G26" s="221"/>
      <c r="H26" s="221"/>
      <c r="I26" s="220"/>
      <c r="J26" s="220"/>
    </row>
    <row r="27" spans="1:10">
      <c r="A27" s="207">
        <v>13</v>
      </c>
      <c r="C27" s="204" t="s">
        <v>285</v>
      </c>
      <c r="E27" s="220"/>
      <c r="G27" s="221"/>
      <c r="H27" s="221"/>
      <c r="I27" s="220"/>
      <c r="J27" s="220"/>
    </row>
    <row r="28" spans="1:10">
      <c r="A28" s="207">
        <v>14</v>
      </c>
      <c r="C28" s="204" t="s">
        <v>292</v>
      </c>
      <c r="E28" s="220"/>
      <c r="G28" s="221"/>
      <c r="H28" s="221"/>
      <c r="I28" s="220"/>
      <c r="J28" s="220"/>
    </row>
    <row r="29" spans="1:10">
      <c r="A29" s="207">
        <v>15</v>
      </c>
      <c r="C29" s="204" t="s">
        <v>289</v>
      </c>
      <c r="D29" s="226">
        <f>[8]ROR!L16</f>
        <v>3.8473E-2</v>
      </c>
      <c r="E29" s="220">
        <f>I29+J29</f>
        <v>297.17195775122514</v>
      </c>
      <c r="G29" s="224"/>
      <c r="H29" s="224"/>
      <c r="I29" s="225"/>
      <c r="J29" s="225">
        <f>J10*D29</f>
        <v>297.17195775122514</v>
      </c>
    </row>
    <row r="30" spans="1:10">
      <c r="A30" s="207">
        <v>16</v>
      </c>
      <c r="B30" s="204" t="s">
        <v>293</v>
      </c>
      <c r="E30" s="222">
        <f>SUM(E27:E29)</f>
        <v>297.17195775122514</v>
      </c>
      <c r="G30" s="221">
        <f>SUM(G27:G29)</f>
        <v>0</v>
      </c>
      <c r="H30" s="221">
        <f>SUM(H27:H29)</f>
        <v>0</v>
      </c>
      <c r="I30" s="220">
        <f>SUM(I27:I29)</f>
        <v>0</v>
      </c>
      <c r="J30" s="220">
        <f>SUM(J27:J29)</f>
        <v>297.17195775122514</v>
      </c>
    </row>
    <row r="31" spans="1:10">
      <c r="A31" s="207"/>
      <c r="E31" s="220"/>
      <c r="G31" s="221"/>
      <c r="H31" s="221"/>
      <c r="I31" s="220"/>
      <c r="J31" s="220"/>
    </row>
    <row r="32" spans="1:10">
      <c r="A32" s="207">
        <v>17</v>
      </c>
      <c r="B32" s="204" t="s">
        <v>294</v>
      </c>
      <c r="D32" s="226">
        <f>[8]ROR!L12</f>
        <v>6.7390000000000002E-3</v>
      </c>
      <c r="E32" s="220">
        <f>I32+J32</f>
        <v>52.053175559106549</v>
      </c>
      <c r="G32" s="221"/>
      <c r="H32" s="221"/>
      <c r="I32" s="220"/>
      <c r="J32" s="220">
        <f>J10*D32</f>
        <v>52.053175559106549</v>
      </c>
    </row>
    <row r="33" spans="1:10">
      <c r="A33" s="207">
        <v>18</v>
      </c>
      <c r="B33" s="204" t="s">
        <v>295</v>
      </c>
      <c r="E33" s="220"/>
      <c r="G33" s="221"/>
      <c r="H33" s="221"/>
      <c r="I33" s="220"/>
      <c r="J33" s="220"/>
    </row>
    <row r="34" spans="1:10">
      <c r="A34" s="207">
        <v>19</v>
      </c>
      <c r="B34" s="204" t="s">
        <v>296</v>
      </c>
      <c r="E34" s="220"/>
      <c r="G34" s="221"/>
      <c r="H34" s="221"/>
      <c r="I34" s="220"/>
      <c r="J34" s="220"/>
    </row>
    <row r="35" spans="1:10">
      <c r="A35" s="207"/>
      <c r="E35" s="220"/>
      <c r="G35" s="221"/>
      <c r="H35" s="221"/>
      <c r="I35" s="220"/>
      <c r="J35" s="220"/>
    </row>
    <row r="36" spans="1:10">
      <c r="A36" s="207"/>
      <c r="B36" s="204" t="s">
        <v>297</v>
      </c>
      <c r="E36" s="220"/>
      <c r="G36" s="221"/>
      <c r="H36" s="221"/>
      <c r="I36" s="220"/>
      <c r="J36" s="220"/>
    </row>
    <row r="37" spans="1:10">
      <c r="A37" s="207">
        <v>20</v>
      </c>
      <c r="C37" s="204" t="s">
        <v>285</v>
      </c>
      <c r="D37" s="226">
        <f>[8]ROR!L14</f>
        <v>2E-3</v>
      </c>
      <c r="E37" s="220">
        <f>I37+J37</f>
        <v>15.44833819828062</v>
      </c>
      <c r="G37" s="221"/>
      <c r="H37" s="221"/>
      <c r="I37" s="220"/>
      <c r="J37" s="220">
        <f>J10*D37</f>
        <v>15.44833819828062</v>
      </c>
    </row>
    <row r="38" spans="1:10">
      <c r="A38" s="207">
        <v>21</v>
      </c>
      <c r="C38" s="204" t="s">
        <v>292</v>
      </c>
      <c r="E38" s="220"/>
      <c r="G38" s="221"/>
      <c r="H38" s="221"/>
      <c r="I38" s="220"/>
      <c r="J38" s="220"/>
    </row>
    <row r="39" spans="1:10">
      <c r="A39" s="207">
        <v>22</v>
      </c>
      <c r="C39" s="204" t="s">
        <v>289</v>
      </c>
      <c r="E39" s="225"/>
      <c r="G39" s="224"/>
      <c r="H39" s="224"/>
      <c r="I39" s="225"/>
      <c r="J39" s="225"/>
    </row>
    <row r="40" spans="1:10">
      <c r="A40" s="207">
        <v>23</v>
      </c>
      <c r="B40" s="204" t="s">
        <v>298</v>
      </c>
      <c r="E40" s="227">
        <f>SUM(E37:E39)</f>
        <v>15.44833819828062</v>
      </c>
      <c r="G40" s="228">
        <f>SUM(G37:G39)</f>
        <v>0</v>
      </c>
      <c r="H40" s="228">
        <f>SUM(H37:H39)</f>
        <v>0</v>
      </c>
      <c r="I40" s="227">
        <f>SUM(I37:I39)</f>
        <v>0</v>
      </c>
      <c r="J40" s="227">
        <f>SUM(J37:J39)</f>
        <v>15.44833819828062</v>
      </c>
    </row>
    <row r="41" spans="1:10">
      <c r="A41" s="207">
        <v>24</v>
      </c>
      <c r="B41" s="204" t="s">
        <v>299</v>
      </c>
      <c r="E41" s="227">
        <f>E24+E30+E32+E33+E34+E40</f>
        <v>1207.6734715086125</v>
      </c>
      <c r="G41" s="228">
        <f>G24+G30+G32+G33+G34+G40</f>
        <v>153877</v>
      </c>
      <c r="H41" s="228">
        <f>H24+H30+H32+H33+H34+H40</f>
        <v>154720</v>
      </c>
      <c r="I41" s="227">
        <f>I24+I30+I32+I33+I34+I40</f>
        <v>843</v>
      </c>
      <c r="J41" s="227">
        <f>J24+J30+J32+J33+J34+J40</f>
        <v>364.67347150861229</v>
      </c>
    </row>
    <row r="42" spans="1:10">
      <c r="A42" s="207"/>
      <c r="E42" s="220"/>
      <c r="G42" s="221"/>
      <c r="H42" s="221"/>
      <c r="I42" s="220"/>
      <c r="J42" s="220"/>
    </row>
    <row r="43" spans="1:10">
      <c r="A43" s="207">
        <v>25</v>
      </c>
      <c r="B43" s="204" t="s">
        <v>300</v>
      </c>
      <c r="E43" s="220">
        <f>E15-E41</f>
        <v>4007.0018140338261</v>
      </c>
      <c r="G43" s="221">
        <f>G15-G41</f>
        <v>-104677</v>
      </c>
      <c r="H43" s="221">
        <f>H15-H41</f>
        <v>-108044</v>
      </c>
      <c r="I43" s="220">
        <f>I15-I41</f>
        <v>-3367</v>
      </c>
      <c r="J43" s="220">
        <f>J15-J41</f>
        <v>7374.0018140338261</v>
      </c>
    </row>
    <row r="44" spans="1:10">
      <c r="A44" s="207"/>
      <c r="E44" s="220"/>
      <c r="G44" s="221"/>
      <c r="H44" s="221"/>
      <c r="I44" s="220"/>
      <c r="J44" s="220"/>
    </row>
    <row r="45" spans="1:10">
      <c r="A45" s="207"/>
      <c r="B45" s="204" t="s">
        <v>301</v>
      </c>
      <c r="E45" s="220"/>
      <c r="G45" s="221"/>
      <c r="H45" s="221"/>
      <c r="I45" s="220"/>
      <c r="J45" s="220"/>
    </row>
    <row r="46" spans="1:10">
      <c r="A46" s="207">
        <v>26</v>
      </c>
      <c r="B46" s="204" t="s">
        <v>302</v>
      </c>
      <c r="E46" s="220">
        <f>ROUND(0.35*E43,0)</f>
        <v>1402</v>
      </c>
      <c r="G46" s="221">
        <f>ROUND(0.35*G43,0)</f>
        <v>-36637</v>
      </c>
      <c r="H46" s="221">
        <f>ROUND(0.35*H43,0)</f>
        <v>-37815</v>
      </c>
      <c r="I46" s="220">
        <f>ROUND(0.35*I43,0)</f>
        <v>-1178</v>
      </c>
      <c r="J46" s="220">
        <f>ROUND(0.35*J43,0)</f>
        <v>2581</v>
      </c>
    </row>
    <row r="47" spans="1:10">
      <c r="A47" s="207">
        <v>27</v>
      </c>
      <c r="B47" s="204" t="s">
        <v>303</v>
      </c>
      <c r="E47" s="220"/>
      <c r="G47" s="221"/>
      <c r="H47" s="221"/>
      <c r="I47" s="220"/>
      <c r="J47" s="220"/>
    </row>
    <row r="48" spans="1:10">
      <c r="A48" s="207">
        <v>28</v>
      </c>
      <c r="B48" s="204" t="s">
        <v>304</v>
      </c>
      <c r="E48" s="220"/>
      <c r="G48" s="221"/>
      <c r="H48" s="221"/>
      <c r="I48" s="220"/>
      <c r="J48" s="220"/>
    </row>
    <row r="49" spans="1:10">
      <c r="A49" s="207">
        <v>29</v>
      </c>
      <c r="B49" s="204" t="s">
        <v>305</v>
      </c>
      <c r="E49" s="225"/>
      <c r="G49" s="224"/>
      <c r="H49" s="224"/>
      <c r="I49" s="225"/>
      <c r="J49" s="225"/>
    </row>
    <row r="50" spans="1:10">
      <c r="A50" s="207"/>
      <c r="E50" s="220"/>
      <c r="G50" s="221"/>
      <c r="H50" s="221"/>
      <c r="I50" s="220"/>
      <c r="J50" s="220"/>
    </row>
    <row r="51" spans="1:10">
      <c r="A51" s="207">
        <v>30</v>
      </c>
      <c r="B51" s="204" t="s">
        <v>306</v>
      </c>
      <c r="E51" s="220">
        <f>E43-E46-E47-E48-E49</f>
        <v>2605.0018140338261</v>
      </c>
      <c r="G51" s="221">
        <f>G43-G46-G47-G48-G49</f>
        <v>-68040</v>
      </c>
      <c r="H51" s="221">
        <f>H43-H46-H47-H48-H49</f>
        <v>-70229</v>
      </c>
      <c r="I51" s="220">
        <f>I43-I46-I47-I48-I49</f>
        <v>-2189</v>
      </c>
      <c r="J51" s="220">
        <f>J43-J46-J47-J48-J49</f>
        <v>4793.0018140338261</v>
      </c>
    </row>
    <row r="52" spans="1:10">
      <c r="A52" s="207"/>
      <c r="G52" s="216"/>
      <c r="H52" s="216"/>
    </row>
    <row r="53" spans="1:10">
      <c r="B53" s="204" t="s">
        <v>307</v>
      </c>
      <c r="G53" s="216"/>
      <c r="H53" s="216"/>
    </row>
    <row r="54" spans="1:10">
      <c r="G54" s="216"/>
      <c r="H54" s="216"/>
    </row>
    <row r="56" spans="1:10">
      <c r="E56" s="229" t="s">
        <v>308</v>
      </c>
    </row>
  </sheetData>
  <sheetProtection selectLockedCells="1"/>
  <mergeCells count="4">
    <mergeCell ref="A1:F1"/>
    <mergeCell ref="A2:F2"/>
    <mergeCell ref="G2:J3"/>
    <mergeCell ref="A3:F3"/>
  </mergeCells>
  <pageMargins left="0.7" right="0.7" top="0.33" bottom="0.82" header="0.17" footer="0.59"/>
  <pageSetup scale="75" orientation="landscape" r:id="rId1"/>
  <headerFooter scaleWithDoc="0">
    <oddHeader>&amp;CAttachment G (Electric 2017 Attrition Model Backup)&amp;R(See Revised Exhibit No. EMA-7)</oddHeader>
    <oddFooter>&amp;C&amp;A  (column [L])&amp;RPage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45"/>
  <sheetViews>
    <sheetView tabSelected="1" view="pageBreakPreview" zoomScaleNormal="100" zoomScaleSheetLayoutView="100" workbookViewId="0">
      <selection activeCell="I37" activeCellId="1" sqref="C29 I37"/>
    </sheetView>
  </sheetViews>
  <sheetFormatPr defaultColWidth="9.140625" defaultRowHeight="12.75"/>
  <cols>
    <col min="1" max="1" width="22.140625" style="164" customWidth="1"/>
    <col min="2" max="2" width="10.42578125" style="164" customWidth="1"/>
    <col min="3" max="3" width="10.28515625" style="164" customWidth="1"/>
    <col min="4" max="4" width="9.85546875" style="164" customWidth="1"/>
    <col min="5" max="5" width="8" style="164" customWidth="1"/>
    <col min="6" max="6" width="12.140625" style="164" customWidth="1"/>
    <col min="7" max="7" width="3.7109375" style="164" customWidth="1"/>
    <col min="8" max="8" width="4.85546875" style="164" customWidth="1"/>
    <col min="9" max="9" width="22.140625" style="164" customWidth="1"/>
    <col min="10" max="10" width="10.42578125" style="164" customWidth="1"/>
    <col min="11" max="11" width="10.28515625" style="164" customWidth="1"/>
    <col min="12" max="12" width="9.85546875" style="164" customWidth="1"/>
    <col min="13" max="13" width="8" style="164" customWidth="1"/>
    <col min="14" max="14" width="12.140625" style="164" customWidth="1"/>
    <col min="15" max="15" width="2.7109375" style="164" customWidth="1"/>
    <col min="16" max="16" width="11.42578125" style="164" bestFit="1" customWidth="1"/>
    <col min="17" max="17" width="1.85546875" style="164" customWidth="1"/>
    <col min="18" max="18" width="12.140625" style="164" customWidth="1"/>
    <col min="19" max="16384" width="9.140625" style="164"/>
  </cols>
  <sheetData>
    <row r="1" spans="1:18">
      <c r="A1" s="163" t="s">
        <v>104</v>
      </c>
      <c r="B1" s="163"/>
      <c r="C1" s="163"/>
      <c r="D1" s="163"/>
      <c r="E1" s="163"/>
      <c r="F1" s="163"/>
      <c r="G1" s="163"/>
      <c r="H1" s="163"/>
      <c r="I1" s="163" t="s">
        <v>104</v>
      </c>
      <c r="J1" s="163"/>
      <c r="K1" s="163"/>
      <c r="L1" s="163"/>
      <c r="M1" s="163"/>
      <c r="N1" s="163"/>
      <c r="P1" s="163"/>
      <c r="R1" s="163"/>
    </row>
    <row r="2" spans="1:18">
      <c r="A2" s="163" t="s">
        <v>216</v>
      </c>
      <c r="B2" s="163"/>
      <c r="C2" s="163"/>
      <c r="D2" s="163"/>
      <c r="E2" s="163"/>
      <c r="F2" s="163"/>
      <c r="G2" s="163"/>
      <c r="H2" s="163"/>
      <c r="I2" s="163" t="s">
        <v>216</v>
      </c>
      <c r="J2" s="163"/>
      <c r="K2" s="163"/>
      <c r="L2" s="163"/>
      <c r="M2" s="163"/>
      <c r="N2" s="163"/>
      <c r="P2" s="165" t="s">
        <v>95</v>
      </c>
      <c r="Q2" s="166"/>
      <c r="R2" s="165" t="s">
        <v>95</v>
      </c>
    </row>
    <row r="3" spans="1:18">
      <c r="A3" s="167" t="s">
        <v>309</v>
      </c>
      <c r="B3" s="163"/>
      <c r="C3" s="163"/>
      <c r="D3" s="163"/>
      <c r="E3" s="163"/>
      <c r="F3" s="163"/>
      <c r="G3" s="163"/>
      <c r="H3" s="163"/>
      <c r="I3" s="167" t="s">
        <v>310</v>
      </c>
      <c r="J3" s="163"/>
      <c r="K3" s="163"/>
      <c r="L3" s="163"/>
      <c r="M3" s="163"/>
      <c r="N3" s="163"/>
      <c r="P3" s="165" t="s">
        <v>219</v>
      </c>
      <c r="Q3" s="166"/>
      <c r="R3" s="165" t="s">
        <v>219</v>
      </c>
    </row>
    <row r="4" spans="1:18" ht="15.75">
      <c r="A4" s="230" t="s">
        <v>100</v>
      </c>
      <c r="B4" s="230"/>
      <c r="C4" s="230"/>
      <c r="D4" s="230"/>
      <c r="E4" s="230"/>
      <c r="F4" s="230"/>
      <c r="G4" s="169"/>
      <c r="I4" s="168" t="s">
        <v>221</v>
      </c>
      <c r="J4" s="168"/>
      <c r="K4" s="168"/>
      <c r="L4" s="168"/>
      <c r="M4" s="168"/>
      <c r="N4" s="168"/>
      <c r="P4" s="165" t="s">
        <v>222</v>
      </c>
      <c r="Q4" s="166"/>
      <c r="R4" s="165" t="s">
        <v>222</v>
      </c>
    </row>
    <row r="5" spans="1:18">
      <c r="D5" s="165" t="s">
        <v>223</v>
      </c>
      <c r="G5" s="169"/>
      <c r="H5" s="231"/>
      <c r="L5" s="165" t="s">
        <v>223</v>
      </c>
      <c r="P5" s="165" t="s">
        <v>223</v>
      </c>
      <c r="R5" s="165" t="s">
        <v>223</v>
      </c>
    </row>
    <row r="6" spans="1:18">
      <c r="D6" s="232" t="s">
        <v>225</v>
      </c>
      <c r="E6" s="173"/>
      <c r="F6" s="173" t="s">
        <v>124</v>
      </c>
      <c r="G6" s="169"/>
      <c r="H6" s="233"/>
      <c r="L6" s="232" t="s">
        <v>225</v>
      </c>
      <c r="M6" s="173"/>
      <c r="N6" s="173" t="s">
        <v>124</v>
      </c>
      <c r="P6" s="174" t="s">
        <v>225</v>
      </c>
      <c r="R6" s="174" t="s">
        <v>124</v>
      </c>
    </row>
    <row r="7" spans="1:18">
      <c r="D7" s="232" t="s">
        <v>226</v>
      </c>
      <c r="E7" s="173"/>
      <c r="F7" s="173" t="s">
        <v>227</v>
      </c>
      <c r="G7" s="169"/>
      <c r="L7" s="232" t="s">
        <v>226</v>
      </c>
      <c r="M7" s="173"/>
      <c r="N7" s="173" t="s">
        <v>227</v>
      </c>
      <c r="P7" s="174" t="s">
        <v>226</v>
      </c>
      <c r="R7" s="174" t="s">
        <v>227</v>
      </c>
    </row>
    <row r="8" spans="1:18">
      <c r="D8" s="234" t="s">
        <v>228</v>
      </c>
      <c r="E8" s="175"/>
      <c r="F8" s="175" t="s">
        <v>229</v>
      </c>
      <c r="G8" s="235"/>
      <c r="L8" s="234" t="s">
        <v>228</v>
      </c>
      <c r="M8" s="175"/>
      <c r="N8" s="175" t="s">
        <v>229</v>
      </c>
      <c r="P8" s="177" t="s">
        <v>228</v>
      </c>
      <c r="R8" s="177" t="s">
        <v>229</v>
      </c>
    </row>
    <row r="9" spans="1:18">
      <c r="A9" s="164" t="s">
        <v>230</v>
      </c>
      <c r="D9" s="236" t="s">
        <v>311</v>
      </c>
      <c r="E9" s="178"/>
      <c r="F9" s="179">
        <v>0.65629999999999999</v>
      </c>
      <c r="G9" s="180"/>
      <c r="I9" s="164" t="s">
        <v>230</v>
      </c>
      <c r="L9" s="201"/>
      <c r="M9" s="178"/>
      <c r="N9" s="179">
        <v>0.65629999999999999</v>
      </c>
      <c r="R9" s="179">
        <v>0.65629999999999999</v>
      </c>
    </row>
    <row r="10" spans="1:18">
      <c r="D10" s="201"/>
      <c r="G10" s="169"/>
      <c r="L10" s="201"/>
    </row>
    <row r="11" spans="1:18">
      <c r="A11" s="164" t="s">
        <v>231</v>
      </c>
      <c r="D11" s="181">
        <f>53658+'2017 PF - PS 09.15 load'!P11</f>
        <v>52832</v>
      </c>
      <c r="E11" s="182"/>
      <c r="F11" s="181">
        <f>F$9*D11</f>
        <v>34673.641600000003</v>
      </c>
      <c r="G11" s="183"/>
      <c r="H11" s="182"/>
      <c r="I11" s="164" t="s">
        <v>231</v>
      </c>
      <c r="L11" s="237">
        <v>53658</v>
      </c>
      <c r="M11" s="182"/>
      <c r="N11" s="182">
        <f>N$9*L11</f>
        <v>35215.7454</v>
      </c>
      <c r="P11" s="182">
        <f>D11-L11</f>
        <v>-826</v>
      </c>
      <c r="R11" s="182">
        <f>R$9*P11</f>
        <v>-542.10379999999998</v>
      </c>
    </row>
    <row r="12" spans="1:18">
      <c r="A12" s="164" t="s">
        <v>232</v>
      </c>
      <c r="D12" s="184">
        <v>466</v>
      </c>
      <c r="E12" s="184"/>
      <c r="F12" s="184">
        <f>F$9*D12</f>
        <v>305.83580000000001</v>
      </c>
      <c r="G12" s="185"/>
      <c r="H12" s="182"/>
      <c r="I12" s="164" t="s">
        <v>232</v>
      </c>
      <c r="L12" s="184">
        <v>466</v>
      </c>
      <c r="M12" s="184"/>
      <c r="N12" s="184">
        <f>N$9*L12</f>
        <v>305.83580000000001</v>
      </c>
      <c r="P12" s="184"/>
      <c r="R12" s="184">
        <f>R$9*P12</f>
        <v>0</v>
      </c>
    </row>
    <row r="13" spans="1:18">
      <c r="A13" s="164" t="s">
        <v>233</v>
      </c>
      <c r="D13" s="184">
        <v>0</v>
      </c>
      <c r="E13" s="184"/>
      <c r="F13" s="184">
        <f>F$9*D13</f>
        <v>0</v>
      </c>
      <c r="G13" s="185"/>
      <c r="H13" s="182"/>
      <c r="I13" s="164" t="s">
        <v>233</v>
      </c>
      <c r="L13" s="184">
        <v>0</v>
      </c>
      <c r="M13" s="184"/>
      <c r="N13" s="184">
        <f>N$9*L13</f>
        <v>0</v>
      </c>
      <c r="P13" s="184"/>
      <c r="R13" s="184">
        <f>R$9*P13</f>
        <v>0</v>
      </c>
    </row>
    <row r="14" spans="1:18">
      <c r="A14" s="164" t="s">
        <v>234</v>
      </c>
      <c r="C14" s="164" t="s">
        <v>228</v>
      </c>
      <c r="D14" s="186">
        <f>17822-D15-D16</f>
        <v>17822</v>
      </c>
      <c r="E14" s="184"/>
      <c r="F14" s="186">
        <f>F$9*D14</f>
        <v>11696.578600000001</v>
      </c>
      <c r="G14" s="185"/>
      <c r="H14" s="182"/>
      <c r="I14" s="164" t="s">
        <v>234</v>
      </c>
      <c r="K14" s="164" t="s">
        <v>228</v>
      </c>
      <c r="L14" s="188">
        <f>16428-L15-L16</f>
        <v>16428</v>
      </c>
      <c r="M14" s="184"/>
      <c r="N14" s="184">
        <f>N$9*L14</f>
        <v>10781.696400000001</v>
      </c>
      <c r="P14" s="182">
        <f>D14-L14</f>
        <v>1394</v>
      </c>
      <c r="R14" s="182">
        <f>R$9*P14</f>
        <v>914.88220000000001</v>
      </c>
    </row>
    <row r="15" spans="1:18">
      <c r="A15" s="164" t="s">
        <v>234</v>
      </c>
      <c r="C15" s="164" t="s">
        <v>235</v>
      </c>
      <c r="D15" s="188">
        <v>0</v>
      </c>
      <c r="E15" s="184"/>
      <c r="F15" s="185">
        <f>D15</f>
        <v>0</v>
      </c>
      <c r="G15" s="185"/>
      <c r="H15" s="182"/>
      <c r="I15" s="164" t="s">
        <v>234</v>
      </c>
      <c r="K15" s="164" t="s">
        <v>235</v>
      </c>
      <c r="L15" s="188">
        <v>0</v>
      </c>
      <c r="M15" s="184"/>
      <c r="N15" s="185">
        <f>L15</f>
        <v>0</v>
      </c>
      <c r="P15" s="188"/>
      <c r="R15" s="185">
        <f>P15</f>
        <v>0</v>
      </c>
    </row>
    <row r="16" spans="1:18">
      <c r="A16" s="164" t="s">
        <v>234</v>
      </c>
      <c r="C16" s="164" t="s">
        <v>236</v>
      </c>
      <c r="D16" s="188">
        <v>0</v>
      </c>
      <c r="E16" s="184"/>
      <c r="F16" s="185">
        <v>0</v>
      </c>
      <c r="G16" s="185"/>
      <c r="H16" s="182"/>
      <c r="I16" s="164" t="s">
        <v>234</v>
      </c>
      <c r="K16" s="164" t="s">
        <v>236</v>
      </c>
      <c r="L16" s="188">
        <v>0</v>
      </c>
      <c r="M16" s="184"/>
      <c r="N16" s="185">
        <v>0</v>
      </c>
      <c r="P16" s="188"/>
      <c r="R16" s="185">
        <v>0</v>
      </c>
    </row>
    <row r="17" spans="1:18">
      <c r="A17" s="164" t="s">
        <v>237</v>
      </c>
      <c r="D17" s="188">
        <v>0</v>
      </c>
      <c r="E17" s="184"/>
      <c r="F17" s="184">
        <f>F$9*D17</f>
        <v>0</v>
      </c>
      <c r="G17" s="185"/>
      <c r="H17" s="182"/>
      <c r="I17" s="164" t="s">
        <v>237</v>
      </c>
      <c r="L17" s="188">
        <v>0</v>
      </c>
      <c r="M17" s="184"/>
      <c r="N17" s="184">
        <f>N$9*L17</f>
        <v>0</v>
      </c>
      <c r="P17" s="184"/>
      <c r="R17" s="184">
        <f>R$9*P17</f>
        <v>0</v>
      </c>
    </row>
    <row r="18" spans="1:18">
      <c r="A18" s="164" t="s">
        <v>238</v>
      </c>
      <c r="D18" s="238">
        <v>0</v>
      </c>
      <c r="E18" s="185"/>
      <c r="F18" s="190">
        <f>D18</f>
        <v>0</v>
      </c>
      <c r="G18" s="185"/>
      <c r="H18" s="182"/>
      <c r="I18" s="164" t="s">
        <v>238</v>
      </c>
      <c r="L18" s="238">
        <v>0</v>
      </c>
      <c r="M18" s="185"/>
      <c r="N18" s="190">
        <f>L18</f>
        <v>0</v>
      </c>
      <c r="P18" s="190"/>
      <c r="R18" s="190">
        <f>P18</f>
        <v>0</v>
      </c>
    </row>
    <row r="19" spans="1:18">
      <c r="A19" s="164" t="s">
        <v>239</v>
      </c>
      <c r="D19" s="188">
        <f>SUM(D11:D18)</f>
        <v>71120</v>
      </c>
      <c r="E19" s="185"/>
      <c r="F19" s="184">
        <f>SUM(F11:F18)</f>
        <v>46676.056000000004</v>
      </c>
      <c r="G19" s="185"/>
      <c r="H19" s="182"/>
      <c r="I19" s="164" t="s">
        <v>239</v>
      </c>
      <c r="L19" s="188">
        <f>SUM(L11:L18)</f>
        <v>70552</v>
      </c>
      <c r="M19" s="185"/>
      <c r="N19" s="184">
        <f>SUM(N11:N18)</f>
        <v>46303.277600000001</v>
      </c>
      <c r="P19" s="184">
        <f>SUM(P11:P18)</f>
        <v>568</v>
      </c>
      <c r="R19" s="184">
        <f>SUM(R11:R18)</f>
        <v>372.77840000000003</v>
      </c>
    </row>
    <row r="20" spans="1:18">
      <c r="D20" s="188"/>
      <c r="E20" s="185"/>
      <c r="F20" s="184"/>
      <c r="G20" s="185"/>
      <c r="H20" s="182"/>
      <c r="L20" s="188"/>
      <c r="M20" s="185"/>
      <c r="N20" s="184"/>
      <c r="P20" s="184"/>
      <c r="R20" s="184"/>
    </row>
    <row r="21" spans="1:18">
      <c r="D21" s="188"/>
      <c r="E21" s="185"/>
      <c r="F21" s="184"/>
      <c r="G21" s="185"/>
      <c r="H21" s="237"/>
      <c r="L21" s="188"/>
      <c r="M21" s="185"/>
      <c r="N21" s="184"/>
      <c r="P21" s="184"/>
      <c r="R21" s="184"/>
    </row>
    <row r="22" spans="1:18">
      <c r="A22" s="164" t="s">
        <v>240</v>
      </c>
      <c r="D22" s="186">
        <f>29225+'2017 PF - PS 09.15 load'!P22</f>
        <v>29206</v>
      </c>
      <c r="E22" s="185"/>
      <c r="F22" s="186">
        <f>F$9*D22</f>
        <v>19167.897799999999</v>
      </c>
      <c r="G22" s="185"/>
      <c r="H22" s="237"/>
      <c r="I22" s="164" t="s">
        <v>240</v>
      </c>
      <c r="L22" s="184">
        <v>29225</v>
      </c>
      <c r="M22" s="185"/>
      <c r="N22" s="184">
        <f>N$9*L22</f>
        <v>19180.3675</v>
      </c>
      <c r="P22" s="182">
        <f>D22-L22</f>
        <v>-19</v>
      </c>
      <c r="R22" s="184">
        <f t="shared" ref="R22:R26" si="0">R$9*P22</f>
        <v>-12.4697</v>
      </c>
    </row>
    <row r="23" spans="1:18">
      <c r="A23" s="164" t="s">
        <v>241</v>
      </c>
      <c r="D23" s="184">
        <v>0</v>
      </c>
      <c r="E23" s="185"/>
      <c r="F23" s="184">
        <f t="shared" ref="F23:F30" si="1">F$9*D23</f>
        <v>0</v>
      </c>
      <c r="G23" s="185"/>
      <c r="H23" s="237"/>
      <c r="I23" s="164" t="s">
        <v>241</v>
      </c>
      <c r="L23" s="184">
        <v>0</v>
      </c>
      <c r="M23" s="185"/>
      <c r="N23" s="184">
        <f t="shared" ref="N23:N30" si="2">N$9*L23</f>
        <v>0</v>
      </c>
      <c r="P23" s="184"/>
      <c r="R23" s="184">
        <f t="shared" si="0"/>
        <v>0</v>
      </c>
    </row>
    <row r="24" spans="1:18">
      <c r="A24" s="164" t="s">
        <v>242</v>
      </c>
      <c r="D24" s="186">
        <f>76583+'2017 PF - PS 09.15 load'!P24</f>
        <v>73066</v>
      </c>
      <c r="E24" s="185"/>
      <c r="F24" s="186">
        <f t="shared" si="1"/>
        <v>47953.215799999998</v>
      </c>
      <c r="G24" s="185"/>
      <c r="H24" s="237"/>
      <c r="I24" s="164" t="s">
        <v>242</v>
      </c>
      <c r="L24" s="184">
        <v>76583</v>
      </c>
      <c r="M24" s="185"/>
      <c r="N24" s="184">
        <f t="shared" si="2"/>
        <v>50261.422899999998</v>
      </c>
      <c r="P24" s="182">
        <f>D24-L24</f>
        <v>-3517</v>
      </c>
      <c r="R24" s="184">
        <f t="shared" si="0"/>
        <v>-2308.2071000000001</v>
      </c>
    </row>
    <row r="25" spans="1:18">
      <c r="A25" s="164" t="s">
        <v>243</v>
      </c>
      <c r="D25" s="184">
        <v>1029</v>
      </c>
      <c r="E25" s="185"/>
      <c r="F25" s="184">
        <f t="shared" si="1"/>
        <v>675.33270000000005</v>
      </c>
      <c r="G25" s="185"/>
      <c r="H25" s="237"/>
      <c r="I25" s="164" t="s">
        <v>243</v>
      </c>
      <c r="L25" s="184">
        <v>1029</v>
      </c>
      <c r="M25" s="185"/>
      <c r="N25" s="184">
        <f t="shared" si="2"/>
        <v>675.33270000000005</v>
      </c>
      <c r="P25" s="184"/>
      <c r="R25" s="184">
        <f t="shared" si="0"/>
        <v>0</v>
      </c>
    </row>
    <row r="26" spans="1:18">
      <c r="A26" s="164" t="s">
        <v>244</v>
      </c>
      <c r="D26" s="186">
        <f>111068+'2017 PF - PS 09.15 load'!P26</f>
        <v>114442</v>
      </c>
      <c r="E26" s="185"/>
      <c r="F26" s="186">
        <f>F$9*D26</f>
        <v>75108.284599999999</v>
      </c>
      <c r="G26" s="185"/>
      <c r="H26" s="237"/>
      <c r="I26" s="164" t="s">
        <v>244</v>
      </c>
      <c r="L26" s="188">
        <v>111068</v>
      </c>
      <c r="M26" s="185"/>
      <c r="N26" s="184">
        <f>N$9*L26</f>
        <v>72893.928400000004</v>
      </c>
      <c r="P26" s="182">
        <f>D26-L26</f>
        <v>3374</v>
      </c>
      <c r="R26" s="184">
        <f t="shared" si="0"/>
        <v>2214.3562000000002</v>
      </c>
    </row>
    <row r="27" spans="1:18">
      <c r="A27" s="164" t="s">
        <v>245</v>
      </c>
      <c r="D27" s="184">
        <v>0</v>
      </c>
      <c r="E27" s="185"/>
      <c r="F27" s="188">
        <v>0</v>
      </c>
      <c r="G27" s="185"/>
      <c r="H27" s="201"/>
      <c r="I27" s="164" t="s">
        <v>245</v>
      </c>
      <c r="L27" s="184">
        <v>0</v>
      </c>
      <c r="M27" s="185"/>
      <c r="N27" s="188">
        <v>0</v>
      </c>
      <c r="P27" s="184"/>
      <c r="R27" s="188">
        <v>0</v>
      </c>
    </row>
    <row r="28" spans="1:18">
      <c r="A28" s="164" t="s">
        <v>246</v>
      </c>
      <c r="D28" s="184">
        <v>0</v>
      </c>
      <c r="E28" s="185"/>
      <c r="F28" s="184">
        <f t="shared" si="1"/>
        <v>0</v>
      </c>
      <c r="G28" s="185"/>
      <c r="H28" s="237"/>
      <c r="I28" s="164" t="s">
        <v>246</v>
      </c>
      <c r="L28" s="184">
        <v>0</v>
      </c>
      <c r="M28" s="185"/>
      <c r="N28" s="184">
        <f t="shared" si="2"/>
        <v>0</v>
      </c>
      <c r="P28" s="184"/>
      <c r="R28" s="184">
        <f t="shared" ref="R28:R30" si="3">R$9*P28</f>
        <v>0</v>
      </c>
    </row>
    <row r="29" spans="1:18">
      <c r="A29" s="164" t="s">
        <v>247</v>
      </c>
      <c r="D29" s="184">
        <v>0</v>
      </c>
      <c r="E29" s="185"/>
      <c r="F29" s="184">
        <f t="shared" si="1"/>
        <v>0</v>
      </c>
      <c r="G29" s="185"/>
      <c r="H29" s="237"/>
      <c r="I29" s="164" t="s">
        <v>247</v>
      </c>
      <c r="L29" s="184">
        <v>0</v>
      </c>
      <c r="M29" s="185"/>
      <c r="N29" s="184">
        <f t="shared" si="2"/>
        <v>0</v>
      </c>
      <c r="P29" s="184"/>
      <c r="R29" s="184">
        <f t="shared" si="3"/>
        <v>0</v>
      </c>
    </row>
    <row r="30" spans="1:18">
      <c r="A30" s="164" t="s">
        <v>248</v>
      </c>
      <c r="D30" s="184">
        <v>407</v>
      </c>
      <c r="E30" s="185"/>
      <c r="F30" s="184">
        <f t="shared" si="1"/>
        <v>267.11410000000001</v>
      </c>
      <c r="G30" s="185"/>
      <c r="H30" s="237"/>
      <c r="I30" s="164" t="s">
        <v>248</v>
      </c>
      <c r="L30" s="184">
        <v>407</v>
      </c>
      <c r="M30" s="185"/>
      <c r="N30" s="184">
        <f t="shared" si="2"/>
        <v>267.11410000000001</v>
      </c>
      <c r="P30" s="184"/>
      <c r="R30" s="184">
        <f t="shared" si="3"/>
        <v>0</v>
      </c>
    </row>
    <row r="31" spans="1:18">
      <c r="A31" s="164" t="s">
        <v>312</v>
      </c>
      <c r="D31" s="184">
        <v>0</v>
      </c>
      <c r="E31" s="185"/>
      <c r="F31" s="188">
        <v>0</v>
      </c>
      <c r="G31" s="185"/>
      <c r="H31" s="191"/>
      <c r="I31" s="164" t="s">
        <v>312</v>
      </c>
      <c r="L31" s="184">
        <v>0</v>
      </c>
      <c r="M31" s="185"/>
      <c r="N31" s="188">
        <v>0</v>
      </c>
      <c r="P31" s="184"/>
      <c r="R31" s="188">
        <v>0</v>
      </c>
    </row>
    <row r="32" spans="1:18">
      <c r="A32" s="164" t="s">
        <v>250</v>
      </c>
      <c r="D32" s="186">
        <f>17766+'2017 PF - PS 09.15 load'!P32</f>
        <v>17596</v>
      </c>
      <c r="E32" s="185"/>
      <c r="F32" s="186">
        <f>F$9*D32</f>
        <v>11548.254800000001</v>
      </c>
      <c r="G32" s="185"/>
      <c r="H32" s="237"/>
      <c r="I32" s="164" t="s">
        <v>250</v>
      </c>
      <c r="L32" s="184">
        <v>17766</v>
      </c>
      <c r="M32" s="185"/>
      <c r="N32" s="184">
        <f>N$9*L32</f>
        <v>11659.825800000001</v>
      </c>
      <c r="P32" s="182">
        <f>D32-L32</f>
        <v>-170</v>
      </c>
      <c r="R32" s="184">
        <f>R$9*P32</f>
        <v>-111.571</v>
      </c>
    </row>
    <row r="33" spans="1:18">
      <c r="A33" s="164" t="s">
        <v>251</v>
      </c>
      <c r="D33" s="239">
        <f>SUM(D22:D32)</f>
        <v>235746</v>
      </c>
      <c r="E33" s="185"/>
      <c r="F33" s="192">
        <f>SUM(F22:F32)</f>
        <v>154720.0998</v>
      </c>
      <c r="G33" s="185"/>
      <c r="H33" s="237"/>
      <c r="I33" s="164" t="s">
        <v>251</v>
      </c>
      <c r="L33" s="239">
        <f>SUM(L22:L32)</f>
        <v>236078</v>
      </c>
      <c r="M33" s="185"/>
      <c r="N33" s="192">
        <f>SUM(N22:N32)</f>
        <v>154937.9914</v>
      </c>
      <c r="P33" s="192">
        <f>SUM(P22:P32)</f>
        <v>-332</v>
      </c>
      <c r="R33" s="192">
        <f>SUM(R22:R32)</f>
        <v>-217.89160000000001</v>
      </c>
    </row>
    <row r="34" spans="1:18">
      <c r="D34" s="201"/>
      <c r="G34" s="169"/>
      <c r="H34" s="237"/>
      <c r="L34" s="201"/>
    </row>
    <row r="35" spans="1:18">
      <c r="A35" s="164" t="s">
        <v>252</v>
      </c>
      <c r="D35" s="188">
        <f>D19-D33</f>
        <v>-164626</v>
      </c>
      <c r="E35" s="184"/>
      <c r="F35" s="184">
        <f>F19-F33</f>
        <v>-108044.04379999998</v>
      </c>
      <c r="G35" s="185"/>
      <c r="H35" s="237"/>
      <c r="I35" s="164" t="s">
        <v>252</v>
      </c>
      <c r="L35" s="188">
        <f>L19-L33</f>
        <v>-165526</v>
      </c>
      <c r="M35" s="184"/>
      <c r="N35" s="184">
        <f>N19-N33</f>
        <v>-108634.7138</v>
      </c>
      <c r="P35" s="184">
        <f>P19-P33</f>
        <v>900</v>
      </c>
      <c r="R35" s="186">
        <f>R19-R33</f>
        <v>590.67000000000007</v>
      </c>
    </row>
    <row r="36" spans="1:18">
      <c r="D36" s="201"/>
      <c r="E36" s="184"/>
      <c r="F36" s="184"/>
      <c r="G36" s="184"/>
      <c r="H36" s="201"/>
      <c r="L36" s="201"/>
      <c r="M36" s="184"/>
      <c r="N36" s="184"/>
      <c r="R36" s="184"/>
    </row>
    <row r="37" spans="1:18">
      <c r="A37" s="164" t="s">
        <v>253</v>
      </c>
      <c r="C37" s="193">
        <v>0.35</v>
      </c>
      <c r="D37" s="201"/>
      <c r="E37" s="183"/>
      <c r="F37" s="190">
        <f>C37*F35</f>
        <v>-37815.415329999989</v>
      </c>
      <c r="G37" s="182"/>
      <c r="H37" s="201"/>
      <c r="I37" s="164" t="s">
        <v>253</v>
      </c>
      <c r="K37" s="193">
        <v>0.35</v>
      </c>
      <c r="L37" s="201"/>
      <c r="M37" s="183"/>
      <c r="N37" s="190">
        <f>K37*N35</f>
        <v>-38022.149829999995</v>
      </c>
      <c r="R37" s="190">
        <f>K37*R35</f>
        <v>206.73450000000003</v>
      </c>
    </row>
    <row r="38" spans="1:18">
      <c r="D38" s="201"/>
      <c r="E38" s="183"/>
      <c r="F38" s="182"/>
      <c r="G38" s="182"/>
      <c r="H38" s="201"/>
      <c r="L38" s="201"/>
      <c r="M38" s="183"/>
      <c r="N38" s="182"/>
      <c r="R38" s="182"/>
    </row>
    <row r="39" spans="1:18">
      <c r="A39" s="164" t="s">
        <v>254</v>
      </c>
      <c r="D39" s="201"/>
      <c r="E39" s="184"/>
      <c r="F39" s="182">
        <f>F35-F37</f>
        <v>-70228.628469999996</v>
      </c>
      <c r="G39" s="184"/>
      <c r="H39" s="201"/>
      <c r="I39" s="164" t="s">
        <v>254</v>
      </c>
      <c r="L39" s="201"/>
      <c r="M39" s="184"/>
      <c r="N39" s="182">
        <f>N35-N37</f>
        <v>-70612.563970000003</v>
      </c>
      <c r="R39" s="181">
        <f>R35-R37</f>
        <v>383.93550000000005</v>
      </c>
    </row>
    <row r="40" spans="1:18">
      <c r="D40" s="201"/>
      <c r="E40" s="184"/>
      <c r="F40" s="184"/>
      <c r="G40" s="184"/>
      <c r="H40" s="201"/>
      <c r="L40" s="201"/>
      <c r="M40" s="184"/>
      <c r="N40" s="184"/>
      <c r="O40" s="197" t="s">
        <v>256</v>
      </c>
      <c r="P40" s="197">
        <v>0.61931000000000003</v>
      </c>
      <c r="R40" s="184"/>
    </row>
    <row r="41" spans="1:18">
      <c r="A41" s="194" t="s">
        <v>255</v>
      </c>
      <c r="R41" s="198">
        <f>R39/P40*-1</f>
        <v>-619.94074050152597</v>
      </c>
    </row>
    <row r="42" spans="1:18" ht="13.5" thickBot="1">
      <c r="A42" s="194" t="s">
        <v>257</v>
      </c>
      <c r="I42" s="195"/>
      <c r="R42" s="200">
        <f>(R41/'[8]Attrition 12.2015 to 2017'!V90)-0.2</f>
        <v>-610.59918409613192</v>
      </c>
    </row>
    <row r="43" spans="1:18">
      <c r="A43" s="240" t="s">
        <v>313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01"/>
      <c r="R43" s="188"/>
    </row>
    <row r="44" spans="1:18" ht="15">
      <c r="F44" s="199" t="s">
        <v>314</v>
      </c>
      <c r="P44" s="241"/>
      <c r="Q44" s="201"/>
      <c r="R44" s="188"/>
    </row>
    <row r="45" spans="1:18">
      <c r="P45" s="201"/>
      <c r="Q45" s="201"/>
      <c r="R45" s="201"/>
    </row>
  </sheetData>
  <mergeCells count="3">
    <mergeCell ref="A4:F4"/>
    <mergeCell ref="I4:N4"/>
    <mergeCell ref="A43:P43"/>
  </mergeCells>
  <pageMargins left="1.05" right="0.34" top="0.75" bottom="0.77" header="0.5" footer="0.52"/>
  <pageSetup scale="68" orientation="landscape" r:id="rId1"/>
  <headerFooter scaleWithDoc="0" alignWithMargins="0">
    <oddHeader>&amp;CAttachment G (Electric 2017 Attrition Model Backup)&amp;R(See Revised Exhibit No. EMA-7)</oddHeader>
    <oddFooter>&amp;C&amp;A&amp;RPage &amp;P of 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45"/>
  <sheetViews>
    <sheetView tabSelected="1" view="pageBreakPreview" topLeftCell="A19" zoomScale="115" zoomScaleNormal="100" zoomScaleSheetLayoutView="115" workbookViewId="0">
      <selection activeCell="I37" activeCellId="1" sqref="C29 I37"/>
    </sheetView>
  </sheetViews>
  <sheetFormatPr defaultColWidth="9.140625" defaultRowHeight="12.75"/>
  <cols>
    <col min="1" max="1" width="22.140625" style="164" customWidth="1"/>
    <col min="2" max="2" width="9.140625" style="164"/>
    <col min="3" max="3" width="11.28515625" style="164" customWidth="1"/>
    <col min="4" max="4" width="9.85546875" style="164" customWidth="1"/>
    <col min="5" max="5" width="8" style="164" customWidth="1"/>
    <col min="6" max="6" width="12.140625" style="164" customWidth="1"/>
    <col min="7" max="7" width="3.7109375" style="164" customWidth="1"/>
    <col min="8" max="8" width="2.85546875" style="164" customWidth="1"/>
    <col min="9" max="9" width="22.140625" style="164" customWidth="1"/>
    <col min="10" max="10" width="9.140625" style="164"/>
    <col min="11" max="11" width="11.28515625" style="164" customWidth="1"/>
    <col min="12" max="12" width="9.85546875" style="164" customWidth="1"/>
    <col min="13" max="13" width="8" style="164" customWidth="1"/>
    <col min="14" max="14" width="12.140625" style="164" customWidth="1"/>
    <col min="15" max="15" width="3.7109375" style="164" customWidth="1"/>
    <col min="16" max="16" width="11.42578125" style="164" bestFit="1" customWidth="1"/>
    <col min="17" max="17" width="1.85546875" style="164" customWidth="1"/>
    <col min="18" max="18" width="12.140625" style="164" customWidth="1"/>
    <col min="19" max="16384" width="9.140625" style="164"/>
  </cols>
  <sheetData>
    <row r="1" spans="1:18">
      <c r="A1" s="163" t="s">
        <v>104</v>
      </c>
      <c r="B1" s="163"/>
      <c r="C1" s="163"/>
      <c r="D1" s="163"/>
      <c r="E1" s="163"/>
      <c r="F1" s="163"/>
      <c r="G1" s="163"/>
      <c r="H1" s="163"/>
      <c r="I1" s="163" t="s">
        <v>104</v>
      </c>
      <c r="J1" s="163"/>
      <c r="K1" s="163"/>
      <c r="L1" s="163"/>
      <c r="M1" s="163"/>
      <c r="N1" s="163"/>
      <c r="O1" s="163"/>
      <c r="P1" s="163"/>
      <c r="R1" s="163"/>
    </row>
    <row r="2" spans="1:18">
      <c r="A2" s="163" t="s">
        <v>216</v>
      </c>
      <c r="B2" s="163"/>
      <c r="C2" s="163"/>
      <c r="D2" s="163"/>
      <c r="E2" s="163"/>
      <c r="F2" s="163"/>
      <c r="G2" s="163"/>
      <c r="H2" s="163"/>
      <c r="I2" s="163" t="s">
        <v>216</v>
      </c>
      <c r="J2" s="163"/>
      <c r="K2" s="163"/>
      <c r="L2" s="163"/>
      <c r="M2" s="163"/>
      <c r="N2" s="163"/>
      <c r="O2" s="163"/>
      <c r="P2" s="165" t="s">
        <v>95</v>
      </c>
      <c r="Q2" s="166"/>
      <c r="R2" s="165" t="s">
        <v>95</v>
      </c>
    </row>
    <row r="3" spans="1:18">
      <c r="A3" s="242" t="s">
        <v>218</v>
      </c>
      <c r="B3" s="163"/>
      <c r="C3" s="163"/>
      <c r="D3" s="163"/>
      <c r="E3" s="163"/>
      <c r="F3" s="163"/>
      <c r="G3" s="163"/>
      <c r="H3" s="163"/>
      <c r="I3" s="242" t="s">
        <v>315</v>
      </c>
      <c r="J3" s="163"/>
      <c r="K3" s="163"/>
      <c r="L3" s="163"/>
      <c r="M3" s="163"/>
      <c r="N3" s="163"/>
      <c r="O3" s="163"/>
      <c r="P3" s="165" t="s">
        <v>219</v>
      </c>
      <c r="Q3" s="166"/>
      <c r="R3" s="165" t="s">
        <v>219</v>
      </c>
    </row>
    <row r="4" spans="1:18" ht="15">
      <c r="A4" s="168" t="s">
        <v>220</v>
      </c>
      <c r="B4" s="168"/>
      <c r="C4" s="168"/>
      <c r="D4" s="168"/>
      <c r="E4" s="168"/>
      <c r="F4" s="168"/>
      <c r="G4" s="169"/>
      <c r="I4" s="168" t="s">
        <v>221</v>
      </c>
      <c r="J4" s="168"/>
      <c r="K4" s="168"/>
      <c r="L4" s="168"/>
      <c r="M4" s="168"/>
      <c r="N4" s="168"/>
      <c r="O4" s="169"/>
      <c r="P4" s="165" t="s">
        <v>222</v>
      </c>
      <c r="Q4" s="166"/>
      <c r="R4" s="165" t="s">
        <v>222</v>
      </c>
    </row>
    <row r="5" spans="1:18">
      <c r="C5" s="243"/>
      <c r="D5" s="165" t="s">
        <v>316</v>
      </c>
      <c r="E5" s="243"/>
      <c r="F5" s="243" t="s">
        <v>317</v>
      </c>
      <c r="G5" s="169"/>
      <c r="H5" s="172"/>
      <c r="K5" s="243"/>
      <c r="L5" s="165" t="s">
        <v>316</v>
      </c>
      <c r="M5" s="243"/>
      <c r="O5" s="169"/>
      <c r="P5" s="165" t="s">
        <v>318</v>
      </c>
      <c r="R5" s="165" t="s">
        <v>318</v>
      </c>
    </row>
    <row r="6" spans="1:18">
      <c r="D6" s="173" t="s">
        <v>225</v>
      </c>
      <c r="E6" s="173"/>
      <c r="F6" s="173" t="s">
        <v>124</v>
      </c>
      <c r="G6" s="169"/>
      <c r="L6" s="173" t="s">
        <v>225</v>
      </c>
      <c r="M6" s="173"/>
      <c r="N6" s="173" t="s">
        <v>124</v>
      </c>
      <c r="O6" s="169"/>
      <c r="P6" s="174" t="s">
        <v>225</v>
      </c>
      <c r="R6" s="174" t="s">
        <v>124</v>
      </c>
    </row>
    <row r="7" spans="1:18">
      <c r="D7" s="173" t="s">
        <v>226</v>
      </c>
      <c r="E7" s="173"/>
      <c r="F7" s="173" t="s">
        <v>227</v>
      </c>
      <c r="G7" s="169"/>
      <c r="L7" s="173" t="s">
        <v>226</v>
      </c>
      <c r="M7" s="173"/>
      <c r="N7" s="173" t="s">
        <v>227</v>
      </c>
      <c r="O7" s="169"/>
      <c r="P7" s="174" t="s">
        <v>226</v>
      </c>
      <c r="R7" s="174" t="s">
        <v>227</v>
      </c>
    </row>
    <row r="8" spans="1:18">
      <c r="D8" s="175" t="s">
        <v>228</v>
      </c>
      <c r="E8" s="175"/>
      <c r="F8" s="175" t="s">
        <v>229</v>
      </c>
      <c r="G8" s="235"/>
      <c r="L8" s="175" t="s">
        <v>228</v>
      </c>
      <c r="M8" s="175"/>
      <c r="N8" s="175" t="s">
        <v>229</v>
      </c>
      <c r="O8" s="235"/>
      <c r="P8" s="177" t="s">
        <v>228</v>
      </c>
      <c r="R8" s="177" t="s">
        <v>229</v>
      </c>
    </row>
    <row r="9" spans="1:18">
      <c r="A9" s="164" t="s">
        <v>230</v>
      </c>
      <c r="E9" s="178"/>
      <c r="F9" s="179">
        <v>0.65629999999999999</v>
      </c>
      <c r="G9" s="180"/>
      <c r="H9" s="179"/>
      <c r="I9" s="164" t="s">
        <v>230</v>
      </c>
      <c r="M9" s="178"/>
      <c r="N9" s="179">
        <v>0.65629999999999999</v>
      </c>
      <c r="O9" s="180"/>
      <c r="R9" s="179">
        <v>0.65629999999999999</v>
      </c>
    </row>
    <row r="10" spans="1:18">
      <c r="G10" s="169"/>
      <c r="O10" s="169"/>
    </row>
    <row r="11" spans="1:18">
      <c r="A11" s="164" t="s">
        <v>231</v>
      </c>
      <c r="D11" s="181">
        <v>54189</v>
      </c>
      <c r="E11" s="182"/>
      <c r="F11" s="181">
        <f>F$9*D11</f>
        <v>35564.240700000002</v>
      </c>
      <c r="G11" s="183"/>
      <c r="H11" s="182"/>
      <c r="I11" s="164" t="s">
        <v>231</v>
      </c>
      <c r="L11" s="182">
        <v>57362</v>
      </c>
      <c r="M11" s="182"/>
      <c r="N11" s="182">
        <f>N$9*L11</f>
        <v>37646.6806</v>
      </c>
      <c r="O11" s="183"/>
      <c r="P11" s="182">
        <f>D11-L11</f>
        <v>-3173</v>
      </c>
      <c r="R11" s="182">
        <f>R$9*P11</f>
        <v>-2082.4398999999999</v>
      </c>
    </row>
    <row r="12" spans="1:18">
      <c r="A12" s="164" t="s">
        <v>232</v>
      </c>
      <c r="D12" s="184">
        <v>466</v>
      </c>
      <c r="E12" s="184"/>
      <c r="F12" s="184">
        <f>F$9*D12</f>
        <v>305.83580000000001</v>
      </c>
      <c r="G12" s="185"/>
      <c r="H12" s="182"/>
      <c r="I12" s="164" t="s">
        <v>232</v>
      </c>
      <c r="L12" s="184">
        <v>466</v>
      </c>
      <c r="M12" s="184"/>
      <c r="N12" s="184">
        <f>N$9*L12</f>
        <v>305.83580000000001</v>
      </c>
      <c r="O12" s="185"/>
      <c r="P12" s="184"/>
      <c r="R12" s="184">
        <f>R$9*P12</f>
        <v>0</v>
      </c>
    </row>
    <row r="13" spans="1:18">
      <c r="A13" s="164" t="s">
        <v>233</v>
      </c>
      <c r="D13" s="184">
        <v>0</v>
      </c>
      <c r="E13" s="184"/>
      <c r="F13" s="184">
        <f>F$9*D13</f>
        <v>0</v>
      </c>
      <c r="G13" s="185"/>
      <c r="H13" s="182"/>
      <c r="I13" s="164" t="s">
        <v>233</v>
      </c>
      <c r="L13" s="184">
        <v>0</v>
      </c>
      <c r="M13" s="184"/>
      <c r="N13" s="184">
        <f>N$9*L13</f>
        <v>0</v>
      </c>
      <c r="O13" s="185"/>
      <c r="P13" s="184"/>
      <c r="R13" s="184">
        <f>R$9*P13</f>
        <v>0</v>
      </c>
    </row>
    <row r="14" spans="1:18">
      <c r="A14" s="164" t="s">
        <v>234</v>
      </c>
      <c r="C14" s="164" t="s">
        <v>228</v>
      </c>
      <c r="D14" s="186">
        <f>16428-D15-D16-300+1394</f>
        <v>17522</v>
      </c>
      <c r="E14" s="184"/>
      <c r="F14" s="186">
        <f>F$9*D14</f>
        <v>11499.688599999999</v>
      </c>
      <c r="G14" s="185"/>
      <c r="H14" s="187"/>
      <c r="I14" s="164" t="s">
        <v>234</v>
      </c>
      <c r="K14" s="164" t="s">
        <v>228</v>
      </c>
      <c r="L14" s="188">
        <f>16428-L15-L16-300</f>
        <v>16128</v>
      </c>
      <c r="M14" s="184"/>
      <c r="N14" s="184">
        <f>N$9*L14</f>
        <v>10584.806399999999</v>
      </c>
      <c r="O14" s="185"/>
      <c r="P14" s="182">
        <f>D14-L14</f>
        <v>1394</v>
      </c>
      <c r="R14" s="182">
        <f>R$9*P14</f>
        <v>914.88220000000001</v>
      </c>
    </row>
    <row r="15" spans="1:18">
      <c r="A15" s="164" t="s">
        <v>234</v>
      </c>
      <c r="C15" s="164" t="s">
        <v>235</v>
      </c>
      <c r="D15" s="188">
        <v>0</v>
      </c>
      <c r="E15" s="184"/>
      <c r="F15" s="185">
        <f>D15</f>
        <v>0</v>
      </c>
      <c r="G15" s="185"/>
      <c r="H15" s="189"/>
      <c r="I15" s="164" t="s">
        <v>234</v>
      </c>
      <c r="K15" s="164" t="s">
        <v>235</v>
      </c>
      <c r="L15" s="188">
        <v>0</v>
      </c>
      <c r="M15" s="184"/>
      <c r="N15" s="185">
        <f>L15</f>
        <v>0</v>
      </c>
      <c r="O15" s="185"/>
      <c r="P15" s="188"/>
      <c r="R15" s="185">
        <f>P15</f>
        <v>0</v>
      </c>
    </row>
    <row r="16" spans="1:18">
      <c r="A16" s="164" t="s">
        <v>234</v>
      </c>
      <c r="C16" s="164" t="s">
        <v>236</v>
      </c>
      <c r="D16" s="188">
        <v>0</v>
      </c>
      <c r="E16" s="184"/>
      <c r="F16" s="185">
        <v>0</v>
      </c>
      <c r="G16" s="185"/>
      <c r="H16" s="189"/>
      <c r="I16" s="164" t="s">
        <v>234</v>
      </c>
      <c r="K16" s="164" t="s">
        <v>236</v>
      </c>
      <c r="L16" s="188">
        <v>0</v>
      </c>
      <c r="M16" s="184"/>
      <c r="N16" s="185">
        <v>0</v>
      </c>
      <c r="O16" s="185"/>
      <c r="P16" s="188"/>
      <c r="R16" s="185">
        <v>0</v>
      </c>
    </row>
    <row r="17" spans="1:18">
      <c r="A17" s="164" t="s">
        <v>237</v>
      </c>
      <c r="D17" s="184">
        <v>0</v>
      </c>
      <c r="E17" s="184"/>
      <c r="F17" s="184">
        <f>F$9*D17</f>
        <v>0</v>
      </c>
      <c r="G17" s="185"/>
      <c r="H17" s="182"/>
      <c r="I17" s="164" t="s">
        <v>237</v>
      </c>
      <c r="L17" s="184">
        <v>0</v>
      </c>
      <c r="M17" s="184"/>
      <c r="N17" s="184">
        <f>N$9*L17</f>
        <v>0</v>
      </c>
      <c r="O17" s="185"/>
      <c r="P17" s="184"/>
      <c r="R17" s="184">
        <f>R$9*P17</f>
        <v>0</v>
      </c>
    </row>
    <row r="18" spans="1:18">
      <c r="A18" s="164" t="s">
        <v>238</v>
      </c>
      <c r="D18" s="190">
        <v>0</v>
      </c>
      <c r="E18" s="185"/>
      <c r="F18" s="190">
        <f>D18</f>
        <v>0</v>
      </c>
      <c r="G18" s="185"/>
      <c r="H18" s="182"/>
      <c r="I18" s="164" t="s">
        <v>238</v>
      </c>
      <c r="L18" s="190">
        <v>0</v>
      </c>
      <c r="M18" s="185"/>
      <c r="N18" s="190">
        <f>L18</f>
        <v>0</v>
      </c>
      <c r="O18" s="185"/>
      <c r="P18" s="190"/>
      <c r="R18" s="190">
        <f>P18</f>
        <v>0</v>
      </c>
    </row>
    <row r="19" spans="1:18">
      <c r="A19" s="164" t="s">
        <v>239</v>
      </c>
      <c r="D19" s="184">
        <f>SUM(D11:D18)</f>
        <v>72177</v>
      </c>
      <c r="E19" s="185"/>
      <c r="F19" s="184">
        <f>SUM(F11:F18)</f>
        <v>47369.765100000004</v>
      </c>
      <c r="G19" s="185"/>
      <c r="H19" s="182"/>
      <c r="I19" s="164" t="s">
        <v>239</v>
      </c>
      <c r="L19" s="184">
        <f>SUM(L11:L18)</f>
        <v>73956</v>
      </c>
      <c r="M19" s="185"/>
      <c r="N19" s="184">
        <f>SUM(N11:N18)</f>
        <v>48537.322800000002</v>
      </c>
      <c r="O19" s="185"/>
      <c r="P19" s="184">
        <f>SUM(P11:P18)</f>
        <v>-1779</v>
      </c>
      <c r="R19" s="184">
        <f>SUM(R11:R18)</f>
        <v>-1167.5576999999998</v>
      </c>
    </row>
    <row r="20" spans="1:18">
      <c r="D20" s="184"/>
      <c r="E20" s="185"/>
      <c r="F20" s="184"/>
      <c r="G20" s="185"/>
      <c r="H20" s="182"/>
      <c r="L20" s="184"/>
      <c r="M20" s="185"/>
      <c r="N20" s="184"/>
      <c r="O20" s="185"/>
      <c r="P20" s="184"/>
      <c r="R20" s="184"/>
    </row>
    <row r="21" spans="1:18">
      <c r="D21" s="184"/>
      <c r="E21" s="185"/>
      <c r="F21" s="184"/>
      <c r="G21" s="185"/>
      <c r="H21" s="182"/>
      <c r="L21" s="184"/>
      <c r="M21" s="185"/>
      <c r="N21" s="184"/>
      <c r="O21" s="185"/>
      <c r="P21" s="184"/>
      <c r="R21" s="184"/>
    </row>
    <row r="22" spans="1:18">
      <c r="A22" s="164" t="s">
        <v>240</v>
      </c>
      <c r="D22" s="186">
        <v>29154</v>
      </c>
      <c r="E22" s="185"/>
      <c r="F22" s="186">
        <f t="shared" ref="F22:F30" si="0">F$9*D22</f>
        <v>19133.770199999999</v>
      </c>
      <c r="G22" s="185"/>
      <c r="H22" s="182"/>
      <c r="I22" s="164" t="s">
        <v>240</v>
      </c>
      <c r="L22" s="184">
        <v>29255</v>
      </c>
      <c r="M22" s="185"/>
      <c r="N22" s="184">
        <f t="shared" ref="N22:N30" si="1">N$9*L22</f>
        <v>19200.056499999999</v>
      </c>
      <c r="O22" s="185"/>
      <c r="P22" s="182">
        <f>D22-L22</f>
        <v>-101</v>
      </c>
      <c r="R22" s="184">
        <f t="shared" ref="R22:R26" si="2">R$9*P22</f>
        <v>-66.286299999999997</v>
      </c>
    </row>
    <row r="23" spans="1:18">
      <c r="A23" s="164" t="s">
        <v>241</v>
      </c>
      <c r="D23" s="184">
        <v>0</v>
      </c>
      <c r="E23" s="185"/>
      <c r="F23" s="184">
        <f t="shared" si="0"/>
        <v>0</v>
      </c>
      <c r="G23" s="185"/>
      <c r="H23" s="182"/>
      <c r="I23" s="164" t="s">
        <v>241</v>
      </c>
      <c r="L23" s="184">
        <v>0</v>
      </c>
      <c r="M23" s="185"/>
      <c r="N23" s="184">
        <f t="shared" si="1"/>
        <v>0</v>
      </c>
      <c r="O23" s="185"/>
      <c r="P23" s="184"/>
      <c r="R23" s="184">
        <f t="shared" si="2"/>
        <v>0</v>
      </c>
    </row>
    <row r="24" spans="1:18">
      <c r="A24" s="164" t="s">
        <v>242</v>
      </c>
      <c r="D24" s="186">
        <v>74377</v>
      </c>
      <c r="E24" s="185"/>
      <c r="F24" s="186">
        <f t="shared" si="0"/>
        <v>48813.625099999997</v>
      </c>
      <c r="G24" s="185"/>
      <c r="H24" s="182"/>
      <c r="I24" s="164" t="s">
        <v>242</v>
      </c>
      <c r="L24" s="184">
        <v>78650</v>
      </c>
      <c r="M24" s="185"/>
      <c r="N24" s="184">
        <f t="shared" si="1"/>
        <v>51617.995000000003</v>
      </c>
      <c r="O24" s="185"/>
      <c r="P24" s="182">
        <f>D24-L24</f>
        <v>-4273</v>
      </c>
      <c r="R24" s="184">
        <f t="shared" si="2"/>
        <v>-2804.3699000000001</v>
      </c>
    </row>
    <row r="25" spans="1:18">
      <c r="A25" s="164" t="s">
        <v>243</v>
      </c>
      <c r="D25" s="184">
        <v>1029</v>
      </c>
      <c r="E25" s="185"/>
      <c r="F25" s="184">
        <f t="shared" si="0"/>
        <v>675.33270000000005</v>
      </c>
      <c r="G25" s="185"/>
      <c r="H25" s="182"/>
      <c r="I25" s="164" t="s">
        <v>243</v>
      </c>
      <c r="L25" s="184">
        <v>1029</v>
      </c>
      <c r="M25" s="185"/>
      <c r="N25" s="184">
        <f t="shared" si="1"/>
        <v>675.33270000000005</v>
      </c>
      <c r="O25" s="185"/>
      <c r="P25" s="184"/>
      <c r="R25" s="184">
        <f t="shared" si="2"/>
        <v>0</v>
      </c>
    </row>
    <row r="26" spans="1:18">
      <c r="A26" s="164" t="s">
        <v>244</v>
      </c>
      <c r="D26" s="186">
        <v>111499</v>
      </c>
      <c r="E26" s="185"/>
      <c r="F26" s="186">
        <f t="shared" si="0"/>
        <v>73176.793699999995</v>
      </c>
      <c r="G26" s="185"/>
      <c r="H26" s="182"/>
      <c r="I26" s="164" t="s">
        <v>244</v>
      </c>
      <c r="L26" s="184">
        <v>111447</v>
      </c>
      <c r="M26" s="185"/>
      <c r="N26" s="184">
        <f t="shared" si="1"/>
        <v>73142.666100000002</v>
      </c>
      <c r="O26" s="185"/>
      <c r="P26" s="182">
        <f>D26-L26</f>
        <v>52</v>
      </c>
      <c r="R26" s="184">
        <f t="shared" si="2"/>
        <v>34.127600000000001</v>
      </c>
    </row>
    <row r="27" spans="1:18">
      <c r="A27" s="164" t="s">
        <v>245</v>
      </c>
      <c r="D27" s="184">
        <v>0</v>
      </c>
      <c r="E27" s="185"/>
      <c r="F27" s="188">
        <v>0</v>
      </c>
      <c r="G27" s="185"/>
      <c r="I27" s="164" t="s">
        <v>245</v>
      </c>
      <c r="L27" s="184">
        <v>0</v>
      </c>
      <c r="M27" s="185"/>
      <c r="N27" s="188">
        <v>0</v>
      </c>
      <c r="O27" s="185"/>
      <c r="P27" s="184"/>
      <c r="R27" s="188">
        <v>0</v>
      </c>
    </row>
    <row r="28" spans="1:18">
      <c r="A28" s="164" t="s">
        <v>246</v>
      </c>
      <c r="D28" s="184">
        <v>0</v>
      </c>
      <c r="E28" s="185"/>
      <c r="F28" s="184">
        <f t="shared" si="0"/>
        <v>0</v>
      </c>
      <c r="G28" s="185"/>
      <c r="H28" s="182"/>
      <c r="I28" s="164" t="s">
        <v>246</v>
      </c>
      <c r="L28" s="184">
        <v>0</v>
      </c>
      <c r="M28" s="185"/>
      <c r="N28" s="184">
        <f t="shared" si="1"/>
        <v>0</v>
      </c>
      <c r="O28" s="185"/>
      <c r="P28" s="184"/>
      <c r="R28" s="184">
        <f t="shared" ref="R28:R30" si="3">R$9*P28</f>
        <v>0</v>
      </c>
    </row>
    <row r="29" spans="1:18">
      <c r="A29" s="164" t="s">
        <v>247</v>
      </c>
      <c r="D29" s="184">
        <v>0</v>
      </c>
      <c r="E29" s="185"/>
      <c r="F29" s="184">
        <f t="shared" si="0"/>
        <v>0</v>
      </c>
      <c r="G29" s="185"/>
      <c r="H29" s="182"/>
      <c r="I29" s="164" t="s">
        <v>247</v>
      </c>
      <c r="L29" s="184">
        <v>0</v>
      </c>
      <c r="M29" s="185"/>
      <c r="N29" s="184">
        <f t="shared" si="1"/>
        <v>0</v>
      </c>
      <c r="O29" s="185"/>
      <c r="P29" s="184"/>
      <c r="R29" s="184">
        <f t="shared" si="3"/>
        <v>0</v>
      </c>
    </row>
    <row r="30" spans="1:18">
      <c r="A30" s="164" t="s">
        <v>248</v>
      </c>
      <c r="D30" s="184">
        <v>407</v>
      </c>
      <c r="E30" s="185"/>
      <c r="F30" s="184">
        <f t="shared" si="0"/>
        <v>267.11410000000001</v>
      </c>
      <c r="G30" s="185"/>
      <c r="H30" s="182"/>
      <c r="I30" s="164" t="s">
        <v>248</v>
      </c>
      <c r="L30" s="184">
        <v>407</v>
      </c>
      <c r="M30" s="185"/>
      <c r="N30" s="184">
        <f t="shared" si="1"/>
        <v>267.11410000000001</v>
      </c>
      <c r="O30" s="185"/>
      <c r="P30" s="184"/>
      <c r="R30" s="184">
        <f t="shared" si="3"/>
        <v>0</v>
      </c>
    </row>
    <row r="31" spans="1:18">
      <c r="A31" s="164" t="s">
        <v>249</v>
      </c>
      <c r="D31" s="184">
        <v>0</v>
      </c>
      <c r="E31" s="185"/>
      <c r="F31" s="188">
        <v>0</v>
      </c>
      <c r="G31" s="185"/>
      <c r="H31" s="191"/>
      <c r="I31" s="164" t="s">
        <v>249</v>
      </c>
      <c r="L31" s="184">
        <v>0</v>
      </c>
      <c r="M31" s="185"/>
      <c r="N31" s="188">
        <v>0</v>
      </c>
      <c r="O31" s="185"/>
      <c r="P31" s="184"/>
      <c r="R31" s="188">
        <v>0</v>
      </c>
    </row>
    <row r="32" spans="1:18">
      <c r="A32" s="164" t="s">
        <v>250</v>
      </c>
      <c r="D32" s="186">
        <v>17595</v>
      </c>
      <c r="E32" s="185"/>
      <c r="F32" s="186">
        <f>F$9*D32</f>
        <v>11547.5985</v>
      </c>
      <c r="G32" s="185"/>
      <c r="H32" s="182"/>
      <c r="I32" s="164" t="s">
        <v>250</v>
      </c>
      <c r="L32" s="184">
        <v>18169</v>
      </c>
      <c r="M32" s="185"/>
      <c r="N32" s="184">
        <f>N$9*L32</f>
        <v>11924.314699999999</v>
      </c>
      <c r="O32" s="185"/>
      <c r="P32" s="182">
        <f>D32-L32</f>
        <v>-574</v>
      </c>
      <c r="R32" s="184">
        <f>R$9*P32</f>
        <v>-376.71620000000001</v>
      </c>
    </row>
    <row r="33" spans="1:18">
      <c r="A33" s="164" t="s">
        <v>251</v>
      </c>
      <c r="D33" s="192">
        <f>SUM(D22:D32)</f>
        <v>234061</v>
      </c>
      <c r="E33" s="185"/>
      <c r="F33" s="192">
        <f>SUM(F22:F32)</f>
        <v>153614.23429999998</v>
      </c>
      <c r="G33" s="185"/>
      <c r="H33" s="182"/>
      <c r="I33" s="164" t="s">
        <v>251</v>
      </c>
      <c r="L33" s="192">
        <f>SUM(L22:L32)</f>
        <v>238957</v>
      </c>
      <c r="M33" s="185"/>
      <c r="N33" s="192">
        <f>SUM(N22:N32)</f>
        <v>156827.4791</v>
      </c>
      <c r="O33" s="185"/>
      <c r="P33" s="192">
        <f>SUM(P22:P32)</f>
        <v>-4896</v>
      </c>
      <c r="R33" s="192">
        <f>SUM(R22:R32)</f>
        <v>-3213.2448000000004</v>
      </c>
    </row>
    <row r="34" spans="1:18">
      <c r="G34" s="169"/>
      <c r="H34" s="182"/>
      <c r="O34" s="169"/>
    </row>
    <row r="35" spans="1:18">
      <c r="A35" s="164" t="s">
        <v>252</v>
      </c>
      <c r="D35" s="184">
        <f>D19-D33</f>
        <v>-161884</v>
      </c>
      <c r="E35" s="184"/>
      <c r="F35" s="184">
        <f>F19-F33</f>
        <v>-106244.46919999998</v>
      </c>
      <c r="G35" s="185"/>
      <c r="H35" s="182"/>
      <c r="I35" s="164" t="s">
        <v>252</v>
      </c>
      <c r="L35" s="184">
        <f>L19-L33</f>
        <v>-165001</v>
      </c>
      <c r="M35" s="184"/>
      <c r="N35" s="184">
        <f>N19-N33</f>
        <v>-108290.1563</v>
      </c>
      <c r="O35" s="185"/>
      <c r="P35" s="244">
        <f>P19-P33</f>
        <v>3117</v>
      </c>
      <c r="R35" s="244">
        <f>R19-R33</f>
        <v>2045.6871000000006</v>
      </c>
    </row>
    <row r="36" spans="1:18">
      <c r="E36" s="184"/>
      <c r="F36" s="184"/>
      <c r="G36" s="184"/>
      <c r="M36" s="184"/>
      <c r="N36" s="184"/>
      <c r="O36" s="184"/>
      <c r="R36" s="184"/>
    </row>
    <row r="37" spans="1:18">
      <c r="A37" s="164" t="s">
        <v>253</v>
      </c>
      <c r="C37" s="193">
        <v>0.35</v>
      </c>
      <c r="E37" s="183"/>
      <c r="F37" s="190">
        <f>C37*F35</f>
        <v>-37185.564219999993</v>
      </c>
      <c r="G37" s="182"/>
      <c r="I37" s="164" t="s">
        <v>253</v>
      </c>
      <c r="K37" s="193">
        <v>0.35</v>
      </c>
      <c r="M37" s="183"/>
      <c r="N37" s="190">
        <f>K37*N35</f>
        <v>-37901.554704999995</v>
      </c>
      <c r="O37" s="182"/>
      <c r="R37" s="190">
        <f>K37*R35</f>
        <v>715.99048500000015</v>
      </c>
    </row>
    <row r="38" spans="1:18">
      <c r="E38" s="183"/>
      <c r="F38" s="182"/>
      <c r="G38" s="182"/>
      <c r="M38" s="183"/>
      <c r="N38" s="182"/>
      <c r="O38" s="182"/>
      <c r="R38" s="182"/>
    </row>
    <row r="39" spans="1:18">
      <c r="A39" s="164" t="s">
        <v>254</v>
      </c>
      <c r="E39" s="184"/>
      <c r="F39" s="182">
        <f>F35-F37-1</f>
        <v>-69059.904979999992</v>
      </c>
      <c r="G39" s="184"/>
      <c r="I39" s="164" t="s">
        <v>254</v>
      </c>
      <c r="M39" s="184"/>
      <c r="N39" s="182">
        <f>N35-N37-1</f>
        <v>-70389.601595000015</v>
      </c>
      <c r="O39" s="184"/>
      <c r="R39" s="181">
        <f>R35-R37</f>
        <v>1329.6966150000003</v>
      </c>
    </row>
    <row r="40" spans="1:18">
      <c r="E40" s="184"/>
      <c r="F40" s="184"/>
      <c r="G40" s="184"/>
      <c r="M40" s="184"/>
      <c r="N40" s="184"/>
      <c r="O40" s="184"/>
      <c r="R40" s="184"/>
    </row>
    <row r="41" spans="1:18">
      <c r="A41" s="194" t="s">
        <v>255</v>
      </c>
      <c r="I41" s="195"/>
      <c r="O41" s="245" t="s">
        <v>256</v>
      </c>
      <c r="P41" s="164">
        <v>0.61931000000000003</v>
      </c>
      <c r="R41" s="246">
        <f>R39/P41</f>
        <v>2147.0614312702851</v>
      </c>
    </row>
    <row r="42" spans="1:18" ht="13.5" thickBot="1">
      <c r="A42" s="195"/>
      <c r="I42" s="195"/>
      <c r="N42" s="194" t="s">
        <v>319</v>
      </c>
      <c r="O42" s="194"/>
      <c r="P42" s="194"/>
      <c r="Q42" s="194"/>
      <c r="R42" s="247">
        <v>620</v>
      </c>
    </row>
    <row r="43" spans="1:18" s="201" customFormat="1" ht="13.5" thickBot="1">
      <c r="D43" s="188"/>
      <c r="E43" s="202"/>
      <c r="F43" s="188"/>
      <c r="G43" s="202"/>
      <c r="H43" s="191"/>
      <c r="L43" s="188"/>
      <c r="M43" s="202"/>
      <c r="N43" s="248" t="s">
        <v>320</v>
      </c>
      <c r="O43" s="249"/>
      <c r="P43" s="249"/>
      <c r="Q43" s="250"/>
      <c r="R43" s="251">
        <f>R41-R42</f>
        <v>1527.0614312702851</v>
      </c>
    </row>
    <row r="44" spans="1:18" s="201" customFormat="1">
      <c r="D44" s="188"/>
      <c r="E44" s="202"/>
      <c r="F44" s="188"/>
      <c r="G44" s="202"/>
      <c r="H44" s="191"/>
      <c r="L44" s="188"/>
      <c r="M44" s="202"/>
      <c r="N44" s="188"/>
      <c r="O44" s="202"/>
      <c r="P44" s="188"/>
      <c r="R44" s="188"/>
    </row>
    <row r="45" spans="1:18" s="201" customFormat="1" ht="15">
      <c r="F45" s="199" t="s">
        <v>258</v>
      </c>
    </row>
  </sheetData>
  <mergeCells count="2">
    <mergeCell ref="A4:F4"/>
    <mergeCell ref="I4:N4"/>
  </mergeCells>
  <pageMargins left="1.05" right="0.34" top="0.75" bottom="0.77" header="0.5" footer="0.52"/>
  <pageSetup scale="69" orientation="landscape" r:id="rId1"/>
  <headerFooter scaleWithDoc="0" alignWithMargins="0">
    <oddHeader>&amp;CAttachment G (Electric 2018 Attrition Model Backup)&amp;R(See Revised Exhibit No. EMA-9)</oddHeader>
    <oddFooter>&amp;C &amp;A&amp;RPage &amp;P of &amp;N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5"/>
  <sheetViews>
    <sheetView tabSelected="1" view="pageBreakPreview" topLeftCell="A28" zoomScaleNormal="100" zoomScaleSheetLayoutView="100" workbookViewId="0">
      <selection activeCell="I37" activeCellId="1" sqref="C29 I37"/>
    </sheetView>
  </sheetViews>
  <sheetFormatPr defaultColWidth="9.140625" defaultRowHeight="12.75"/>
  <cols>
    <col min="1" max="1" width="6.7109375" style="204" customWidth="1"/>
    <col min="2" max="2" width="3.42578125" style="204" customWidth="1"/>
    <col min="3" max="3" width="36.7109375" style="204" customWidth="1"/>
    <col min="4" max="4" width="9.28515625" style="204" bestFit="1" customWidth="1"/>
    <col min="5" max="5" width="13.5703125" style="204" customWidth="1"/>
    <col min="6" max="6" width="2.42578125" style="204" customWidth="1"/>
    <col min="7" max="7" width="11.42578125" style="204" customWidth="1"/>
    <col min="8" max="8" width="10.7109375" style="204" customWidth="1"/>
    <col min="9" max="9" width="11.85546875" style="204" customWidth="1"/>
    <col min="10" max="10" width="10.28515625" style="204" customWidth="1"/>
    <col min="11" max="12" width="9.140625" style="204"/>
    <col min="13" max="13" width="4.5703125" style="204" customWidth="1"/>
    <col min="14" max="16384" width="9.140625" style="204"/>
  </cols>
  <sheetData>
    <row r="1" spans="1:10" ht="42" customHeight="1">
      <c r="A1" s="203" t="s">
        <v>259</v>
      </c>
      <c r="B1" s="203"/>
      <c r="C1" s="203"/>
      <c r="D1" s="203"/>
      <c r="E1" s="203"/>
      <c r="F1" s="203"/>
      <c r="G1" s="252" t="s">
        <v>321</v>
      </c>
      <c r="H1" s="252"/>
      <c r="I1" s="252"/>
    </row>
    <row r="2" spans="1:10">
      <c r="A2" s="205" t="s">
        <v>260</v>
      </c>
      <c r="B2" s="205"/>
      <c r="C2" s="205"/>
      <c r="D2" s="205"/>
      <c r="E2" s="205"/>
      <c r="F2" s="205"/>
      <c r="G2" s="252"/>
      <c r="H2" s="252"/>
      <c r="I2" s="252"/>
    </row>
    <row r="3" spans="1:10">
      <c r="A3" s="207"/>
      <c r="B3" s="207"/>
      <c r="C3" s="207"/>
      <c r="D3" s="253" t="s">
        <v>322</v>
      </c>
      <c r="E3" s="243" t="s">
        <v>323</v>
      </c>
      <c r="F3" s="207"/>
      <c r="G3" s="252"/>
      <c r="H3" s="252"/>
      <c r="I3" s="252"/>
    </row>
    <row r="4" spans="1:10">
      <c r="E4" s="207" t="s">
        <v>262</v>
      </c>
      <c r="G4" s="208" t="s">
        <v>225</v>
      </c>
      <c r="H4" s="208" t="s">
        <v>225</v>
      </c>
      <c r="I4" s="207" t="s">
        <v>263</v>
      </c>
      <c r="J4" s="207"/>
    </row>
    <row r="5" spans="1:10">
      <c r="E5" s="209" t="s">
        <v>264</v>
      </c>
      <c r="G5" s="208" t="s">
        <v>265</v>
      </c>
      <c r="H5" s="208" t="s">
        <v>265</v>
      </c>
      <c r="I5" s="207" t="s">
        <v>225</v>
      </c>
      <c r="J5" s="207" t="s">
        <v>266</v>
      </c>
    </row>
    <row r="6" spans="1:10">
      <c r="A6" s="207" t="s">
        <v>93</v>
      </c>
      <c r="E6" s="207" t="s">
        <v>267</v>
      </c>
      <c r="G6" s="208" t="s">
        <v>268</v>
      </c>
      <c r="H6" s="208" t="s">
        <v>269</v>
      </c>
      <c r="I6" s="207" t="s">
        <v>226</v>
      </c>
      <c r="J6" s="207" t="s">
        <v>262</v>
      </c>
    </row>
    <row r="7" spans="1:10">
      <c r="A7" s="210" t="s">
        <v>86</v>
      </c>
      <c r="C7" s="211" t="s">
        <v>270</v>
      </c>
      <c r="D7" s="207" t="s">
        <v>271</v>
      </c>
      <c r="E7" s="210" t="s">
        <v>265</v>
      </c>
      <c r="G7" s="212" t="s">
        <v>272</v>
      </c>
      <c r="H7" s="212" t="s">
        <v>272</v>
      </c>
      <c r="I7" s="213" t="s">
        <v>273</v>
      </c>
      <c r="J7" s="213" t="s">
        <v>264</v>
      </c>
    </row>
    <row r="8" spans="1:10">
      <c r="A8" s="207"/>
      <c r="F8" s="215"/>
      <c r="G8" s="215"/>
      <c r="H8" s="215"/>
      <c r="I8" s="215"/>
    </row>
    <row r="9" spans="1:10">
      <c r="A9" s="207"/>
      <c r="B9" s="204" t="s">
        <v>275</v>
      </c>
      <c r="F9" s="215"/>
      <c r="G9" s="215"/>
      <c r="H9" s="215"/>
      <c r="I9" s="215"/>
    </row>
    <row r="10" spans="1:10">
      <c r="A10" s="207">
        <v>1</v>
      </c>
      <c r="B10" s="204" t="s">
        <v>277</v>
      </c>
      <c r="D10" s="217"/>
      <c r="E10" s="218">
        <f>I10+J10</f>
        <v>9381.5170014369251</v>
      </c>
      <c r="F10" s="215"/>
      <c r="G10" s="215"/>
      <c r="H10" s="254"/>
      <c r="I10" s="215"/>
      <c r="J10" s="220">
        <f>'[9]Attrition 12.2015 to 2018'!P7*'[9]Attrition 12.2015 to 2018'!M7</f>
        <v>9381.5170014369251</v>
      </c>
    </row>
    <row r="11" spans="1:10">
      <c r="A11" s="207">
        <v>2</v>
      </c>
      <c r="B11" s="204" t="s">
        <v>278</v>
      </c>
      <c r="E11" s="220">
        <f>I11+J11</f>
        <v>17.618727996611188</v>
      </c>
      <c r="F11" s="215"/>
      <c r="G11" s="215"/>
      <c r="H11" s="215"/>
      <c r="I11" s="215"/>
      <c r="J11" s="220">
        <f>'[9]Attrition 12.2015 to 2018'!P8*'[9]Attrition 12.2015 to 2018'!M8</f>
        <v>17.618727996611188</v>
      </c>
    </row>
    <row r="12" spans="1:10">
      <c r="A12" s="207">
        <v>3</v>
      </c>
      <c r="B12" s="204" t="s">
        <v>279</v>
      </c>
      <c r="E12" s="220">
        <f>I12+J12</f>
        <v>-3099</v>
      </c>
      <c r="F12" s="215"/>
      <c r="G12" s="220">
        <f>ROUND('2018 PF PS 09.2015 load'!F11,0)</f>
        <v>35564</v>
      </c>
      <c r="H12" s="220">
        <f>ROUND('PF Power Supply 2018 load'!F11,0)</f>
        <v>32465</v>
      </c>
      <c r="I12" s="218">
        <f>H12-G12</f>
        <v>-3099</v>
      </c>
    </row>
    <row r="13" spans="1:10">
      <c r="A13" s="207">
        <v>4</v>
      </c>
      <c r="B13" s="204" t="s">
        <v>280</v>
      </c>
      <c r="E13" s="222">
        <f>SUM(E10:E12)</f>
        <v>6300.1357294335357</v>
      </c>
      <c r="F13" s="215"/>
      <c r="G13" s="222">
        <f>SUM(G10:G12)</f>
        <v>35564</v>
      </c>
      <c r="H13" s="222">
        <f>SUM(H10:H12)</f>
        <v>32465</v>
      </c>
      <c r="I13" s="222">
        <f>SUM(I10:I12)</f>
        <v>-3099</v>
      </c>
      <c r="J13" s="222">
        <f>SUM(J10:J12)</f>
        <v>9399.1357294335357</v>
      </c>
    </row>
    <row r="14" spans="1:10">
      <c r="A14" s="207">
        <v>5</v>
      </c>
      <c r="B14" s="204" t="s">
        <v>281</v>
      </c>
      <c r="E14" s="220">
        <f>I14+J14</f>
        <v>0</v>
      </c>
      <c r="F14" s="215"/>
      <c r="G14" s="225">
        <f>ROUND('2018 PF PS 09.2015 load'!F19-'incremental load expense 2018'!G13,0)</f>
        <v>11806</v>
      </c>
      <c r="H14" s="225">
        <f>ROUND('PF Power Supply 2018 load'!F19-H12,0)</f>
        <v>11806</v>
      </c>
      <c r="I14" s="218">
        <f>H14-G14</f>
        <v>0</v>
      </c>
      <c r="J14" s="220">
        <f>'[9]Attrition 12.2015 to 2018'!P11*'[9]Attrition 12.2015 to 2018'!M11</f>
        <v>0</v>
      </c>
    </row>
    <row r="15" spans="1:10">
      <c r="A15" s="207">
        <v>6</v>
      </c>
      <c r="B15" s="204" t="s">
        <v>282</v>
      </c>
      <c r="E15" s="222">
        <f>E13+E14</f>
        <v>6300.1357294335357</v>
      </c>
      <c r="F15" s="215"/>
      <c r="G15" s="220">
        <f>G13+G14</f>
        <v>47370</v>
      </c>
      <c r="H15" s="220">
        <f>H13+H14</f>
        <v>44271</v>
      </c>
      <c r="I15" s="222">
        <f>I13+I14</f>
        <v>-3099</v>
      </c>
      <c r="J15" s="222">
        <f>J13+J14</f>
        <v>9399.1357294335357</v>
      </c>
    </row>
    <row r="16" spans="1:10">
      <c r="A16" s="207"/>
      <c r="E16" s="220"/>
      <c r="F16" s="215"/>
      <c r="G16" s="220"/>
      <c r="H16" s="220"/>
      <c r="I16" s="220"/>
      <c r="J16" s="220"/>
    </row>
    <row r="17" spans="1:10">
      <c r="A17" s="207"/>
      <c r="B17" s="204" t="s">
        <v>283</v>
      </c>
      <c r="E17" s="220"/>
      <c r="F17" s="215"/>
      <c r="G17" s="220"/>
      <c r="H17" s="220"/>
      <c r="I17" s="220"/>
      <c r="J17" s="220"/>
    </row>
    <row r="18" spans="1:10">
      <c r="A18" s="207"/>
      <c r="B18" s="204" t="s">
        <v>284</v>
      </c>
      <c r="E18" s="220"/>
      <c r="F18" s="215"/>
      <c r="G18" s="220"/>
      <c r="H18" s="220"/>
      <c r="I18" s="220"/>
      <c r="J18" s="220"/>
    </row>
    <row r="19" spans="1:10">
      <c r="A19" s="207">
        <v>7</v>
      </c>
      <c r="C19" s="204" t="s">
        <v>285</v>
      </c>
      <c r="E19" s="220">
        <f>I19+J19</f>
        <v>2</v>
      </c>
      <c r="F19" s="215"/>
      <c r="G19" s="220">
        <f>ROUND('2018 PF PS 09.2015 load'!F33-'incremental load expense 2018'!G20,0)-1</f>
        <v>80436</v>
      </c>
      <c r="H19" s="220">
        <f>ROUND('PF Power Supply 2018 load'!F33-H20,0)</f>
        <v>80438</v>
      </c>
      <c r="I19" s="218">
        <f>H19-G19</f>
        <v>2</v>
      </c>
      <c r="J19" s="220"/>
    </row>
    <row r="20" spans="1:10">
      <c r="A20" s="207">
        <v>8</v>
      </c>
      <c r="C20" s="204" t="s">
        <v>286</v>
      </c>
      <c r="E20" s="220">
        <f>I20+J20</f>
        <v>1003</v>
      </c>
      <c r="F20" s="215"/>
      <c r="G20" s="220">
        <f>ROUND('2018 PF PS 09.2015 load'!F26,0)</f>
        <v>73177</v>
      </c>
      <c r="H20" s="220">
        <f>ROUND('PF Power Supply 2018 load'!F26,0)</f>
        <v>74180</v>
      </c>
      <c r="I20" s="218">
        <f>H20-G20</f>
        <v>1003</v>
      </c>
      <c r="J20" s="220"/>
    </row>
    <row r="21" spans="1:10">
      <c r="A21" s="207">
        <v>9</v>
      </c>
      <c r="C21" s="204" t="s">
        <v>287</v>
      </c>
      <c r="E21" s="220"/>
      <c r="F21" s="215"/>
      <c r="G21" s="220"/>
      <c r="H21" s="220"/>
      <c r="I21" s="220"/>
      <c r="J21" s="220"/>
    </row>
    <row r="22" spans="1:10">
      <c r="A22" s="207">
        <v>10</v>
      </c>
      <c r="C22" s="204" t="s">
        <v>288</v>
      </c>
      <c r="E22" s="220"/>
      <c r="F22" s="215"/>
      <c r="G22" s="220"/>
      <c r="H22" s="220"/>
      <c r="I22" s="220"/>
      <c r="J22" s="220"/>
    </row>
    <row r="23" spans="1:10">
      <c r="A23" s="207">
        <v>11</v>
      </c>
      <c r="C23" s="204" t="s">
        <v>289</v>
      </c>
      <c r="E23" s="225"/>
      <c r="F23" s="215"/>
      <c r="G23" s="225"/>
      <c r="H23" s="225"/>
      <c r="I23" s="225"/>
      <c r="J23" s="225"/>
    </row>
    <row r="24" spans="1:10">
      <c r="A24" s="207">
        <v>12</v>
      </c>
      <c r="B24" s="204" t="s">
        <v>290</v>
      </c>
      <c r="E24" s="220">
        <f>SUM(E19:E23)</f>
        <v>1005</v>
      </c>
      <c r="F24" s="215"/>
      <c r="G24" s="220">
        <f>SUM(G19:G23)</f>
        <v>153613</v>
      </c>
      <c r="H24" s="220">
        <f>SUM(H19:H23)</f>
        <v>154618</v>
      </c>
      <c r="I24" s="220">
        <f>SUM(I19:I23)</f>
        <v>1005</v>
      </c>
      <c r="J24" s="220">
        <f>SUM(J19:J23)</f>
        <v>0</v>
      </c>
    </row>
    <row r="25" spans="1:10">
      <c r="A25" s="207"/>
      <c r="E25" s="220"/>
      <c r="F25" s="215"/>
      <c r="G25" s="220"/>
      <c r="H25" s="220"/>
      <c r="I25" s="220"/>
      <c r="J25" s="220"/>
    </row>
    <row r="26" spans="1:10">
      <c r="A26" s="207"/>
      <c r="B26" s="204" t="s">
        <v>291</v>
      </c>
      <c r="E26" s="220"/>
      <c r="G26" s="220"/>
      <c r="H26" s="220"/>
      <c r="I26" s="220"/>
      <c r="J26" s="220"/>
    </row>
    <row r="27" spans="1:10">
      <c r="A27" s="207">
        <v>13</v>
      </c>
      <c r="C27" s="204" t="s">
        <v>285</v>
      </c>
      <c r="E27" s="220"/>
      <c r="G27" s="220"/>
      <c r="H27" s="220"/>
      <c r="I27" s="220"/>
      <c r="J27" s="220"/>
    </row>
    <row r="28" spans="1:10">
      <c r="A28" s="207">
        <v>14</v>
      </c>
      <c r="C28" s="204" t="s">
        <v>292</v>
      </c>
      <c r="E28" s="220"/>
      <c r="G28" s="220"/>
      <c r="H28" s="220"/>
      <c r="I28" s="220"/>
      <c r="J28" s="220"/>
    </row>
    <row r="29" spans="1:10">
      <c r="A29" s="207">
        <v>15</v>
      </c>
      <c r="C29" s="204" t="s">
        <v>289</v>
      </c>
      <c r="D29" s="226">
        <f>[9]ROR!L16</f>
        <v>3.8473E-2</v>
      </c>
      <c r="E29" s="220">
        <f>I29+J29</f>
        <v>360.93510359628283</v>
      </c>
      <c r="G29" s="225"/>
      <c r="H29" s="225"/>
      <c r="I29" s="225"/>
      <c r="J29" s="225">
        <f>J10*D29</f>
        <v>360.93510359628283</v>
      </c>
    </row>
    <row r="30" spans="1:10">
      <c r="A30" s="207">
        <v>16</v>
      </c>
      <c r="B30" s="204" t="s">
        <v>293</v>
      </c>
      <c r="E30" s="222">
        <f>SUM(E27:E29)</f>
        <v>360.93510359628283</v>
      </c>
      <c r="G30" s="220">
        <f>SUM(G27:G29)</f>
        <v>0</v>
      </c>
      <c r="H30" s="220">
        <f>SUM(H27:H29)</f>
        <v>0</v>
      </c>
      <c r="I30" s="220">
        <f>SUM(I27:I29)</f>
        <v>0</v>
      </c>
      <c r="J30" s="220">
        <f>SUM(J27:J29)</f>
        <v>360.93510359628283</v>
      </c>
    </row>
    <row r="31" spans="1:10">
      <c r="A31" s="207"/>
      <c r="E31" s="220"/>
      <c r="G31" s="220"/>
      <c r="H31" s="220"/>
      <c r="I31" s="220"/>
      <c r="J31" s="220"/>
    </row>
    <row r="32" spans="1:10">
      <c r="A32" s="207">
        <v>17</v>
      </c>
      <c r="B32" s="204" t="s">
        <v>294</v>
      </c>
      <c r="D32" s="226">
        <f>[9]ROR!L12</f>
        <v>6.7390000000000002E-3</v>
      </c>
      <c r="E32" s="220">
        <f>I32+J32</f>
        <v>63.222043072683441</v>
      </c>
      <c r="G32" s="220"/>
      <c r="H32" s="220"/>
      <c r="I32" s="220"/>
      <c r="J32" s="220">
        <f>J10*D32</f>
        <v>63.222043072683441</v>
      </c>
    </row>
    <row r="33" spans="1:10">
      <c r="A33" s="207">
        <v>18</v>
      </c>
      <c r="B33" s="204" t="s">
        <v>295</v>
      </c>
      <c r="E33" s="220"/>
      <c r="G33" s="220"/>
      <c r="H33" s="220"/>
      <c r="I33" s="220"/>
      <c r="J33" s="220"/>
    </row>
    <row r="34" spans="1:10">
      <c r="A34" s="207">
        <v>19</v>
      </c>
      <c r="B34" s="204" t="s">
        <v>296</v>
      </c>
      <c r="E34" s="220"/>
      <c r="G34" s="220"/>
      <c r="H34" s="220"/>
      <c r="I34" s="220"/>
      <c r="J34" s="220"/>
    </row>
    <row r="35" spans="1:10">
      <c r="A35" s="207"/>
      <c r="E35" s="220"/>
      <c r="G35" s="220"/>
      <c r="H35" s="220"/>
      <c r="I35" s="220"/>
      <c r="J35" s="220"/>
    </row>
    <row r="36" spans="1:10">
      <c r="A36" s="207"/>
      <c r="B36" s="204" t="s">
        <v>297</v>
      </c>
      <c r="E36" s="220"/>
      <c r="G36" s="220"/>
      <c r="H36" s="220"/>
      <c r="I36" s="220"/>
      <c r="J36" s="220"/>
    </row>
    <row r="37" spans="1:10">
      <c r="A37" s="207">
        <v>20</v>
      </c>
      <c r="C37" s="204" t="s">
        <v>285</v>
      </c>
      <c r="D37" s="226">
        <f>[9]ROR!L14</f>
        <v>2E-3</v>
      </c>
      <c r="E37" s="220">
        <f>I37+J37</f>
        <v>18.763034002873852</v>
      </c>
      <c r="G37" s="220"/>
      <c r="H37" s="220"/>
      <c r="I37" s="220"/>
      <c r="J37" s="220">
        <f>J10*D37</f>
        <v>18.763034002873852</v>
      </c>
    </row>
    <row r="38" spans="1:10">
      <c r="A38" s="207">
        <v>21</v>
      </c>
      <c r="C38" s="204" t="s">
        <v>292</v>
      </c>
      <c r="E38" s="220"/>
      <c r="G38" s="220"/>
      <c r="H38" s="220"/>
      <c r="I38" s="220"/>
      <c r="J38" s="220"/>
    </row>
    <row r="39" spans="1:10">
      <c r="A39" s="207">
        <v>22</v>
      </c>
      <c r="C39" s="204" t="s">
        <v>289</v>
      </c>
      <c r="E39" s="225"/>
      <c r="G39" s="225"/>
      <c r="H39" s="225"/>
      <c r="I39" s="225"/>
      <c r="J39" s="225"/>
    </row>
    <row r="40" spans="1:10">
      <c r="A40" s="207">
        <v>23</v>
      </c>
      <c r="B40" s="204" t="s">
        <v>298</v>
      </c>
      <c r="E40" s="227">
        <f>SUM(E37:E39)</f>
        <v>18.763034002873852</v>
      </c>
      <c r="G40" s="227">
        <f>SUM(G37:G39)</f>
        <v>0</v>
      </c>
      <c r="H40" s="227">
        <f>SUM(H37:H39)</f>
        <v>0</v>
      </c>
      <c r="I40" s="227">
        <f>SUM(I37:I39)</f>
        <v>0</v>
      </c>
      <c r="J40" s="227">
        <f>SUM(J37:J39)</f>
        <v>18.763034002873852</v>
      </c>
    </row>
    <row r="41" spans="1:10">
      <c r="A41" s="207">
        <v>24</v>
      </c>
      <c r="B41" s="204" t="s">
        <v>299</v>
      </c>
      <c r="E41" s="227">
        <f>E24+E30+E32+E33+E34+E40</f>
        <v>1447.9201806718399</v>
      </c>
      <c r="G41" s="227">
        <f>G24+G30+G32+G33+G34+G40</f>
        <v>153613</v>
      </c>
      <c r="H41" s="227">
        <f>H24+H30+H32+H33+H34+H40</f>
        <v>154618</v>
      </c>
      <c r="I41" s="227">
        <f>I24+I30+I32+I33+I34+I40</f>
        <v>1005</v>
      </c>
      <c r="J41" s="227">
        <f>J24+J30+J32+J33+J34+J40</f>
        <v>442.92018067184011</v>
      </c>
    </row>
    <row r="42" spans="1:10">
      <c r="A42" s="207"/>
      <c r="E42" s="220"/>
      <c r="G42" s="220"/>
      <c r="H42" s="220"/>
      <c r="I42" s="220"/>
      <c r="J42" s="220"/>
    </row>
    <row r="43" spans="1:10">
      <c r="A43" s="207">
        <v>25</v>
      </c>
      <c r="B43" s="204" t="s">
        <v>300</v>
      </c>
      <c r="E43" s="220">
        <f>E15-E41</f>
        <v>4852.2155487616956</v>
      </c>
      <c r="G43" s="220">
        <f>G15-G41</f>
        <v>-106243</v>
      </c>
      <c r="H43" s="220">
        <f>H15-H41</f>
        <v>-110347</v>
      </c>
      <c r="I43" s="220">
        <f>I15-I41</f>
        <v>-4104</v>
      </c>
      <c r="J43" s="220">
        <f>J15-J41</f>
        <v>8956.2155487616965</v>
      </c>
    </row>
    <row r="44" spans="1:10">
      <c r="A44" s="207"/>
      <c r="E44" s="220"/>
      <c r="G44" s="220"/>
      <c r="H44" s="220"/>
      <c r="I44" s="220"/>
      <c r="J44" s="220"/>
    </row>
    <row r="45" spans="1:10">
      <c r="A45" s="207"/>
      <c r="B45" s="204" t="s">
        <v>301</v>
      </c>
      <c r="E45" s="220"/>
      <c r="G45" s="220"/>
      <c r="H45" s="220"/>
      <c r="I45" s="220"/>
      <c r="J45" s="220"/>
    </row>
    <row r="46" spans="1:10">
      <c r="A46" s="207">
        <v>26</v>
      </c>
      <c r="B46" s="204" t="s">
        <v>302</v>
      </c>
      <c r="E46" s="220">
        <f>ROUND(0.35*E43,0)</f>
        <v>1698</v>
      </c>
      <c r="G46" s="220">
        <f>ROUND(0.35*G43,0)</f>
        <v>-37185</v>
      </c>
      <c r="H46" s="220">
        <f>ROUND(0.35*H43,0)</f>
        <v>-38621</v>
      </c>
      <c r="I46" s="220">
        <f>ROUND(0.35*I43,0)</f>
        <v>-1436</v>
      </c>
      <c r="J46" s="220">
        <f>ROUND(0.35*J43,0)</f>
        <v>3135</v>
      </c>
    </row>
    <row r="47" spans="1:10">
      <c r="A47" s="207">
        <v>27</v>
      </c>
      <c r="B47" s="204" t="s">
        <v>303</v>
      </c>
      <c r="E47" s="220"/>
      <c r="G47" s="220"/>
      <c r="H47" s="220"/>
      <c r="I47" s="220"/>
      <c r="J47" s="220"/>
    </row>
    <row r="48" spans="1:10">
      <c r="A48" s="207">
        <v>28</v>
      </c>
      <c r="B48" s="204" t="s">
        <v>304</v>
      </c>
      <c r="E48" s="220"/>
      <c r="G48" s="220"/>
      <c r="H48" s="220"/>
      <c r="I48" s="220"/>
      <c r="J48" s="220"/>
    </row>
    <row r="49" spans="1:10">
      <c r="A49" s="207">
        <v>29</v>
      </c>
      <c r="B49" s="204" t="s">
        <v>305</v>
      </c>
      <c r="E49" s="225"/>
      <c r="G49" s="225"/>
      <c r="H49" s="225"/>
      <c r="I49" s="225"/>
      <c r="J49" s="225"/>
    </row>
    <row r="50" spans="1:10">
      <c r="A50" s="207"/>
      <c r="E50" s="220"/>
      <c r="G50" s="220"/>
      <c r="H50" s="220"/>
      <c r="I50" s="220"/>
      <c r="J50" s="220"/>
    </row>
    <row r="51" spans="1:10">
      <c r="A51" s="207">
        <v>30</v>
      </c>
      <c r="B51" s="204" t="s">
        <v>306</v>
      </c>
      <c r="E51" s="220">
        <f>E43-E46-E47-E48-E49</f>
        <v>3154.2155487616956</v>
      </c>
      <c r="G51" s="220">
        <f>G43-G46-G47-G48-G49</f>
        <v>-69058</v>
      </c>
      <c r="H51" s="220">
        <f>H43-H46-H47-H48-H49</f>
        <v>-71726</v>
      </c>
      <c r="I51" s="220">
        <f>I43-I46-I47-I48-I49</f>
        <v>-2668</v>
      </c>
      <c r="J51" s="220">
        <f>J43-J46-J47-J48-J49</f>
        <v>5821.2155487616965</v>
      </c>
    </row>
    <row r="52" spans="1:10">
      <c r="A52" s="207"/>
    </row>
    <row r="53" spans="1:10">
      <c r="B53" s="204" t="s">
        <v>307</v>
      </c>
    </row>
    <row r="55" spans="1:10">
      <c r="E55" s="229" t="s">
        <v>308</v>
      </c>
    </row>
  </sheetData>
  <sheetProtection selectLockedCells="1"/>
  <mergeCells count="3">
    <mergeCell ref="A1:F1"/>
    <mergeCell ref="G1:I3"/>
    <mergeCell ref="A2:F2"/>
  </mergeCells>
  <pageMargins left="0.7" right="0.7" top="0.33" bottom="0.82" header="0.17" footer="0.59"/>
  <pageSetup scale="74" orientation="landscape" r:id="rId1"/>
  <headerFooter scaleWithDoc="0">
    <oddHeader>&amp;CAttachment G (Electric 2018 Attrition Model Backup)&amp;R(See Revised Exhibit No. EMA-9)</oddHeader>
    <oddFooter>&amp;C &amp;A&amp;RPage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Motion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4BFDE77-0CB5-45D5-BAFE-27CAA426BBEE}"/>
</file>

<file path=customXml/itemProps2.xml><?xml version="1.0" encoding="utf-8"?>
<ds:datastoreItem xmlns:ds="http://schemas.openxmlformats.org/officeDocument/2006/customXml" ds:itemID="{9EDD2191-4615-4408-802F-E98BD667282D}"/>
</file>

<file path=customXml/itemProps3.xml><?xml version="1.0" encoding="utf-8"?>
<ds:datastoreItem xmlns:ds="http://schemas.openxmlformats.org/officeDocument/2006/customXml" ds:itemID="{AFD1F85E-2F3F-49D6-99E8-010124AAE98F}"/>
</file>

<file path=customXml/itemProps4.xml><?xml version="1.0" encoding="utf-8"?>
<ds:datastoreItem xmlns:ds="http://schemas.openxmlformats.org/officeDocument/2006/customXml" ds:itemID="{46F61A5F-8F07-4DFC-B7DA-E167FB9F5B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Attachment G-2017 PS</vt:lpstr>
      <vt:lpstr>Attachment G-2018 PS</vt:lpstr>
      <vt:lpstr>Attachment G-Revenues 2017</vt:lpstr>
      <vt:lpstr>Attachment G-Revenues 2018-6 mo</vt:lpstr>
      <vt:lpstr>2017 PF - PS 09.15 load</vt:lpstr>
      <vt:lpstr>incremental load expense-2017</vt:lpstr>
      <vt:lpstr>Nov PF Power Supply 2017 load</vt:lpstr>
      <vt:lpstr>2018 PF PS 09.2015 load</vt:lpstr>
      <vt:lpstr>incremental load expense 2018</vt:lpstr>
      <vt:lpstr>PF Power Supply 2018 load</vt:lpstr>
      <vt:lpstr>'2017 PF - PS 09.15 load'!Print_Area</vt:lpstr>
      <vt:lpstr>'Attachment G-2017 PS'!Print_Area</vt:lpstr>
      <vt:lpstr>'Attachment G-2018 PS'!Print_Area</vt:lpstr>
      <vt:lpstr>'Attachment G-Revenues 2017'!Print_Area</vt:lpstr>
      <vt:lpstr>'Attachment G-Revenues 2018-6 mo'!Print_Area</vt:lpstr>
      <vt:lpstr>'incremental load expense 2018'!Print_Area</vt:lpstr>
      <vt:lpstr>'incremental load expense-2017'!Print_Area</vt:lpstr>
      <vt:lpstr>'Nov PF Power Supply 2017 load'!Print_Area</vt:lpstr>
      <vt:lpstr>'PF Power Supply 2018 load'!Print_Area</vt:lpstr>
      <vt:lpstr>'Attachment G-2017 PS'!Print_Titles</vt:lpstr>
      <vt:lpstr>'Attachment G-2018 PS'!Print_Titles</vt:lpstr>
      <vt:lpstr>'Attachment G-Revenues 2017'!Print_Titles</vt:lpstr>
      <vt:lpstr>'Attachment G-Revenues 2018-6 mo'!Print_Titles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Liz Andrews</cp:lastModifiedBy>
  <cp:lastPrinted>2016-11-01T19:42:51Z</cp:lastPrinted>
  <dcterms:created xsi:type="dcterms:W3CDTF">2016-10-31T17:15:42Z</dcterms:created>
  <dcterms:modified xsi:type="dcterms:W3CDTF">2016-11-01T19:43:20Z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